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teliostheophanous/Desktop/"/>
    </mc:Choice>
  </mc:AlternateContent>
  <bookViews>
    <workbookView xWindow="640" yWindow="1180" windowWidth="28160" windowHeight="16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93" i="1" l="1"/>
  <c r="AC94" i="1"/>
  <c r="AB95" i="1"/>
  <c r="AC95" i="1"/>
  <c r="AC96" i="1"/>
  <c r="AB97" i="1"/>
  <c r="AC97" i="1"/>
  <c r="AB98" i="1"/>
  <c r="AC98" i="1"/>
  <c r="AB99" i="1"/>
  <c r="AC99" i="1"/>
  <c r="AC100" i="1"/>
  <c r="AB101" i="1"/>
  <c r="AC101" i="1"/>
  <c r="AA102" i="1"/>
  <c r="AB102" i="1"/>
  <c r="AC102" i="1"/>
  <c r="AA103" i="1"/>
  <c r="AB103" i="1"/>
  <c r="AC103" i="1"/>
  <c r="AA104" i="1"/>
  <c r="AC104" i="1"/>
  <c r="AB105" i="1"/>
  <c r="AC105" i="1"/>
  <c r="AB106" i="1"/>
  <c r="AC106" i="1"/>
  <c r="AC107" i="1"/>
  <c r="AB108" i="1"/>
  <c r="AC108" i="1"/>
  <c r="AB109" i="1"/>
  <c r="AC109" i="1"/>
  <c r="AC110" i="1"/>
  <c r="AB111" i="1"/>
  <c r="AC111" i="1"/>
  <c r="AC112" i="1"/>
  <c r="AJ81" i="1"/>
  <c r="AK81" i="1"/>
  <c r="AJ82" i="1"/>
  <c r="AK82" i="1"/>
  <c r="AK83" i="1"/>
  <c r="AK84" i="1"/>
  <c r="AK85" i="1"/>
  <c r="AK86" i="1"/>
  <c r="AK87" i="1"/>
  <c r="AI88" i="1"/>
  <c r="AJ88" i="1"/>
  <c r="AK88" i="1"/>
  <c r="AI89" i="1"/>
  <c r="AJ89" i="1"/>
  <c r="AK89" i="1"/>
  <c r="AI90" i="1"/>
  <c r="AJ90" i="1"/>
  <c r="AK90" i="1"/>
  <c r="AI91" i="1"/>
  <c r="AJ91" i="1"/>
  <c r="AK91" i="1"/>
  <c r="AI92" i="1"/>
  <c r="AJ92" i="1"/>
  <c r="AK92" i="1"/>
  <c r="AI93" i="1"/>
  <c r="AJ93" i="1"/>
  <c r="AK93" i="1"/>
  <c r="AI94" i="1"/>
  <c r="AJ94" i="1"/>
  <c r="AK94" i="1"/>
  <c r="AK95" i="1"/>
  <c r="AC77" i="1"/>
  <c r="AC78" i="1"/>
  <c r="AB79" i="1"/>
  <c r="AC79" i="1"/>
  <c r="AB80" i="1"/>
  <c r="AC80" i="1"/>
  <c r="AB81" i="1"/>
  <c r="AC81" i="1"/>
  <c r="AB82" i="1"/>
  <c r="AC82" i="1"/>
  <c r="AB83" i="1"/>
  <c r="AC83" i="1"/>
  <c r="AA84" i="1"/>
  <c r="AC84" i="1"/>
  <c r="AA85" i="1"/>
  <c r="AB85" i="1"/>
  <c r="AC85" i="1"/>
  <c r="AA86" i="1"/>
  <c r="AC86" i="1"/>
  <c r="AA87" i="1"/>
  <c r="AC87" i="1"/>
  <c r="AA88" i="1"/>
  <c r="AB88" i="1"/>
  <c r="AC88" i="1"/>
  <c r="AC89" i="1"/>
  <c r="AR69" i="1"/>
  <c r="AS69" i="1"/>
  <c r="AS70" i="1"/>
  <c r="AS71" i="1"/>
  <c r="AS72" i="1"/>
  <c r="AR73" i="1"/>
  <c r="AS73" i="1"/>
  <c r="AS74" i="1"/>
  <c r="AR75" i="1"/>
  <c r="AS75" i="1"/>
  <c r="AR76" i="1"/>
  <c r="AS76" i="1"/>
  <c r="AR77" i="1"/>
  <c r="AS77" i="1"/>
  <c r="AS78" i="1"/>
  <c r="AS79" i="1"/>
  <c r="AJ63" i="1"/>
  <c r="AK63" i="1"/>
  <c r="AJ64" i="1"/>
  <c r="AK64" i="1"/>
  <c r="AK65" i="1"/>
  <c r="AJ66" i="1"/>
  <c r="AK66" i="1"/>
  <c r="AK67" i="1"/>
  <c r="AI68" i="1"/>
  <c r="AJ68" i="1"/>
  <c r="AK68" i="1"/>
  <c r="AI69" i="1"/>
  <c r="AK69" i="1"/>
  <c r="AI70" i="1"/>
  <c r="AJ70" i="1"/>
  <c r="AK70" i="1"/>
  <c r="AI71" i="1"/>
  <c r="AJ71" i="1"/>
  <c r="AK71" i="1"/>
  <c r="AI72" i="1"/>
  <c r="AK72" i="1"/>
  <c r="AI73" i="1"/>
  <c r="AJ73" i="1"/>
  <c r="AK73" i="1"/>
  <c r="AJ74" i="1"/>
  <c r="AK74" i="1"/>
  <c r="AJ75" i="1"/>
  <c r="AK75" i="1"/>
  <c r="AK76" i="1"/>
  <c r="AK77" i="1"/>
  <c r="T64" i="1"/>
  <c r="U64" i="1"/>
  <c r="U65" i="1"/>
  <c r="U66" i="1"/>
  <c r="S67" i="1"/>
  <c r="T67" i="1"/>
  <c r="U67" i="1"/>
  <c r="S68" i="1"/>
  <c r="T68" i="1"/>
  <c r="U68" i="1"/>
  <c r="T69" i="1"/>
  <c r="U69" i="1"/>
  <c r="S70" i="1"/>
  <c r="U70" i="1"/>
  <c r="U71" i="1"/>
  <c r="T72" i="1"/>
  <c r="U72" i="1"/>
  <c r="T73" i="1"/>
  <c r="U73" i="1"/>
  <c r="U74" i="1"/>
  <c r="AA40" i="1"/>
  <c r="AB40" i="1"/>
  <c r="AC40" i="1"/>
  <c r="AA41" i="1"/>
  <c r="AC41" i="1"/>
  <c r="AA42" i="1"/>
  <c r="AB42" i="1"/>
  <c r="AC42" i="1"/>
  <c r="AA43" i="1"/>
  <c r="AC43" i="1"/>
  <c r="AA44" i="1"/>
  <c r="AB44" i="1"/>
  <c r="AC44" i="1"/>
  <c r="AA45" i="1"/>
  <c r="AB45" i="1"/>
  <c r="AC45" i="1"/>
  <c r="AA46" i="1"/>
  <c r="AB46" i="1"/>
  <c r="AC46" i="1"/>
  <c r="AA47" i="1"/>
  <c r="AC47" i="1"/>
  <c r="AA48" i="1"/>
  <c r="AB48" i="1"/>
  <c r="AC48" i="1"/>
  <c r="AA49" i="1"/>
  <c r="AC49" i="1"/>
  <c r="AA50" i="1"/>
  <c r="AC50" i="1"/>
  <c r="AA51" i="1"/>
  <c r="AB51" i="1"/>
  <c r="AC51" i="1"/>
  <c r="AA52" i="1"/>
  <c r="AB52" i="1"/>
  <c r="AC52" i="1"/>
  <c r="AA53" i="1"/>
  <c r="AB53" i="1"/>
  <c r="AC53" i="1"/>
  <c r="AB54" i="1"/>
  <c r="AC54" i="1"/>
  <c r="AA55" i="1"/>
  <c r="AB55" i="1"/>
  <c r="AC55" i="1"/>
  <c r="AA56" i="1"/>
  <c r="AC56" i="1"/>
  <c r="AA57" i="1"/>
  <c r="AB57" i="1"/>
  <c r="AC57" i="1"/>
  <c r="AA58" i="1"/>
  <c r="AB58" i="1"/>
  <c r="AC58" i="1"/>
  <c r="AA59" i="1"/>
  <c r="AB59" i="1"/>
  <c r="AC59" i="1"/>
  <c r="AA60" i="1"/>
  <c r="AC60" i="1"/>
  <c r="AA61" i="1"/>
  <c r="AC61" i="1"/>
  <c r="AA62" i="1"/>
  <c r="AB62" i="1"/>
  <c r="AC62" i="1"/>
  <c r="AA63" i="1"/>
  <c r="AC63" i="1"/>
  <c r="AA64" i="1"/>
  <c r="AC64" i="1"/>
  <c r="AA65" i="1"/>
  <c r="AC65" i="1"/>
  <c r="AA66" i="1"/>
  <c r="AB66" i="1"/>
  <c r="AC66" i="1"/>
  <c r="AA67" i="1"/>
  <c r="AB67" i="1"/>
  <c r="AC67" i="1"/>
  <c r="AC68" i="1"/>
  <c r="AC69" i="1"/>
  <c r="AA70" i="1"/>
  <c r="AC70" i="1"/>
  <c r="AA71" i="1"/>
  <c r="AC71" i="1"/>
  <c r="AA72" i="1"/>
  <c r="AB72" i="1"/>
  <c r="AC72" i="1"/>
  <c r="AC73" i="1"/>
  <c r="L57" i="1"/>
  <c r="M57" i="1"/>
  <c r="M58" i="1"/>
  <c r="M59" i="1"/>
  <c r="L60" i="1"/>
  <c r="M60" i="1"/>
  <c r="L61" i="1"/>
  <c r="M61" i="1"/>
  <c r="M62" i="1"/>
  <c r="L63" i="1"/>
  <c r="M63" i="1"/>
  <c r="L64" i="1"/>
  <c r="M64" i="1"/>
  <c r="L65" i="1"/>
  <c r="M65" i="1"/>
  <c r="K66" i="1"/>
  <c r="L66" i="1"/>
  <c r="M66" i="1"/>
  <c r="K67" i="1"/>
  <c r="M67" i="1"/>
  <c r="K68" i="1"/>
  <c r="L68" i="1"/>
  <c r="M68" i="1"/>
  <c r="L69" i="1"/>
  <c r="M69" i="1"/>
  <c r="L70" i="1"/>
  <c r="M70" i="1"/>
  <c r="M71" i="1"/>
  <c r="AR54" i="1"/>
  <c r="AS54" i="1"/>
  <c r="AR55" i="1"/>
  <c r="AS55" i="1"/>
  <c r="AR56" i="1"/>
  <c r="AS56" i="1"/>
  <c r="AR57" i="1"/>
  <c r="AS57" i="1"/>
  <c r="AQ58" i="1"/>
  <c r="AR58" i="1"/>
  <c r="AS58" i="1"/>
  <c r="AQ59" i="1"/>
  <c r="AS59" i="1"/>
  <c r="AQ60" i="1"/>
  <c r="AR60" i="1"/>
  <c r="AS60" i="1"/>
  <c r="AQ61" i="1"/>
  <c r="AR61" i="1"/>
  <c r="AS61" i="1"/>
  <c r="AQ62" i="1"/>
  <c r="AS62" i="1"/>
  <c r="AR63" i="1"/>
  <c r="AS63" i="1"/>
  <c r="AS64" i="1"/>
  <c r="AS65" i="1"/>
  <c r="T51" i="1"/>
  <c r="U51" i="1"/>
  <c r="T52" i="1"/>
  <c r="U52" i="1"/>
  <c r="T53" i="1"/>
  <c r="U53" i="1"/>
  <c r="U54" i="1"/>
  <c r="T55" i="1"/>
  <c r="U55" i="1"/>
  <c r="U56" i="1"/>
  <c r="T57" i="1"/>
  <c r="U57" i="1"/>
  <c r="T58" i="1"/>
  <c r="U58" i="1"/>
  <c r="T59" i="1"/>
  <c r="U59" i="1"/>
  <c r="U60" i="1"/>
  <c r="AK44" i="1"/>
  <c r="AI45" i="1"/>
  <c r="AJ45" i="1"/>
  <c r="AK45" i="1"/>
  <c r="AI46" i="1"/>
  <c r="AK46" i="1"/>
  <c r="AI47" i="1"/>
  <c r="AK47" i="1"/>
  <c r="AI48" i="1"/>
  <c r="AJ48" i="1"/>
  <c r="AK48" i="1"/>
  <c r="AI49" i="1"/>
  <c r="AJ49" i="1"/>
  <c r="AK49" i="1"/>
  <c r="AI50" i="1"/>
  <c r="AK50" i="1"/>
  <c r="AI51" i="1"/>
  <c r="AJ51" i="1"/>
  <c r="AK51" i="1"/>
  <c r="AI52" i="1"/>
  <c r="AK52" i="1"/>
  <c r="AI53" i="1"/>
  <c r="AJ53" i="1"/>
  <c r="AK53" i="1"/>
  <c r="AI54" i="1"/>
  <c r="AK54" i="1"/>
  <c r="AI55" i="1"/>
  <c r="AJ55" i="1"/>
  <c r="AK55" i="1"/>
  <c r="AI56" i="1"/>
  <c r="AJ56" i="1"/>
  <c r="AK56" i="1"/>
  <c r="AI57" i="1"/>
  <c r="AJ57" i="1"/>
  <c r="AK57" i="1"/>
  <c r="AI58" i="1"/>
  <c r="AJ58" i="1"/>
  <c r="AK58" i="1"/>
  <c r="AK5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M39" i="1"/>
  <c r="L40" i="1"/>
  <c r="M40" i="1"/>
  <c r="L41" i="1"/>
  <c r="M41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M50" i="1"/>
  <c r="M51" i="1"/>
  <c r="L52" i="1"/>
  <c r="M52" i="1"/>
  <c r="M53" i="1"/>
  <c r="AS35" i="1"/>
  <c r="AS36" i="1"/>
  <c r="AS37" i="1"/>
  <c r="AR38" i="1"/>
  <c r="AS38" i="1"/>
  <c r="AS39" i="1"/>
  <c r="AR40" i="1"/>
  <c r="AS40" i="1"/>
  <c r="AS41" i="1"/>
  <c r="AQ42" i="1"/>
  <c r="AR42" i="1"/>
  <c r="AS42" i="1"/>
  <c r="AQ43" i="1"/>
  <c r="AR43" i="1"/>
  <c r="AS43" i="1"/>
  <c r="AQ44" i="1"/>
  <c r="AR44" i="1"/>
  <c r="AS44" i="1"/>
  <c r="AQ45" i="1"/>
  <c r="AS45" i="1"/>
  <c r="AQ46" i="1"/>
  <c r="AR46" i="1"/>
  <c r="AS46" i="1"/>
  <c r="AQ47" i="1"/>
  <c r="AS47" i="1"/>
  <c r="AQ48" i="1"/>
  <c r="AR48" i="1"/>
  <c r="AS48" i="1"/>
  <c r="AQ49" i="1"/>
  <c r="AR49" i="1"/>
  <c r="AS49" i="1"/>
  <c r="AS50" i="1"/>
  <c r="T32" i="1"/>
  <c r="U32" i="1"/>
  <c r="T33" i="1"/>
  <c r="U33" i="1"/>
  <c r="U34" i="1"/>
  <c r="S35" i="1"/>
  <c r="U35" i="1"/>
  <c r="S36" i="1"/>
  <c r="U36" i="1"/>
  <c r="T37" i="1"/>
  <c r="U37" i="1"/>
  <c r="T38" i="1"/>
  <c r="U38" i="1"/>
  <c r="S39" i="1"/>
  <c r="U39" i="1"/>
  <c r="S40" i="1"/>
  <c r="T40" i="1"/>
  <c r="U40" i="1"/>
  <c r="S41" i="1"/>
  <c r="T41" i="1"/>
  <c r="U41" i="1"/>
  <c r="S42" i="1"/>
  <c r="T42" i="1"/>
  <c r="U42" i="1"/>
  <c r="S43" i="1"/>
  <c r="U43" i="1"/>
  <c r="S44" i="1"/>
  <c r="U44" i="1"/>
  <c r="S45" i="1"/>
  <c r="T45" i="1"/>
  <c r="U45" i="1"/>
  <c r="S46" i="1"/>
  <c r="T46" i="1"/>
  <c r="U46" i="1"/>
  <c r="U47" i="1"/>
  <c r="AI18" i="1"/>
  <c r="AJ18" i="1"/>
  <c r="AK18" i="1"/>
  <c r="AI19" i="1"/>
  <c r="AJ19" i="1"/>
  <c r="AK19" i="1"/>
  <c r="AI20" i="1"/>
  <c r="AK20" i="1"/>
  <c r="AI21" i="1"/>
  <c r="AJ21" i="1"/>
  <c r="AK21" i="1"/>
  <c r="AI22" i="1"/>
  <c r="AJ22" i="1"/>
  <c r="AK22" i="1"/>
  <c r="AI23" i="1"/>
  <c r="AK23" i="1"/>
  <c r="AI24" i="1"/>
  <c r="AK24" i="1"/>
  <c r="AI25" i="1"/>
  <c r="AK25" i="1"/>
  <c r="AI26" i="1"/>
  <c r="AJ26" i="1"/>
  <c r="AK26" i="1"/>
  <c r="AI27" i="1"/>
  <c r="AJ27" i="1"/>
  <c r="AK27" i="1"/>
  <c r="AI28" i="1"/>
  <c r="AK28" i="1"/>
  <c r="AI29" i="1"/>
  <c r="AJ29" i="1"/>
  <c r="AK29" i="1"/>
  <c r="AI30" i="1"/>
  <c r="AK30" i="1"/>
  <c r="AI31" i="1"/>
  <c r="AJ31" i="1"/>
  <c r="AK31" i="1"/>
  <c r="AI32" i="1"/>
  <c r="AJ32" i="1"/>
  <c r="AK32" i="1"/>
  <c r="AI33" i="1"/>
  <c r="AJ33" i="1"/>
  <c r="AK33" i="1"/>
  <c r="AI34" i="1"/>
  <c r="AJ34" i="1"/>
  <c r="AK34" i="1"/>
  <c r="AJ35" i="1"/>
  <c r="AK35" i="1"/>
  <c r="AJ36" i="1"/>
  <c r="AK36" i="1"/>
  <c r="AK37" i="1"/>
  <c r="AK38" i="1"/>
  <c r="AK39" i="1"/>
  <c r="AK40" i="1"/>
  <c r="AC23" i="1"/>
  <c r="AC24" i="1"/>
  <c r="AB25" i="1"/>
  <c r="AC25" i="1"/>
  <c r="AC26" i="1"/>
  <c r="AB27" i="1"/>
  <c r="AC27" i="1"/>
  <c r="AB28" i="1"/>
  <c r="AC28" i="1"/>
  <c r="AB29" i="1"/>
  <c r="AC29" i="1"/>
  <c r="AC30" i="1"/>
  <c r="AC31" i="1"/>
  <c r="AC32" i="1"/>
  <c r="AA33" i="1"/>
  <c r="AB33" i="1"/>
  <c r="AC33" i="1"/>
  <c r="AA34" i="1"/>
  <c r="AB34" i="1"/>
  <c r="AC34" i="1"/>
  <c r="AA35" i="1"/>
  <c r="AC35" i="1"/>
  <c r="AA36" i="1"/>
  <c r="AB36" i="1"/>
  <c r="AC36" i="1"/>
  <c r="AC37" i="1"/>
  <c r="L21" i="1"/>
  <c r="M21" i="1"/>
  <c r="L22" i="1"/>
  <c r="M22" i="1"/>
  <c r="L23" i="1"/>
  <c r="M23" i="1"/>
  <c r="K24" i="1"/>
  <c r="M24" i="1"/>
  <c r="K25" i="1"/>
  <c r="L25" i="1"/>
  <c r="M25" i="1"/>
  <c r="K26" i="1"/>
  <c r="L26" i="1"/>
  <c r="M26" i="1"/>
  <c r="K27" i="1"/>
  <c r="L27" i="1"/>
  <c r="M27" i="1"/>
  <c r="L28" i="1"/>
  <c r="M28" i="1"/>
  <c r="L29" i="1"/>
  <c r="M29" i="1"/>
  <c r="L30" i="1"/>
  <c r="M30" i="1"/>
  <c r="M31" i="1"/>
  <c r="M32" i="1"/>
  <c r="M33" i="1"/>
  <c r="L34" i="1"/>
  <c r="M34" i="1"/>
  <c r="M35" i="1"/>
  <c r="AR21" i="1"/>
  <c r="AS21" i="1"/>
  <c r="AS22" i="1"/>
  <c r="AS23" i="1"/>
  <c r="AS24" i="1"/>
  <c r="AR25" i="1"/>
  <c r="AS25" i="1"/>
  <c r="AS26" i="1"/>
  <c r="AR27" i="1"/>
  <c r="AS27" i="1"/>
  <c r="AR28" i="1"/>
  <c r="AS28" i="1"/>
  <c r="AR29" i="1"/>
  <c r="AS29" i="1"/>
  <c r="AS30" i="1"/>
  <c r="AS31" i="1"/>
  <c r="T15" i="1"/>
  <c r="U15" i="1"/>
  <c r="T16" i="1"/>
  <c r="U16" i="1"/>
  <c r="U17" i="1"/>
  <c r="S18" i="1"/>
  <c r="T18" i="1"/>
  <c r="U18" i="1"/>
  <c r="S19" i="1"/>
  <c r="T19" i="1"/>
  <c r="U19" i="1"/>
  <c r="S20" i="1"/>
  <c r="U20" i="1"/>
  <c r="S21" i="1"/>
  <c r="U21" i="1"/>
  <c r="S22" i="1"/>
  <c r="U22" i="1"/>
  <c r="S23" i="1"/>
  <c r="T23" i="1"/>
  <c r="U23" i="1"/>
  <c r="S24" i="1"/>
  <c r="U24" i="1"/>
  <c r="S25" i="1"/>
  <c r="T25" i="1"/>
  <c r="U25" i="1"/>
  <c r="S26" i="1"/>
  <c r="T26" i="1"/>
  <c r="U26" i="1"/>
  <c r="S27" i="1"/>
  <c r="T27" i="1"/>
  <c r="U27" i="1"/>
  <c r="S28" i="1"/>
  <c r="U28" i="1"/>
  <c r="U29" i="1"/>
  <c r="AA2" i="1"/>
  <c r="AB2" i="1"/>
  <c r="AC2" i="1"/>
  <c r="AA3" i="1"/>
  <c r="AC3" i="1"/>
  <c r="AA4" i="1"/>
  <c r="AB4" i="1"/>
  <c r="AC4" i="1"/>
  <c r="AA5" i="1"/>
  <c r="AC5" i="1"/>
  <c r="AA6" i="1"/>
  <c r="AC6" i="1"/>
  <c r="AB7" i="1"/>
  <c r="AC7" i="1"/>
  <c r="AC8" i="1"/>
  <c r="AC9" i="1"/>
  <c r="AA10" i="1"/>
  <c r="AB10" i="1"/>
  <c r="AC10" i="1"/>
  <c r="AA11" i="1"/>
  <c r="AC11" i="1"/>
  <c r="AA12" i="1"/>
  <c r="AB12" i="1"/>
  <c r="AC12" i="1"/>
  <c r="AA13" i="1"/>
  <c r="AC13" i="1"/>
  <c r="AA14" i="1"/>
  <c r="AC14" i="1"/>
  <c r="AA15" i="1"/>
  <c r="AB15" i="1"/>
  <c r="AC15" i="1"/>
  <c r="AA16" i="1"/>
  <c r="AC16" i="1"/>
  <c r="AA17" i="1"/>
  <c r="AC17" i="1"/>
  <c r="AA18" i="1"/>
  <c r="AB18" i="1"/>
  <c r="AC18" i="1"/>
  <c r="AC19" i="1"/>
  <c r="AR2" i="1"/>
  <c r="AS2" i="1"/>
  <c r="AQ3" i="1"/>
  <c r="AR3" i="1"/>
  <c r="AS3" i="1"/>
  <c r="AQ4" i="1"/>
  <c r="AS4" i="1"/>
  <c r="AQ5" i="1"/>
  <c r="AS5" i="1"/>
  <c r="AQ6" i="1"/>
  <c r="AS6" i="1"/>
  <c r="AQ7" i="1"/>
  <c r="AR7" i="1"/>
  <c r="AS7" i="1"/>
  <c r="AQ8" i="1"/>
  <c r="AR8" i="1"/>
  <c r="AS8" i="1"/>
  <c r="AQ9" i="1"/>
  <c r="AS9" i="1"/>
  <c r="AQ10" i="1"/>
  <c r="AR10" i="1"/>
  <c r="AS10" i="1"/>
  <c r="AQ11" i="1"/>
  <c r="AS11" i="1"/>
  <c r="AQ12" i="1"/>
  <c r="AS12" i="1"/>
  <c r="AQ13" i="1"/>
  <c r="AS13" i="1"/>
  <c r="AQ14" i="1"/>
  <c r="AR14" i="1"/>
  <c r="AS14" i="1"/>
  <c r="AR15" i="1"/>
  <c r="AS15" i="1"/>
  <c r="AR16" i="1"/>
  <c r="AS16" i="1"/>
  <c r="AS17" i="1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K14" i="1"/>
  <c r="L14" i="1"/>
  <c r="M14" i="1"/>
  <c r="K15" i="1"/>
  <c r="L15" i="1"/>
  <c r="M15" i="1"/>
  <c r="K16" i="1"/>
  <c r="L16" i="1"/>
  <c r="M16" i="1"/>
  <c r="M17" i="1"/>
  <c r="AJ2" i="1"/>
  <c r="AK2" i="1"/>
  <c r="AJ3" i="1"/>
  <c r="AK3" i="1"/>
  <c r="AK4" i="1"/>
  <c r="AJ5" i="1"/>
  <c r="AK5" i="1"/>
  <c r="AK6" i="1"/>
  <c r="AJ7" i="1"/>
  <c r="AK7" i="1"/>
  <c r="AI8" i="1"/>
  <c r="AJ8" i="1"/>
  <c r="AK8" i="1"/>
  <c r="AI9" i="1"/>
  <c r="AK9" i="1"/>
  <c r="AI10" i="1"/>
  <c r="AK10" i="1"/>
  <c r="AI11" i="1"/>
  <c r="AJ11" i="1"/>
  <c r="AK11" i="1"/>
  <c r="AI12" i="1"/>
  <c r="AK12" i="1"/>
  <c r="AI13" i="1"/>
  <c r="AJ13" i="1"/>
  <c r="AK13" i="1"/>
  <c r="AK14" i="1"/>
  <c r="T2" i="1"/>
  <c r="U2" i="1"/>
  <c r="T3" i="1"/>
  <c r="U3" i="1"/>
  <c r="S4" i="1"/>
  <c r="T4" i="1"/>
  <c r="U4" i="1"/>
  <c r="S5" i="1"/>
  <c r="T5" i="1"/>
  <c r="U5" i="1"/>
  <c r="S6" i="1"/>
  <c r="T6" i="1"/>
  <c r="U6" i="1"/>
  <c r="T7" i="1"/>
  <c r="U7" i="1"/>
  <c r="T8" i="1"/>
  <c r="U8" i="1"/>
  <c r="S9" i="1"/>
  <c r="U9" i="1"/>
  <c r="S10" i="1"/>
  <c r="T10" i="1"/>
  <c r="U10" i="1"/>
  <c r="U11" i="1"/>
</calcChain>
</file>

<file path=xl/sharedStrings.xml><?xml version="1.0" encoding="utf-8"?>
<sst xmlns="http://schemas.openxmlformats.org/spreadsheetml/2006/main" count="479" uniqueCount="295">
  <si>
    <t>Group</t>
  </si>
  <si>
    <t>Count</t>
  </si>
  <si>
    <t>25 jaccard</t>
  </si>
  <si>
    <t>Most significant clusters</t>
  </si>
  <si>
    <t>Drug</t>
  </si>
  <si>
    <t>% Purity within cluster</t>
  </si>
  <si>
    <t>% Purity as a whole</t>
  </si>
  <si>
    <t>Score</t>
  </si>
  <si>
    <t>50 jaccard</t>
  </si>
  <si>
    <t>100 jaccard</t>
  </si>
  <si>
    <t>150 jaccard</t>
  </si>
  <si>
    <t>200 jaccard</t>
  </si>
  <si>
    <t>(5Z)-7-Oxozeaenol Group 1</t>
  </si>
  <si>
    <t>17-AAG Group 2</t>
  </si>
  <si>
    <t>5-Fluorouracil Group 25</t>
  </si>
  <si>
    <t>681640 Group 4</t>
  </si>
  <si>
    <t>A-443654 Group 5</t>
  </si>
  <si>
    <t>A-770041 Group 6</t>
  </si>
  <si>
    <t>AC220 Group 7</t>
  </si>
  <si>
    <t>Afatinib Group 8</t>
  </si>
  <si>
    <t>AG-014699 Group 9</t>
  </si>
  <si>
    <t>AICAR Group 10</t>
  </si>
  <si>
    <t>Total clustering score:</t>
  </si>
  <si>
    <t>AKT inhibitor VIII Group 5</t>
  </si>
  <si>
    <t>AMG-706 Group 44</t>
  </si>
  <si>
    <t>AP-24534 Group 44</t>
  </si>
  <si>
    <t>50 manhattan</t>
  </si>
  <si>
    <t>AR-42 Group 13</t>
  </si>
  <si>
    <t>AS601245 Group 14</t>
  </si>
  <si>
    <t>AS605240 Group 15</t>
  </si>
  <si>
    <t>150 manhattan</t>
  </si>
  <si>
    <t>AT-7519 Group 16</t>
  </si>
  <si>
    <t xml:space="preserve">ATRA Group 17 </t>
  </si>
  <si>
    <t>AUY922 Group 2</t>
  </si>
  <si>
    <t>25 manhattan</t>
  </si>
  <si>
    <t>200 manhattan</t>
  </si>
  <si>
    <t>Axitinib Group 44</t>
  </si>
  <si>
    <t>AZ628 Group 18</t>
  </si>
  <si>
    <t>100 manhattan</t>
  </si>
  <si>
    <t>AZD6482 Group 15</t>
  </si>
  <si>
    <t>AZD7762 Group 4</t>
  </si>
  <si>
    <t>AZD8055 Group 15</t>
  </si>
  <si>
    <t>BAY 61-3606 Group 20</t>
  </si>
  <si>
    <t>Belinostat Group 13</t>
  </si>
  <si>
    <t>Bexarotene Group 17</t>
  </si>
  <si>
    <t>BEZ235 Group 15</t>
  </si>
  <si>
    <t>BHG712 Group 21</t>
  </si>
  <si>
    <t>BI-2536 Group 22</t>
  </si>
  <si>
    <t>50 gower</t>
  </si>
  <si>
    <t>Bicalutamide Group 23</t>
  </si>
  <si>
    <t>BIRB 0796 Group 23</t>
  </si>
  <si>
    <t>BIX02189 Group 24</t>
  </si>
  <si>
    <t>200 gower</t>
  </si>
  <si>
    <t>Bleomycin (50 uM) Group 25</t>
  </si>
  <si>
    <t>Bleomycin Group 25</t>
  </si>
  <si>
    <t>BMS345541 Group 1</t>
  </si>
  <si>
    <t>BMS-509744 Group 27</t>
  </si>
  <si>
    <t>25 gower</t>
  </si>
  <si>
    <t>BMS-536924 Group 28</t>
  </si>
  <si>
    <t>100 gower</t>
  </si>
  <si>
    <t>BMS-708163 Group 29</t>
  </si>
  <si>
    <t>BMS-754807 Group 28</t>
  </si>
  <si>
    <t>Bortezomib Group 30</t>
  </si>
  <si>
    <t>Bosutinib Group 44</t>
  </si>
  <si>
    <t>150 gower</t>
  </si>
  <si>
    <t>Bryostatin 1 Group 31</t>
  </si>
  <si>
    <t>BX-795 Group 33</t>
  </si>
  <si>
    <t>BX-912 Group 32</t>
  </si>
  <si>
    <t>CAL-101 Group 15</t>
  </si>
  <si>
    <t>Camptothecin Group 34</t>
  </si>
  <si>
    <t>CAY10603 Group 13</t>
  </si>
  <si>
    <t>CCT007093 Group 35</t>
  </si>
  <si>
    <t>50 geodesic</t>
  </si>
  <si>
    <t>CCT018159 Group 2</t>
  </si>
  <si>
    <t>CEP-701 Group 7</t>
  </si>
  <si>
    <t>Cetuximab Group 8</t>
  </si>
  <si>
    <t>200 geodesic</t>
  </si>
  <si>
    <t>CGP-082996 Group 16</t>
  </si>
  <si>
    <t>CGP-60474 Group 16</t>
  </si>
  <si>
    <t>CH5424802 Group 37</t>
  </si>
  <si>
    <t>25 geodesic</t>
  </si>
  <si>
    <t>CHIR-99021 Group 38</t>
  </si>
  <si>
    <t>Sum</t>
  </si>
  <si>
    <t>CI-1040 Group 24</t>
  </si>
  <si>
    <t>Cisplatin Group 25</t>
  </si>
  <si>
    <t>CMK Group 39</t>
  </si>
  <si>
    <t>CP466722 Group 40</t>
  </si>
  <si>
    <t>CP724714 Group 8</t>
  </si>
  <si>
    <t>150 geodesic</t>
  </si>
  <si>
    <t>Crizotinib Group 37</t>
  </si>
  <si>
    <t>50 pearson</t>
  </si>
  <si>
    <t>CUDC-101 Group 13</t>
  </si>
  <si>
    <t>CX-5461 Group 42</t>
  </si>
  <si>
    <t>Cyclopamine Group 43</t>
  </si>
  <si>
    <t>Cytarabine Group 25</t>
  </si>
  <si>
    <t>Dabrafenib Group 18</t>
  </si>
  <si>
    <t>200 pearson</t>
  </si>
  <si>
    <t>Dasatinib Group 44</t>
  </si>
  <si>
    <t>DMOG Group 11</t>
  </si>
  <si>
    <t>Docetaxel Group 12</t>
  </si>
  <si>
    <t>Doxorubicin Group 25</t>
  </si>
  <si>
    <t>EHT 1864 Group 36</t>
  </si>
  <si>
    <t>EKB-569 Group 8</t>
  </si>
  <si>
    <t>FINAL RESULTS</t>
  </si>
  <si>
    <t>Elesclomol Group 2</t>
  </si>
  <si>
    <t>Clustering Method</t>
  </si>
  <si>
    <t>Number of rules</t>
  </si>
  <si>
    <t>Distance Index</t>
  </si>
  <si>
    <t>Embelin Group 41</t>
  </si>
  <si>
    <t>Hierarchical</t>
  </si>
  <si>
    <t>jaccard</t>
  </si>
  <si>
    <t>100 geodesic</t>
  </si>
  <si>
    <t>Epothilone B Group 12</t>
  </si>
  <si>
    <t>geodesic</t>
  </si>
  <si>
    <t>Erlotinib Group 8</t>
  </si>
  <si>
    <t>pearson</t>
  </si>
  <si>
    <t>-</t>
  </si>
  <si>
    <t>Etoposide Group 34</t>
  </si>
  <si>
    <t>manhattan</t>
  </si>
  <si>
    <t>EX-527 Group 45</t>
  </si>
  <si>
    <t>gower</t>
  </si>
  <si>
    <t>150 pearson</t>
  </si>
  <si>
    <t>FH535 Group 55</t>
  </si>
  <si>
    <t>FK866 Group 48</t>
  </si>
  <si>
    <t>FMK Group 39</t>
  </si>
  <si>
    <t>Foretinib Group 37</t>
  </si>
  <si>
    <t>FR-180204 Group 24</t>
  </si>
  <si>
    <t>FTI-277 Group 47</t>
  </si>
  <si>
    <t>GDC0449 Group 43</t>
  </si>
  <si>
    <t>GDC0941 Group 15</t>
  </si>
  <si>
    <t>Gefitinib Group 8</t>
  </si>
  <si>
    <t>Gemcitabine Group 1</t>
  </si>
  <si>
    <t>Genentech Cpd 10 Group 33</t>
  </si>
  <si>
    <t>GNF-2 Group 44</t>
  </si>
  <si>
    <t>100 pearson</t>
  </si>
  <si>
    <t>GSK1070916 Group 33</t>
  </si>
  <si>
    <t>GSK1904529A Group 28</t>
  </si>
  <si>
    <t>GSK2126458 Group 15</t>
  </si>
  <si>
    <t>GSK269962A Group 49</t>
  </si>
  <si>
    <t>GSK429286A Group 49</t>
  </si>
  <si>
    <t>GSK-650394 Group 52</t>
  </si>
  <si>
    <t>GSK690693 Group 5</t>
  </si>
  <si>
    <t>GW 441756 Group 55</t>
  </si>
  <si>
    <t>GW-2580 Group 55</t>
  </si>
  <si>
    <t>GW843682X Group 22</t>
  </si>
  <si>
    <t>HG-5-113-01  Group 44</t>
  </si>
  <si>
    <t>HG-5-88-01 Group 8</t>
  </si>
  <si>
    <t>HG-6-64-1 Group 18</t>
  </si>
  <si>
    <t>I-BET-762 Group 50</t>
  </si>
  <si>
    <t>Imatinib Group 44</t>
  </si>
  <si>
    <t>IOX2 Group 55</t>
  </si>
  <si>
    <t>IPA-3 Group 55</t>
  </si>
  <si>
    <t>Ispinesib Mesylate Group 55</t>
  </si>
  <si>
    <t>JNJ-26854165 Group 53</t>
  </si>
  <si>
    <t>JNK Inhibitor VIII Group 14</t>
  </si>
  <si>
    <t>JNK-9L Group 14</t>
  </si>
  <si>
    <t>JQ1 Group 50</t>
  </si>
  <si>
    <t>JQ12 Group 13</t>
  </si>
  <si>
    <t>JW-7-24-1 Group 55</t>
  </si>
  <si>
    <t>JW-7-52-1 Group 15</t>
  </si>
  <si>
    <t>KIN001-055 Group 7</t>
  </si>
  <si>
    <t>KIN001-102 Group 5</t>
  </si>
  <si>
    <t>KIN001-135 Group 1</t>
  </si>
  <si>
    <t>KIN001-236 Group 55</t>
  </si>
  <si>
    <t>KIN001-244 Group 32</t>
  </si>
  <si>
    <t>KIN001-260 Group 1</t>
  </si>
  <si>
    <t>KIN001-266 Group 1</t>
  </si>
  <si>
    <t>KIN001-270 Group 16</t>
  </si>
  <si>
    <t>KU-55933 Group 40</t>
  </si>
  <si>
    <t>Lapatinib Group 8</t>
  </si>
  <si>
    <t>LAQ824 Group 13</t>
  </si>
  <si>
    <t>Lenalidomide Group 55</t>
  </si>
  <si>
    <t>LFM-A13 Group 55</t>
  </si>
  <si>
    <t>Linifanib Group 46</t>
  </si>
  <si>
    <t>Lisitinib Group 28</t>
  </si>
  <si>
    <t>LY317615 Group 55</t>
  </si>
  <si>
    <t>Masitinib Group 44</t>
  </si>
  <si>
    <t>Methotrexate Group 3</t>
  </si>
  <si>
    <t>MG-132 Group 30</t>
  </si>
  <si>
    <t>Midostaurin Group 44</t>
  </si>
  <si>
    <t>Mitomycin C Group 25</t>
  </si>
  <si>
    <t>MK-2206 Group 5</t>
  </si>
  <si>
    <t>MLN4924 Group 55</t>
  </si>
  <si>
    <t>MP470 Group 44</t>
  </si>
  <si>
    <t>MPS-1-IN-1 Group 55</t>
  </si>
  <si>
    <t>MS-275 Group 13</t>
  </si>
  <si>
    <t>Navitoclax Group 51</t>
  </si>
  <si>
    <t>NG-25 Group 1</t>
  </si>
  <si>
    <t>Nilotinib Group 44</t>
  </si>
  <si>
    <t>NPK76-II-72-1 Group 22</t>
  </si>
  <si>
    <t>NSC-207895 Group 53</t>
  </si>
  <si>
    <t>NSC-87877 Group 55</t>
  </si>
  <si>
    <t>NU-7441 Group 15</t>
  </si>
  <si>
    <t>Nutlin-3a (-) Group 53</t>
  </si>
  <si>
    <t>Obatoclax Mesylate Group 51</t>
  </si>
  <si>
    <t>Olaparib Group 9</t>
  </si>
  <si>
    <t>OSI-027 Group 15</t>
  </si>
  <si>
    <t>OSI-930 Group 44</t>
  </si>
  <si>
    <t>OSU-03012 Group 32</t>
  </si>
  <si>
    <t>PAC-1 Group 55</t>
  </si>
  <si>
    <t>Paclitaxel Group 12</t>
  </si>
  <si>
    <t>Parthenolide Group 1</t>
  </si>
  <si>
    <t>Pazopanib Group 8</t>
  </si>
  <si>
    <t>PD-0325901 Group 24</t>
  </si>
  <si>
    <t>PD-0332991 Group 16</t>
  </si>
  <si>
    <t>PD-173074 Group 55</t>
  </si>
  <si>
    <t>PF-4708671 Group 55</t>
  </si>
  <si>
    <t>PF-562271 Group 55</t>
  </si>
  <si>
    <t>PFI-1 Group 50</t>
  </si>
  <si>
    <t>PHA-665752 Group 37</t>
  </si>
  <si>
    <t>PHA-793887 Group 7</t>
  </si>
  <si>
    <t>Phenformin Group 15</t>
  </si>
  <si>
    <t>PI-103 Group 15</t>
  </si>
  <si>
    <t>PIK-93 Group 15</t>
  </si>
  <si>
    <t>piperlongumine Group 55</t>
  </si>
  <si>
    <t>PLX4720 Group 18</t>
  </si>
  <si>
    <t>Pyrimethamine Group 3</t>
  </si>
  <si>
    <t>QL-VIII-58 Group 15</t>
  </si>
  <si>
    <t>QL-X-138 Group 15</t>
  </si>
  <si>
    <t>QL-XI-92 Group 55</t>
  </si>
  <si>
    <t>QL-XII-47 Group 54</t>
  </si>
  <si>
    <t>QL-XII-61 Group 54</t>
  </si>
  <si>
    <t>QS11 Group 55</t>
  </si>
  <si>
    <t>Rapamycin Group 15</t>
  </si>
  <si>
    <t>RDEA119 Group 24</t>
  </si>
  <si>
    <t>RO-3306 Group 16</t>
  </si>
  <si>
    <t>Roscovitine Group 16</t>
  </si>
  <si>
    <t>rTRAIL Group 55</t>
  </si>
  <si>
    <t>Ruxolitinib Group 7</t>
  </si>
  <si>
    <t>Salubrinal Group 55</t>
  </si>
  <si>
    <t>Saracatinib Group 44</t>
  </si>
  <si>
    <t>SB 216763 Group 38</t>
  </si>
  <si>
    <t>SB 505124 Group 37</t>
  </si>
  <si>
    <t>SB52334 Group 46</t>
  </si>
  <si>
    <t>SB590885 Group 18</t>
  </si>
  <si>
    <t>selumetinib Group 24</t>
  </si>
  <si>
    <t>SGC0946 Group 55</t>
  </si>
  <si>
    <t>Shikonin Group 55</t>
  </si>
  <si>
    <t>SL 0101-1 Group 39</t>
  </si>
  <si>
    <t>SN-38 Group 34</t>
  </si>
  <si>
    <t>SNX-2112 Group 2</t>
  </si>
  <si>
    <t>Sorafenib Group 44</t>
  </si>
  <si>
    <t>STF-62247 Group 55</t>
  </si>
  <si>
    <t>S-Trityl-L-cysteine Group 55</t>
  </si>
  <si>
    <t>Sunitinib Group 44</t>
  </si>
  <si>
    <t>T0901317 Group 55</t>
  </si>
  <si>
    <t>TAE684 Group 37</t>
  </si>
  <si>
    <t>TAK-715 Grouup 1</t>
  </si>
  <si>
    <t>Talazoparib Group 9</t>
  </si>
  <si>
    <t>Tamoxifen Group 55</t>
  </si>
  <si>
    <t>Temozolomide Group 25</t>
  </si>
  <si>
    <t>Temsirolimus Group 15</t>
  </si>
  <si>
    <t xml:space="preserve">TG101348 Group 7 </t>
  </si>
  <si>
    <t>TGX221 Group 15</t>
  </si>
  <si>
    <t>Thapsigargin Group 55</t>
  </si>
  <si>
    <t>THZ-2-102-1 Group 16</t>
  </si>
  <si>
    <t>THZ-2-49 Group 16</t>
  </si>
  <si>
    <t>Tipifarnib Group 47</t>
  </si>
  <si>
    <t>Tivozanib Group 8</t>
  </si>
  <si>
    <t>TL-1-85 Group 1</t>
  </si>
  <si>
    <t>TL-2-105 Group 18</t>
  </si>
  <si>
    <t>TPCA-1 Group 1</t>
  </si>
  <si>
    <t>Trametinib Group 24</t>
  </si>
  <si>
    <t>Tubastatin A Group 13</t>
  </si>
  <si>
    <t>TW 37 Group 51</t>
  </si>
  <si>
    <t>UNC0638 Group 55</t>
  </si>
  <si>
    <t>UNC1215 Group 55</t>
  </si>
  <si>
    <t>Veliparib Group 9</t>
  </si>
  <si>
    <t>Vinblastine Group 12</t>
  </si>
  <si>
    <t>Vinorelbine Group 12</t>
  </si>
  <si>
    <t>VNLG/124 Group 13</t>
  </si>
  <si>
    <t xml:space="preserve">Vorinostat Group 13 </t>
  </si>
  <si>
    <t>VX-11e Group 24</t>
  </si>
  <si>
    <t>VX-680 Group 33</t>
  </si>
  <si>
    <t>VX-702 Group 1</t>
  </si>
  <si>
    <t>WH-4-023 Group 6</t>
  </si>
  <si>
    <t>WZ-1-84 Group 54</t>
  </si>
  <si>
    <t>WZ3105 Group 7</t>
  </si>
  <si>
    <t>XAV939 Group 55</t>
  </si>
  <si>
    <t>XL-184 Group 8</t>
  </si>
  <si>
    <t>XMD11-85h Group 39</t>
  </si>
  <si>
    <t>XMD13-2 Group 55</t>
  </si>
  <si>
    <t>XMD14-99 Group 26</t>
  </si>
  <si>
    <t>XMD15-27 Group 26</t>
  </si>
  <si>
    <t>XMD8-85 Group 24</t>
  </si>
  <si>
    <t>XMD8-92 Group 24</t>
  </si>
  <si>
    <t>Y-39983 Group 49</t>
  </si>
  <si>
    <t>YK 4-279 Group 55</t>
  </si>
  <si>
    <t>YM155 Group 41</t>
  </si>
  <si>
    <t>YM201636 Group 55</t>
  </si>
  <si>
    <t>ZG-10 Group 55</t>
  </si>
  <si>
    <t>Zibotentan Group 55</t>
  </si>
  <si>
    <t>Z-LLNle-CHO Group 29</t>
  </si>
  <si>
    <t>ZM-447439 Group 33</t>
  </si>
  <si>
    <t>ZSTK474 Group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</si>
</sst>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0"/>
      <color theme="1"/>
      <name val="Calibri"/>
      <scheme val="minor"/>
    </font>
    <font>
      <b/>
      <u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0" fontId="3" fillId="0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Font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0" xfId="0" applyFont="1" applyBorder="1"/>
    <xf numFmtId="2" fontId="3" fillId="0" borderId="0" xfId="0" applyNumberFormat="1" applyFont="1" applyBorder="1"/>
    <xf numFmtId="2" fontId="3" fillId="0" borderId="11" xfId="0" applyNumberFormat="1" applyFont="1" applyBorder="1"/>
    <xf numFmtId="0" fontId="3" fillId="0" borderId="12" xfId="0" applyFont="1" applyBorder="1"/>
    <xf numFmtId="0" fontId="3" fillId="0" borderId="13" xfId="0" applyFont="1" applyBorder="1"/>
    <xf numFmtId="2" fontId="3" fillId="0" borderId="13" xfId="0" applyNumberFormat="1" applyFont="1" applyBorder="1"/>
    <xf numFmtId="2" fontId="3" fillId="0" borderId="14" xfId="0" applyNumberFormat="1" applyFont="1" applyBorder="1"/>
    <xf numFmtId="0" fontId="3" fillId="0" borderId="15" xfId="0" applyFont="1" applyBorder="1"/>
    <xf numFmtId="0" fontId="3" fillId="0" borderId="16" xfId="0" applyFont="1" applyBorder="1"/>
    <xf numFmtId="2" fontId="3" fillId="0" borderId="16" xfId="0" applyNumberFormat="1" applyFont="1" applyBorder="1"/>
    <xf numFmtId="2" fontId="3" fillId="0" borderId="17" xfId="0" applyNumberFormat="1" applyFont="1" applyBorder="1"/>
    <xf numFmtId="0" fontId="4" fillId="0" borderId="0" xfId="0" applyFont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2" fontId="3" fillId="0" borderId="22" xfId="0" applyNumberFormat="1" applyFont="1" applyBorder="1"/>
    <xf numFmtId="2" fontId="3" fillId="0" borderId="23" xfId="0" applyNumberFormat="1" applyFont="1" applyBorder="1"/>
    <xf numFmtId="0" fontId="3" fillId="0" borderId="17" xfId="0" applyFont="1" applyBorder="1"/>
    <xf numFmtId="0" fontId="3" fillId="0" borderId="11" xfId="0" applyFont="1" applyBorder="1"/>
    <xf numFmtId="2" fontId="3" fillId="0" borderId="24" xfId="0" applyNumberFormat="1" applyFont="1" applyBorder="1"/>
    <xf numFmtId="0" fontId="3" fillId="0" borderId="24" xfId="0" applyFont="1" applyBorder="1"/>
    <xf numFmtId="0" fontId="3" fillId="0" borderId="23" xfId="0" applyFont="1" applyBorder="1"/>
    <xf numFmtId="0" fontId="3" fillId="0" borderId="16" xfId="0" applyFont="1" applyFill="1" applyBorder="1"/>
    <xf numFmtId="2" fontId="3" fillId="0" borderId="16" xfId="0" applyNumberFormat="1" applyFont="1" applyFill="1" applyBorder="1"/>
    <xf numFmtId="0" fontId="3" fillId="0" borderId="22" xfId="0" applyFont="1" applyFill="1" applyBorder="1"/>
    <xf numFmtId="2" fontId="3" fillId="0" borderId="22" xfId="0" applyNumberFormat="1" applyFont="1" applyFill="1" applyBorder="1"/>
    <xf numFmtId="2" fontId="3" fillId="0" borderId="25" xfId="0" applyNumberFormat="1" applyFont="1" applyBorder="1"/>
    <xf numFmtId="0" fontId="3" fillId="0" borderId="0" xfId="0" applyFont="1" applyFill="1" applyBorder="1"/>
    <xf numFmtId="2" fontId="3" fillId="0" borderId="0" xfId="0" applyNumberFormat="1" applyFont="1" applyFill="1" applyBorder="1"/>
    <xf numFmtId="2" fontId="3" fillId="0" borderId="0" xfId="0" applyNumberFormat="1" applyFont="1"/>
    <xf numFmtId="2" fontId="3" fillId="0" borderId="12" xfId="0" applyNumberFormat="1" applyFont="1" applyBorder="1"/>
    <xf numFmtId="0" fontId="1" fillId="0" borderId="0" xfId="0" applyFont="1"/>
    <xf numFmtId="2" fontId="3" fillId="0" borderId="21" xfId="0" applyNumberFormat="1" applyFont="1" applyBorder="1"/>
    <xf numFmtId="0" fontId="3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2" fontId="3" fillId="0" borderId="18" xfId="0" applyNumberFormat="1" applyFont="1" applyBorder="1"/>
    <xf numFmtId="0" fontId="3" fillId="0" borderId="26" xfId="0" applyFont="1" applyBorder="1"/>
    <xf numFmtId="0" fontId="3" fillId="0" borderId="27" xfId="0" applyFont="1" applyBorder="1"/>
    <xf numFmtId="0" fontId="0" fillId="0" borderId="21" xfId="0" applyBorder="1"/>
    <xf numFmtId="0" fontId="0" fillId="0" borderId="22" xfId="0" applyBorder="1"/>
    <xf numFmtId="2" fontId="3" fillId="0" borderId="3" xfId="0" applyNumberFormat="1" applyFont="1" applyBorder="1"/>
    <xf numFmtId="2" fontId="3" fillId="0" borderId="4" xfId="0" applyNumberFormat="1" applyFont="1" applyBorder="1"/>
    <xf numFmtId="2" fontId="3" fillId="0" borderId="14" xfId="0" applyNumberFormat="1" applyFont="1" applyFill="1" applyBorder="1"/>
    <xf numFmtId="0" fontId="0" fillId="0" borderId="12" xfId="0" applyBorder="1"/>
    <xf numFmtId="0" fontId="0" fillId="0" borderId="13" xfId="0" applyBorder="1"/>
    <xf numFmtId="0" fontId="0" fillId="0" borderId="25" xfId="0" applyBorder="1"/>
    <xf numFmtId="0" fontId="0" fillId="0" borderId="24" xfId="0" applyBorder="1"/>
    <xf numFmtId="0" fontId="0" fillId="0" borderId="14" xfId="0" applyBorder="1"/>
    <xf numFmtId="0" fontId="0" fillId="0" borderId="17" xfId="0" applyBorder="1"/>
    <xf numFmtId="0" fontId="0" fillId="0" borderId="23" xfId="0" applyBorder="1"/>
    <xf numFmtId="0" fontId="3" fillId="0" borderId="28" xfId="0" applyFont="1" applyBorder="1"/>
    <xf numFmtId="0" fontId="3" fillId="0" borderId="29" xfId="0" applyFont="1" applyBorder="1"/>
    <xf numFmtId="0" fontId="0" fillId="0" borderId="1" xfId="0" applyBorder="1"/>
    <xf numFmtId="0" fontId="0" fillId="0" borderId="2" xfId="0" applyBorder="1"/>
    <xf numFmtId="2" fontId="3" fillId="0" borderId="17" xfId="0" applyNumberFormat="1" applyFont="1" applyFill="1" applyBorder="1"/>
    <xf numFmtId="2" fontId="3" fillId="0" borderId="23" xfId="0" applyNumberFormat="1" applyFont="1" applyFill="1" applyBorder="1"/>
    <xf numFmtId="2" fontId="3" fillId="0" borderId="24" xfId="0" applyNumberFormat="1" applyFont="1" applyFill="1" applyBorder="1"/>
    <xf numFmtId="0" fontId="3" fillId="0" borderId="13" xfId="0" applyFont="1" applyFill="1" applyBorder="1"/>
    <xf numFmtId="2" fontId="3" fillId="0" borderId="13" xfId="0" applyNumberFormat="1" applyFont="1" applyFill="1" applyBorder="1"/>
    <xf numFmtId="0" fontId="5" fillId="0" borderId="0" xfId="0" applyFont="1"/>
    <xf numFmtId="49" fontId="6" fillId="0" borderId="12" xfId="0" applyNumberFormat="1" applyFont="1" applyBorder="1" applyAlignment="1">
      <alignment horizontal="center" wrapText="1"/>
    </xf>
    <xf numFmtId="49" fontId="6" fillId="0" borderId="26" xfId="0" applyNumberFormat="1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49" fontId="6" fillId="0" borderId="7" xfId="0" applyNumberFormat="1" applyFont="1" applyBorder="1" applyAlignment="1">
      <alignment horizontal="center" wrapText="1"/>
    </xf>
    <xf numFmtId="0" fontId="3" fillId="0" borderId="30" xfId="0" applyFont="1" applyBorder="1"/>
    <xf numFmtId="0" fontId="3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2" fontId="3" fillId="0" borderId="33" xfId="0" applyNumberFormat="1" applyFont="1" applyBorder="1"/>
    <xf numFmtId="0" fontId="3" fillId="0" borderId="8" xfId="0" applyFont="1" applyBorder="1" applyAlignment="1">
      <alignment horizontal="center"/>
    </xf>
    <xf numFmtId="0" fontId="0" fillId="0" borderId="34" xfId="0" applyBorder="1" applyAlignment="1">
      <alignment horizontal="center"/>
    </xf>
    <xf numFmtId="2" fontId="3" fillId="0" borderId="9" xfId="0" applyNumberFormat="1" applyFont="1" applyBorder="1"/>
    <xf numFmtId="2" fontId="3" fillId="0" borderId="9" xfId="0" applyNumberFormat="1" applyFont="1" applyBorder="1" applyAlignment="1">
      <alignment horizontal="right"/>
    </xf>
    <xf numFmtId="0" fontId="3" fillId="0" borderId="19" xfId="0" applyFont="1" applyBorder="1" applyAlignment="1">
      <alignment horizontal="center"/>
    </xf>
    <xf numFmtId="0" fontId="0" fillId="0" borderId="35" xfId="0" applyBorder="1" applyAlignment="1">
      <alignment horizontal="center"/>
    </xf>
    <xf numFmtId="2" fontId="3" fillId="0" borderId="20" xfId="0" applyNumberFormat="1" applyFont="1" applyBorder="1"/>
    <xf numFmtId="0" fontId="3" fillId="0" borderId="36" xfId="0" applyFont="1" applyBorder="1" applyAlignment="1">
      <alignment horizontal="center"/>
    </xf>
    <xf numFmtId="0" fontId="0" fillId="0" borderId="37" xfId="0" applyBorder="1" applyAlignment="1">
      <alignment horizontal="center"/>
    </xf>
    <xf numFmtId="2" fontId="3" fillId="0" borderId="38" xfId="0" applyNumberFormat="1" applyFont="1" applyBorder="1"/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9" xfId="0" applyBorder="1" applyAlignment="1">
      <alignment horizontal="center"/>
    </xf>
    <xf numFmtId="2" fontId="3" fillId="0" borderId="29" xfId="0" applyNumberFormat="1" applyFont="1" applyBorder="1"/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3"/>
  <sheetViews>
    <sheetView tabSelected="1" workbookViewId="0">
      <selection activeCell="F3" sqref="F3"/>
    </sheetView>
  </sheetViews>
  <sheetFormatPr baseColWidth="10" defaultRowHeight="16" x14ac:dyDescent="0.2"/>
  <cols>
    <col min="1" max="1" width="25.1640625" bestFit="1" customWidth="1"/>
    <col min="4" max="4" width="22.1640625" bestFit="1" customWidth="1"/>
    <col min="8" max="8" width="24" bestFit="1" customWidth="1"/>
    <col min="11" max="11" width="22.33203125" bestFit="1" customWidth="1"/>
    <col min="12" max="12" width="22" bestFit="1" customWidth="1"/>
    <col min="16" max="16" width="24" bestFit="1" customWidth="1"/>
    <col min="19" max="19" width="22.33203125" bestFit="1" customWidth="1"/>
    <col min="20" max="20" width="22" bestFit="1" customWidth="1"/>
    <col min="23" max="23" width="15.6640625" bestFit="1" customWidth="1"/>
    <col min="24" max="24" width="24" bestFit="1" customWidth="1"/>
    <col min="27" max="27" width="22.33203125" bestFit="1" customWidth="1"/>
    <col min="28" max="28" width="22" bestFit="1" customWidth="1"/>
    <col min="31" max="31" width="15.6640625" bestFit="1" customWidth="1"/>
    <col min="32" max="32" width="24" bestFit="1" customWidth="1"/>
    <col min="35" max="35" width="22.33203125" bestFit="1" customWidth="1"/>
    <col min="36" max="36" width="22" bestFit="1" customWidth="1"/>
    <col min="39" max="39" width="15.6640625" bestFit="1" customWidth="1"/>
    <col min="40" max="40" width="24" bestFit="1" customWidth="1"/>
    <col min="43" max="43" width="22.33203125" bestFit="1" customWidth="1"/>
    <col min="44" max="44" width="22" bestFit="1" customWidth="1"/>
  </cols>
  <sheetData>
    <row r="1" spans="1:46" ht="22" thickBot="1" x14ac:dyDescent="0.3">
      <c r="B1" t="s">
        <v>0</v>
      </c>
      <c r="D1" s="1" t="s">
        <v>0</v>
      </c>
      <c r="E1" s="2" t="s">
        <v>1</v>
      </c>
      <c r="G1" s="3" t="s">
        <v>2</v>
      </c>
      <c r="H1" s="4" t="s">
        <v>3</v>
      </c>
      <c r="I1" s="4" t="s">
        <v>4</v>
      </c>
      <c r="J1" s="4" t="s">
        <v>0</v>
      </c>
      <c r="K1" s="4" t="s">
        <v>5</v>
      </c>
      <c r="L1" s="5" t="s">
        <v>6</v>
      </c>
      <c r="M1" s="6" t="s">
        <v>7</v>
      </c>
      <c r="O1" s="3" t="s">
        <v>8</v>
      </c>
      <c r="P1" s="4" t="s">
        <v>3</v>
      </c>
      <c r="Q1" s="4" t="s">
        <v>4</v>
      </c>
      <c r="R1" s="4" t="s">
        <v>0</v>
      </c>
      <c r="S1" s="4" t="s">
        <v>5</v>
      </c>
      <c r="T1" s="7" t="s">
        <v>6</v>
      </c>
      <c r="U1" s="8" t="s">
        <v>7</v>
      </c>
      <c r="W1" s="3" t="s">
        <v>9</v>
      </c>
      <c r="X1" s="9" t="s">
        <v>3</v>
      </c>
      <c r="Y1" s="9" t="s">
        <v>4</v>
      </c>
      <c r="Z1" s="9" t="s">
        <v>0</v>
      </c>
      <c r="AA1" s="9" t="s">
        <v>5</v>
      </c>
      <c r="AB1" s="10" t="s">
        <v>6</v>
      </c>
      <c r="AC1" s="8" t="s">
        <v>7</v>
      </c>
      <c r="AE1" s="3" t="s">
        <v>10</v>
      </c>
      <c r="AF1" s="4" t="s">
        <v>3</v>
      </c>
      <c r="AG1" s="4" t="s">
        <v>4</v>
      </c>
      <c r="AH1" s="4" t="s">
        <v>0</v>
      </c>
      <c r="AI1" s="4" t="s">
        <v>5</v>
      </c>
      <c r="AJ1" s="5" t="s">
        <v>6</v>
      </c>
      <c r="AK1" s="8" t="s">
        <v>7</v>
      </c>
      <c r="AM1" s="3" t="s">
        <v>11</v>
      </c>
      <c r="AN1" s="4" t="s">
        <v>3</v>
      </c>
      <c r="AO1" s="4" t="s">
        <v>4</v>
      </c>
      <c r="AP1" s="4" t="s">
        <v>0</v>
      </c>
      <c r="AQ1" s="4" t="s">
        <v>5</v>
      </c>
      <c r="AR1" s="5" t="s">
        <v>6</v>
      </c>
      <c r="AS1" s="8" t="s">
        <v>7</v>
      </c>
      <c r="AT1" s="11"/>
    </row>
    <row r="2" spans="1:46" ht="20" thickBot="1" x14ac:dyDescent="0.3">
      <c r="A2" t="s">
        <v>12</v>
      </c>
      <c r="B2">
        <v>1</v>
      </c>
      <c r="D2" s="12">
        <v>1</v>
      </c>
      <c r="E2" s="13">
        <f>COUNTIF(B2:B252,1)</f>
        <v>12</v>
      </c>
      <c r="G2" s="11"/>
      <c r="H2" s="14">
        <v>1</v>
      </c>
      <c r="I2" s="15">
        <v>1</v>
      </c>
      <c r="J2" s="15">
        <v>13</v>
      </c>
      <c r="K2" s="16">
        <v>50</v>
      </c>
      <c r="L2" s="16">
        <f>1/E14*100</f>
        <v>10</v>
      </c>
      <c r="M2" s="17">
        <f>(K2/100)*(L2)</f>
        <v>5</v>
      </c>
      <c r="O2" s="11"/>
      <c r="P2" s="18">
        <v>1</v>
      </c>
      <c r="Q2" s="19">
        <v>2</v>
      </c>
      <c r="R2" s="19">
        <v>13</v>
      </c>
      <c r="S2" s="20">
        <v>100</v>
      </c>
      <c r="T2" s="21">
        <f>1/10*100</f>
        <v>10</v>
      </c>
      <c r="U2" s="17">
        <f>(S2/100)*T2</f>
        <v>10</v>
      </c>
      <c r="W2" s="11"/>
      <c r="X2" s="22">
        <v>1</v>
      </c>
      <c r="Y2" s="23">
        <v>1</v>
      </c>
      <c r="Z2" s="23">
        <v>7</v>
      </c>
      <c r="AA2" s="24">
        <f>1/3*100</f>
        <v>33.333333333333329</v>
      </c>
      <c r="AB2" s="25">
        <f>1/7*100</f>
        <v>14.285714285714285</v>
      </c>
      <c r="AC2" s="25">
        <f>(AA2/100)*AB2</f>
        <v>4.7619047619047601</v>
      </c>
      <c r="AE2" s="26"/>
      <c r="AF2" s="18">
        <v>1</v>
      </c>
      <c r="AG2" s="19">
        <v>2</v>
      </c>
      <c r="AH2" s="19">
        <v>22</v>
      </c>
      <c r="AI2" s="20">
        <v>100</v>
      </c>
      <c r="AJ2" s="21">
        <f>2/3*100</f>
        <v>66.666666666666657</v>
      </c>
      <c r="AK2" s="17">
        <f>(AI2/100)*AJ2</f>
        <v>66.666666666666657</v>
      </c>
      <c r="AM2" s="11"/>
      <c r="AN2" s="18">
        <v>1</v>
      </c>
      <c r="AO2" s="19">
        <v>2</v>
      </c>
      <c r="AP2" s="19">
        <v>22</v>
      </c>
      <c r="AQ2" s="19">
        <v>100</v>
      </c>
      <c r="AR2" s="21">
        <f>2/3*100</f>
        <v>66.666666666666657</v>
      </c>
      <c r="AS2" s="27">
        <f>(AQ2/100)*AR2</f>
        <v>66.666666666666657</v>
      </c>
      <c r="AT2" s="11"/>
    </row>
    <row r="3" spans="1:46" ht="20" thickBot="1" x14ac:dyDescent="0.3">
      <c r="A3" t="s">
        <v>13</v>
      </c>
      <c r="B3">
        <v>2</v>
      </c>
      <c r="D3" s="28">
        <v>2</v>
      </c>
      <c r="E3" s="29">
        <f>COUNTIF(B2:B252,2)</f>
        <v>5</v>
      </c>
      <c r="G3" s="11"/>
      <c r="H3" s="30"/>
      <c r="I3" s="31">
        <v>1</v>
      </c>
      <c r="J3" s="31">
        <v>55</v>
      </c>
      <c r="K3" s="32">
        <v>50</v>
      </c>
      <c r="L3" s="32">
        <f>1/38*100</f>
        <v>2.6315789473684208</v>
      </c>
      <c r="M3" s="17">
        <f t="shared" ref="M3:M16" si="0">(K3/100)*(L3)</f>
        <v>1.3157894736842104</v>
      </c>
      <c r="O3" s="11"/>
      <c r="P3" s="18">
        <v>2</v>
      </c>
      <c r="Q3" s="19">
        <v>2</v>
      </c>
      <c r="R3" s="19">
        <v>22</v>
      </c>
      <c r="S3" s="20">
        <v>100</v>
      </c>
      <c r="T3" s="21">
        <f>2/3*100</f>
        <v>66.666666666666657</v>
      </c>
      <c r="U3" s="17">
        <f t="shared" ref="U3:U10" si="1">(S3/100)*T3</f>
        <v>66.666666666666657</v>
      </c>
      <c r="W3" s="11"/>
      <c r="X3" s="14"/>
      <c r="Y3" s="15">
        <v>1</v>
      </c>
      <c r="Z3" s="15">
        <v>40</v>
      </c>
      <c r="AA3" s="16">
        <f t="shared" ref="AA3:AA6" si="2">1/3*100</f>
        <v>33.333333333333329</v>
      </c>
      <c r="AB3" s="33">
        <v>50</v>
      </c>
      <c r="AC3" s="33">
        <f t="shared" ref="AC3:AC18" si="3">(AA3/100)*AB3</f>
        <v>16.666666666666664</v>
      </c>
      <c r="AE3" s="26"/>
      <c r="AF3" s="22">
        <v>2</v>
      </c>
      <c r="AG3" s="23">
        <v>1</v>
      </c>
      <c r="AH3" s="23">
        <v>18</v>
      </c>
      <c r="AI3" s="24">
        <v>50</v>
      </c>
      <c r="AJ3" s="25">
        <f>1/6*100</f>
        <v>16.666666666666664</v>
      </c>
      <c r="AK3" s="17">
        <f t="shared" ref="AK3:AK13" si="4">(AI3/100)*AJ3</f>
        <v>8.3333333333333321</v>
      </c>
      <c r="AM3" s="11"/>
      <c r="AN3" s="22">
        <v>2</v>
      </c>
      <c r="AO3" s="23">
        <v>2</v>
      </c>
      <c r="AP3" s="23">
        <v>15</v>
      </c>
      <c r="AQ3" s="23">
        <f>2/3*100</f>
        <v>66.666666666666657</v>
      </c>
      <c r="AR3" s="34">
        <f>2/19*100</f>
        <v>10.526315789473683</v>
      </c>
      <c r="AS3" s="35">
        <f t="shared" ref="AS3:AS16" si="5">(AQ3/100)*AR3</f>
        <v>7.0175438596491206</v>
      </c>
      <c r="AT3" s="11"/>
    </row>
    <row r="4" spans="1:46" ht="20" thickBot="1" x14ac:dyDescent="0.3">
      <c r="A4" t="s">
        <v>14</v>
      </c>
      <c r="B4">
        <v>25</v>
      </c>
      <c r="D4" s="28">
        <v>3</v>
      </c>
      <c r="E4" s="29">
        <f>COUNTIF(B2:B252,3)</f>
        <v>2</v>
      </c>
      <c r="G4" s="11"/>
      <c r="H4" s="22">
        <v>2</v>
      </c>
      <c r="I4" s="23">
        <v>1</v>
      </c>
      <c r="J4" s="23">
        <v>50</v>
      </c>
      <c r="K4" s="24">
        <v>20</v>
      </c>
      <c r="L4" s="24">
        <f>1/3*100</f>
        <v>33.333333333333329</v>
      </c>
      <c r="M4" s="17">
        <f t="shared" si="0"/>
        <v>6.6666666666666661</v>
      </c>
      <c r="O4" s="11"/>
      <c r="P4" s="22">
        <v>3</v>
      </c>
      <c r="Q4" s="23">
        <v>1</v>
      </c>
      <c r="R4" s="23">
        <v>32</v>
      </c>
      <c r="S4" s="24">
        <f>1/3*100</f>
        <v>33.333333333333329</v>
      </c>
      <c r="T4" s="25">
        <f>1/3*100</f>
        <v>33.333333333333329</v>
      </c>
      <c r="U4" s="17">
        <f t="shared" si="1"/>
        <v>11.111111111111107</v>
      </c>
      <c r="W4" s="11"/>
      <c r="X4" s="30"/>
      <c r="Y4" s="31">
        <v>1</v>
      </c>
      <c r="Z4" s="31">
        <v>55</v>
      </c>
      <c r="AA4" s="32">
        <f t="shared" si="2"/>
        <v>33.333333333333329</v>
      </c>
      <c r="AB4" s="36">
        <f>1/38*100</f>
        <v>2.6315789473684208</v>
      </c>
      <c r="AC4" s="36">
        <f t="shared" si="3"/>
        <v>0.87719298245614008</v>
      </c>
      <c r="AE4" s="26"/>
      <c r="AF4" s="30"/>
      <c r="AG4" s="31">
        <v>1</v>
      </c>
      <c r="AH4" s="31">
        <v>24</v>
      </c>
      <c r="AI4" s="32">
        <v>50</v>
      </c>
      <c r="AJ4" s="36">
        <v>10</v>
      </c>
      <c r="AK4" s="17">
        <f t="shared" si="4"/>
        <v>5</v>
      </c>
      <c r="AM4" s="11"/>
      <c r="AN4" s="30"/>
      <c r="AO4" s="31">
        <v>1</v>
      </c>
      <c r="AP4" s="31">
        <v>40</v>
      </c>
      <c r="AQ4" s="31">
        <f>1/3*100</f>
        <v>33.333333333333329</v>
      </c>
      <c r="AR4" s="37">
        <v>50</v>
      </c>
      <c r="AS4" s="35">
        <f t="shared" si="5"/>
        <v>16.666666666666664</v>
      </c>
      <c r="AT4" s="11"/>
    </row>
    <row r="5" spans="1:46" ht="19" x14ac:dyDescent="0.25">
      <c r="A5" t="s">
        <v>15</v>
      </c>
      <c r="B5">
        <v>4</v>
      </c>
      <c r="D5" s="28">
        <v>4</v>
      </c>
      <c r="E5" s="29">
        <f>COUNTIF(B2:B252,4)</f>
        <v>2</v>
      </c>
      <c r="G5" s="11"/>
      <c r="H5" s="14"/>
      <c r="I5" s="15">
        <v>1</v>
      </c>
      <c r="J5" s="15">
        <v>1</v>
      </c>
      <c r="K5" s="16">
        <v>20</v>
      </c>
      <c r="L5" s="16">
        <f>1/12*100</f>
        <v>8.3333333333333321</v>
      </c>
      <c r="M5" s="17">
        <f t="shared" si="0"/>
        <v>1.6666666666666665</v>
      </c>
      <c r="O5" s="11"/>
      <c r="P5" s="14"/>
      <c r="Q5" s="15">
        <v>1</v>
      </c>
      <c r="R5" s="15">
        <v>15</v>
      </c>
      <c r="S5" s="16">
        <f t="shared" ref="S5:S6" si="6">1/3*100</f>
        <v>33.333333333333329</v>
      </c>
      <c r="T5" s="33">
        <f>1/19*100</f>
        <v>5.2631578947368416</v>
      </c>
      <c r="U5" s="17">
        <f t="shared" si="1"/>
        <v>1.7543859649122802</v>
      </c>
      <c r="W5" s="11"/>
      <c r="X5" s="22">
        <v>2</v>
      </c>
      <c r="Y5" s="23">
        <v>2</v>
      </c>
      <c r="Z5" s="23">
        <v>13</v>
      </c>
      <c r="AA5" s="24">
        <f>2/3*100</f>
        <v>66.666666666666657</v>
      </c>
      <c r="AB5" s="25">
        <v>20</v>
      </c>
      <c r="AC5" s="25">
        <f t="shared" si="3"/>
        <v>13.33333333333333</v>
      </c>
      <c r="AE5" s="26"/>
      <c r="AF5" s="22">
        <v>3</v>
      </c>
      <c r="AG5" s="23">
        <v>3</v>
      </c>
      <c r="AH5" s="23">
        <v>15</v>
      </c>
      <c r="AI5" s="24">
        <v>75</v>
      </c>
      <c r="AJ5" s="25">
        <f>3/19*100</f>
        <v>15.789473684210526</v>
      </c>
      <c r="AK5" s="17">
        <f t="shared" si="4"/>
        <v>11.842105263157894</v>
      </c>
      <c r="AM5" s="11"/>
      <c r="AN5" s="22">
        <v>3</v>
      </c>
      <c r="AO5" s="23">
        <v>1</v>
      </c>
      <c r="AP5" s="23">
        <v>13</v>
      </c>
      <c r="AQ5" s="23">
        <f t="shared" ref="AQ5:AQ7" si="7">1/3*100</f>
        <v>33.333333333333329</v>
      </c>
      <c r="AR5" s="34">
        <v>10</v>
      </c>
      <c r="AS5" s="35">
        <f t="shared" si="5"/>
        <v>3.3333333333333326</v>
      </c>
      <c r="AT5" s="11"/>
    </row>
    <row r="6" spans="1:46" ht="20" thickBot="1" x14ac:dyDescent="0.3">
      <c r="A6" t="s">
        <v>16</v>
      </c>
      <c r="B6">
        <v>5</v>
      </c>
      <c r="D6" s="28">
        <v>5</v>
      </c>
      <c r="E6" s="29">
        <f>COUNTIF(B2:B252,5)</f>
        <v>5</v>
      </c>
      <c r="G6" s="11"/>
      <c r="H6" s="14"/>
      <c r="I6" s="15">
        <v>1</v>
      </c>
      <c r="J6" s="15">
        <v>15</v>
      </c>
      <c r="K6" s="16">
        <v>20</v>
      </c>
      <c r="L6" s="16">
        <f>1/19*100</f>
        <v>5.2631578947368416</v>
      </c>
      <c r="M6" s="17">
        <f t="shared" si="0"/>
        <v>1.0526315789473684</v>
      </c>
      <c r="O6" s="11"/>
      <c r="P6" s="30"/>
      <c r="Q6" s="31">
        <v>1</v>
      </c>
      <c r="R6" s="31">
        <v>16</v>
      </c>
      <c r="S6" s="32">
        <f t="shared" si="6"/>
        <v>33.333333333333329</v>
      </c>
      <c r="T6" s="36">
        <f>1/9*100</f>
        <v>11.111111111111111</v>
      </c>
      <c r="U6" s="17">
        <f t="shared" si="1"/>
        <v>3.7037037037037028</v>
      </c>
      <c r="W6" s="11"/>
      <c r="X6" s="30"/>
      <c r="Y6" s="31">
        <v>1</v>
      </c>
      <c r="Z6" s="31">
        <v>24</v>
      </c>
      <c r="AA6" s="32">
        <f t="shared" si="2"/>
        <v>33.333333333333329</v>
      </c>
      <c r="AB6" s="36">
        <v>10</v>
      </c>
      <c r="AC6" s="36">
        <f t="shared" si="3"/>
        <v>3.3333333333333326</v>
      </c>
      <c r="AE6" s="26"/>
      <c r="AF6" s="30"/>
      <c r="AG6" s="31">
        <v>1</v>
      </c>
      <c r="AH6" s="31">
        <v>40</v>
      </c>
      <c r="AI6" s="32">
        <v>25</v>
      </c>
      <c r="AJ6" s="36">
        <v>50</v>
      </c>
      <c r="AK6" s="17">
        <f t="shared" si="4"/>
        <v>12.5</v>
      </c>
      <c r="AM6" s="11"/>
      <c r="AN6" s="14"/>
      <c r="AO6" s="15">
        <v>1</v>
      </c>
      <c r="AP6" s="15">
        <v>43</v>
      </c>
      <c r="AQ6" s="15">
        <f t="shared" si="7"/>
        <v>33.333333333333329</v>
      </c>
      <c r="AR6" s="38">
        <v>50</v>
      </c>
      <c r="AS6" s="35">
        <f t="shared" si="5"/>
        <v>16.666666666666664</v>
      </c>
      <c r="AT6" s="11"/>
    </row>
    <row r="7" spans="1:46" ht="20" thickBot="1" x14ac:dyDescent="0.3">
      <c r="A7" t="s">
        <v>17</v>
      </c>
      <c r="B7">
        <v>6</v>
      </c>
      <c r="D7" s="28">
        <v>6</v>
      </c>
      <c r="E7" s="29">
        <f>COUNTIF(B2:B252,6)</f>
        <v>2</v>
      </c>
      <c r="G7" s="11"/>
      <c r="H7" s="14"/>
      <c r="I7" s="15">
        <v>1</v>
      </c>
      <c r="J7" s="15">
        <v>2</v>
      </c>
      <c r="K7" s="16">
        <v>20</v>
      </c>
      <c r="L7" s="16">
        <f>1/5*100</f>
        <v>20</v>
      </c>
      <c r="M7" s="17">
        <f t="shared" si="0"/>
        <v>4</v>
      </c>
      <c r="O7" s="11"/>
      <c r="P7" s="22">
        <v>4</v>
      </c>
      <c r="Q7" s="23">
        <v>1</v>
      </c>
      <c r="R7" s="23">
        <v>7</v>
      </c>
      <c r="S7" s="24">
        <v>50</v>
      </c>
      <c r="T7" s="25">
        <f>1/7*100</f>
        <v>14.285714285714285</v>
      </c>
      <c r="U7" s="17">
        <f t="shared" si="1"/>
        <v>7.1428571428571423</v>
      </c>
      <c r="W7" s="11"/>
      <c r="X7" s="18">
        <v>3</v>
      </c>
      <c r="Y7" s="19">
        <v>2</v>
      </c>
      <c r="Z7" s="19">
        <v>22</v>
      </c>
      <c r="AA7" s="20">
        <v>100</v>
      </c>
      <c r="AB7" s="21">
        <f>2/3*100</f>
        <v>66.666666666666657</v>
      </c>
      <c r="AC7" s="21">
        <f t="shared" si="3"/>
        <v>66.666666666666657</v>
      </c>
      <c r="AE7" s="26"/>
      <c r="AF7" s="18">
        <v>4</v>
      </c>
      <c r="AG7" s="19">
        <v>2</v>
      </c>
      <c r="AH7" s="19">
        <v>8</v>
      </c>
      <c r="AI7" s="20">
        <v>100</v>
      </c>
      <c r="AJ7" s="21">
        <f>2/11*100</f>
        <v>18.181818181818183</v>
      </c>
      <c r="AK7" s="17">
        <f t="shared" si="4"/>
        <v>18.181818181818183</v>
      </c>
      <c r="AM7" s="11"/>
      <c r="AN7" s="30"/>
      <c r="AO7" s="31">
        <v>1</v>
      </c>
      <c r="AP7" s="31">
        <v>44</v>
      </c>
      <c r="AQ7" s="31">
        <f t="shared" si="7"/>
        <v>33.333333333333329</v>
      </c>
      <c r="AR7" s="37">
        <f>1/16*100</f>
        <v>6.25</v>
      </c>
      <c r="AS7" s="35">
        <f t="shared" si="5"/>
        <v>2.083333333333333</v>
      </c>
      <c r="AT7" s="11"/>
    </row>
    <row r="8" spans="1:46" ht="20" thickBot="1" x14ac:dyDescent="0.3">
      <c r="A8" t="s">
        <v>18</v>
      </c>
      <c r="B8">
        <v>7</v>
      </c>
      <c r="D8" s="28">
        <v>7</v>
      </c>
      <c r="E8" s="29">
        <f>COUNTIF(B2:B252,7)</f>
        <v>7</v>
      </c>
      <c r="G8" s="11"/>
      <c r="H8" s="30"/>
      <c r="I8" s="31">
        <v>1</v>
      </c>
      <c r="J8" s="31">
        <v>13</v>
      </c>
      <c r="K8" s="32">
        <v>20</v>
      </c>
      <c r="L8" s="32">
        <f>1/10*100</f>
        <v>10</v>
      </c>
      <c r="M8" s="17">
        <f t="shared" si="0"/>
        <v>2</v>
      </c>
      <c r="O8" s="11"/>
      <c r="P8" s="30"/>
      <c r="Q8" s="31">
        <v>1</v>
      </c>
      <c r="R8" s="31">
        <v>18</v>
      </c>
      <c r="S8" s="32">
        <v>50</v>
      </c>
      <c r="T8" s="36">
        <f>1/6*100</f>
        <v>16.666666666666664</v>
      </c>
      <c r="U8" s="17">
        <f t="shared" si="1"/>
        <v>8.3333333333333321</v>
      </c>
      <c r="W8" s="11"/>
      <c r="X8" s="22">
        <v>4</v>
      </c>
      <c r="Y8" s="23">
        <v>1</v>
      </c>
      <c r="Z8" s="23">
        <v>5</v>
      </c>
      <c r="AA8" s="24">
        <v>50</v>
      </c>
      <c r="AB8" s="25">
        <v>20</v>
      </c>
      <c r="AC8" s="25">
        <f t="shared" si="3"/>
        <v>10</v>
      </c>
      <c r="AE8" s="26"/>
      <c r="AF8" s="22">
        <v>5</v>
      </c>
      <c r="AG8" s="23">
        <v>1</v>
      </c>
      <c r="AH8" s="23">
        <v>18</v>
      </c>
      <c r="AI8" s="24">
        <f>AG8/9*100</f>
        <v>11.111111111111111</v>
      </c>
      <c r="AJ8" s="25">
        <f>1/6*100</f>
        <v>16.666666666666664</v>
      </c>
      <c r="AK8" s="17">
        <f t="shared" si="4"/>
        <v>1.8518518518518514</v>
      </c>
      <c r="AM8" s="11"/>
      <c r="AN8" s="22">
        <v>4</v>
      </c>
      <c r="AO8" s="23">
        <v>2</v>
      </c>
      <c r="AP8" s="23">
        <v>1</v>
      </c>
      <c r="AQ8" s="23">
        <f>AO8/9*100</f>
        <v>22.222222222222221</v>
      </c>
      <c r="AR8" s="34">
        <f>2/12*100</f>
        <v>16.666666666666664</v>
      </c>
      <c r="AS8" s="35">
        <f t="shared" si="5"/>
        <v>3.7037037037037028</v>
      </c>
      <c r="AT8" s="11"/>
    </row>
    <row r="9" spans="1:46" ht="20" thickBot="1" x14ac:dyDescent="0.3">
      <c r="A9" t="s">
        <v>19</v>
      </c>
      <c r="B9">
        <v>8</v>
      </c>
      <c r="D9" s="28">
        <v>8</v>
      </c>
      <c r="E9" s="29">
        <f>COUNTIF(B2:B252,8)</f>
        <v>11</v>
      </c>
      <c r="G9" s="11"/>
      <c r="H9" s="22">
        <v>3</v>
      </c>
      <c r="I9" s="23">
        <v>1</v>
      </c>
      <c r="J9" s="39">
        <v>16</v>
      </c>
      <c r="K9" s="40">
        <v>50</v>
      </c>
      <c r="L9" s="24">
        <f>1/9*100</f>
        <v>11.111111111111111</v>
      </c>
      <c r="M9" s="17">
        <f t="shared" si="0"/>
        <v>5.5555555555555554</v>
      </c>
      <c r="O9" s="11"/>
      <c r="P9" s="14">
        <v>5</v>
      </c>
      <c r="Q9" s="15">
        <v>1</v>
      </c>
      <c r="R9" s="15">
        <v>21</v>
      </c>
      <c r="S9" s="16">
        <f>1/3*100</f>
        <v>33.333333333333329</v>
      </c>
      <c r="T9" s="33">
        <v>100</v>
      </c>
      <c r="U9" s="17">
        <f t="shared" si="1"/>
        <v>33.333333333333329</v>
      </c>
      <c r="W9" s="11"/>
      <c r="X9" s="30"/>
      <c r="Y9" s="31">
        <v>1</v>
      </c>
      <c r="Z9" s="31">
        <v>10</v>
      </c>
      <c r="AA9" s="32">
        <v>50</v>
      </c>
      <c r="AB9" s="36">
        <v>100</v>
      </c>
      <c r="AC9" s="36">
        <f t="shared" si="3"/>
        <v>50</v>
      </c>
      <c r="AE9" s="26"/>
      <c r="AF9" s="14"/>
      <c r="AG9" s="15">
        <v>1</v>
      </c>
      <c r="AH9" s="15">
        <v>27</v>
      </c>
      <c r="AI9" s="16">
        <f t="shared" ref="AI9:AI13" si="8">AG9/9*100</f>
        <v>11.111111111111111</v>
      </c>
      <c r="AJ9" s="33">
        <v>100</v>
      </c>
      <c r="AK9" s="17">
        <f t="shared" si="4"/>
        <v>11.111111111111111</v>
      </c>
      <c r="AM9" s="11"/>
      <c r="AN9" s="14"/>
      <c r="AO9" s="15">
        <v>1</v>
      </c>
      <c r="AP9" s="15">
        <v>13</v>
      </c>
      <c r="AQ9" s="15">
        <f t="shared" ref="AQ9:AQ13" si="9">AO9/9*100</f>
        <v>11.111111111111111</v>
      </c>
      <c r="AR9" s="38">
        <v>10</v>
      </c>
      <c r="AS9" s="35">
        <f t="shared" si="5"/>
        <v>1.1111111111111112</v>
      </c>
      <c r="AT9" s="11"/>
    </row>
    <row r="10" spans="1:46" ht="20" thickBot="1" x14ac:dyDescent="0.3">
      <c r="A10" t="s">
        <v>20</v>
      </c>
      <c r="B10">
        <v>9</v>
      </c>
      <c r="D10" s="28">
        <v>9</v>
      </c>
      <c r="E10" s="29">
        <f>COUNTIF(B2:B252,9)</f>
        <v>4</v>
      </c>
      <c r="G10" s="11"/>
      <c r="H10" s="30"/>
      <c r="I10" s="31">
        <v>1</v>
      </c>
      <c r="J10" s="41">
        <v>7</v>
      </c>
      <c r="K10" s="42">
        <v>50</v>
      </c>
      <c r="L10" s="32">
        <f>1/7*100</f>
        <v>14.285714285714285</v>
      </c>
      <c r="M10" s="17">
        <f t="shared" si="0"/>
        <v>7.1428571428571423</v>
      </c>
      <c r="O10" s="11"/>
      <c r="P10" s="30"/>
      <c r="Q10" s="31">
        <v>2</v>
      </c>
      <c r="R10" s="31">
        <v>1</v>
      </c>
      <c r="S10" s="32">
        <f>2/3*100</f>
        <v>66.666666666666657</v>
      </c>
      <c r="T10" s="36">
        <f>2/12*100</f>
        <v>16.666666666666664</v>
      </c>
      <c r="U10" s="43">
        <f t="shared" si="1"/>
        <v>11.111111111111107</v>
      </c>
      <c r="W10" s="11"/>
      <c r="X10" s="14">
        <v>5</v>
      </c>
      <c r="Y10" s="15">
        <v>2</v>
      </c>
      <c r="Z10" s="15">
        <v>1</v>
      </c>
      <c r="AA10" s="16">
        <f>2/11*100</f>
        <v>18.181818181818183</v>
      </c>
      <c r="AB10" s="33">
        <f>2/12*100</f>
        <v>16.666666666666664</v>
      </c>
      <c r="AC10" s="33">
        <f t="shared" si="3"/>
        <v>3.0303030303030298</v>
      </c>
      <c r="AE10" s="26"/>
      <c r="AF10" s="14"/>
      <c r="AG10" s="15">
        <v>3</v>
      </c>
      <c r="AH10" s="15">
        <v>37</v>
      </c>
      <c r="AI10" s="16">
        <f t="shared" si="8"/>
        <v>33.333333333333329</v>
      </c>
      <c r="AJ10" s="33">
        <v>50</v>
      </c>
      <c r="AK10" s="17">
        <f t="shared" si="4"/>
        <v>16.666666666666664</v>
      </c>
      <c r="AM10" s="11"/>
      <c r="AN10" s="14"/>
      <c r="AO10" s="15">
        <v>1</v>
      </c>
      <c r="AP10" s="15">
        <v>16</v>
      </c>
      <c r="AQ10" s="15">
        <f t="shared" si="9"/>
        <v>11.111111111111111</v>
      </c>
      <c r="AR10" s="38">
        <f>1/9*100</f>
        <v>11.111111111111111</v>
      </c>
      <c r="AS10" s="35">
        <f t="shared" si="5"/>
        <v>1.2345679012345678</v>
      </c>
      <c r="AT10" s="11"/>
    </row>
    <row r="11" spans="1:46" ht="20" thickBot="1" x14ac:dyDescent="0.3">
      <c r="A11" t="s">
        <v>21</v>
      </c>
      <c r="B11">
        <v>10</v>
      </c>
      <c r="D11" s="28">
        <v>10</v>
      </c>
      <c r="E11" s="29">
        <f>COUNTIF(B2:B252,10)</f>
        <v>1</v>
      </c>
      <c r="G11" s="11"/>
      <c r="H11" s="22">
        <v>4</v>
      </c>
      <c r="I11" s="23">
        <v>1</v>
      </c>
      <c r="J11" s="39">
        <v>55</v>
      </c>
      <c r="K11" s="40">
        <v>25</v>
      </c>
      <c r="L11" s="24">
        <f>1/38*100</f>
        <v>2.6315789473684208</v>
      </c>
      <c r="M11" s="17">
        <f t="shared" si="0"/>
        <v>0.6578947368421052</v>
      </c>
      <c r="O11" s="11"/>
      <c r="P11" s="11"/>
      <c r="Q11" s="11"/>
      <c r="R11" s="11"/>
      <c r="S11" s="11"/>
      <c r="T11" s="18" t="s">
        <v>22</v>
      </c>
      <c r="U11" s="21">
        <f>SUM(U2:U10)</f>
        <v>153.15650236702865</v>
      </c>
      <c r="W11" s="11"/>
      <c r="X11" s="14"/>
      <c r="Y11" s="15">
        <v>1</v>
      </c>
      <c r="Z11" s="15">
        <v>13</v>
      </c>
      <c r="AA11" s="16">
        <f>1/11*100</f>
        <v>9.0909090909090917</v>
      </c>
      <c r="AB11" s="33">
        <v>10</v>
      </c>
      <c r="AC11" s="33">
        <f t="shared" si="3"/>
        <v>0.90909090909090917</v>
      </c>
      <c r="AE11" s="26"/>
      <c r="AF11" s="14"/>
      <c r="AG11" s="15">
        <v>2</v>
      </c>
      <c r="AH11" s="15">
        <v>44</v>
      </c>
      <c r="AI11" s="16">
        <f t="shared" si="8"/>
        <v>22.222222222222221</v>
      </c>
      <c r="AJ11" s="33">
        <f>2/16*200</f>
        <v>25</v>
      </c>
      <c r="AK11" s="17">
        <f t="shared" si="4"/>
        <v>5.5555555555555554</v>
      </c>
      <c r="AM11" s="11"/>
      <c r="AN11" s="14"/>
      <c r="AO11" s="15">
        <v>1</v>
      </c>
      <c r="AP11" s="15">
        <v>24</v>
      </c>
      <c r="AQ11" s="15">
        <f t="shared" si="9"/>
        <v>11.111111111111111</v>
      </c>
      <c r="AR11" s="38">
        <v>10</v>
      </c>
      <c r="AS11" s="35">
        <f t="shared" si="5"/>
        <v>1.1111111111111112</v>
      </c>
      <c r="AT11" s="11"/>
    </row>
    <row r="12" spans="1:46" ht="19" x14ac:dyDescent="0.25">
      <c r="A12" t="s">
        <v>23</v>
      </c>
      <c r="B12">
        <v>5</v>
      </c>
      <c r="D12" s="28">
        <v>11</v>
      </c>
      <c r="E12" s="29">
        <f>COUNTIF(B2:B252,11)</f>
        <v>1</v>
      </c>
      <c r="G12" s="11"/>
      <c r="H12" s="14"/>
      <c r="I12" s="15">
        <v>2</v>
      </c>
      <c r="J12" s="44">
        <v>15</v>
      </c>
      <c r="K12" s="45">
        <v>50</v>
      </c>
      <c r="L12" s="16">
        <f>2/19*100</f>
        <v>10.526315789473683</v>
      </c>
      <c r="M12" s="17">
        <f t="shared" si="0"/>
        <v>5.2631578947368416</v>
      </c>
      <c r="X12" s="14"/>
      <c r="Y12" s="15">
        <v>1</v>
      </c>
      <c r="Z12" s="15">
        <v>16</v>
      </c>
      <c r="AA12" s="16">
        <f t="shared" ref="AA12:AA17" si="10">1/11*100</f>
        <v>9.0909090909090917</v>
      </c>
      <c r="AB12" s="33">
        <f>1/9*100</f>
        <v>11.111111111111111</v>
      </c>
      <c r="AC12" s="33">
        <f t="shared" si="3"/>
        <v>1.0101010101010102</v>
      </c>
      <c r="AE12" s="26"/>
      <c r="AF12" s="14"/>
      <c r="AG12" s="15">
        <v>1</v>
      </c>
      <c r="AH12" s="15">
        <v>46</v>
      </c>
      <c r="AI12" s="16">
        <f t="shared" si="8"/>
        <v>11.111111111111111</v>
      </c>
      <c r="AJ12" s="33">
        <v>50</v>
      </c>
      <c r="AK12" s="17">
        <f t="shared" si="4"/>
        <v>5.5555555555555554</v>
      </c>
      <c r="AM12" s="11"/>
      <c r="AN12" s="14"/>
      <c r="AO12" s="15">
        <v>1</v>
      </c>
      <c r="AP12" s="15">
        <v>39</v>
      </c>
      <c r="AQ12" s="15">
        <f t="shared" si="9"/>
        <v>11.111111111111111</v>
      </c>
      <c r="AR12" s="38">
        <v>25</v>
      </c>
      <c r="AS12" s="35">
        <f t="shared" si="5"/>
        <v>2.7777777777777777</v>
      </c>
      <c r="AT12" s="11"/>
    </row>
    <row r="13" spans="1:46" ht="20" thickBot="1" x14ac:dyDescent="0.3">
      <c r="A13" t="s">
        <v>24</v>
      </c>
      <c r="B13">
        <v>44</v>
      </c>
      <c r="D13" s="28">
        <v>12</v>
      </c>
      <c r="E13" s="29">
        <f>COUNTIF(B2:B252,12)</f>
        <v>5</v>
      </c>
      <c r="G13" s="11"/>
      <c r="H13" s="30"/>
      <c r="I13" s="31">
        <v>1</v>
      </c>
      <c r="J13" s="41">
        <v>26</v>
      </c>
      <c r="K13" s="42">
        <v>25</v>
      </c>
      <c r="L13" s="32">
        <f>1/2*100</f>
        <v>50</v>
      </c>
      <c r="M13" s="17">
        <f t="shared" si="0"/>
        <v>12.5</v>
      </c>
      <c r="X13" s="14"/>
      <c r="Y13" s="15">
        <v>1</v>
      </c>
      <c r="Z13" s="15">
        <v>24</v>
      </c>
      <c r="AA13" s="16">
        <f t="shared" si="10"/>
        <v>9.0909090909090917</v>
      </c>
      <c r="AB13" s="33">
        <v>10</v>
      </c>
      <c r="AC13" s="33">
        <f t="shared" si="3"/>
        <v>0.90909090909090917</v>
      </c>
      <c r="AE13" s="26"/>
      <c r="AF13" s="30"/>
      <c r="AG13" s="31">
        <v>1</v>
      </c>
      <c r="AH13" s="31">
        <v>55</v>
      </c>
      <c r="AI13" s="32">
        <f t="shared" si="8"/>
        <v>11.111111111111111</v>
      </c>
      <c r="AJ13" s="36">
        <f>1/38*100</f>
        <v>2.6315789473684208</v>
      </c>
      <c r="AK13" s="43">
        <f t="shared" si="4"/>
        <v>0.29239766081871338</v>
      </c>
      <c r="AM13" s="11"/>
      <c r="AN13" s="14"/>
      <c r="AO13" s="15">
        <v>1</v>
      </c>
      <c r="AP13" s="15">
        <v>43</v>
      </c>
      <c r="AQ13" s="15">
        <f t="shared" si="9"/>
        <v>11.111111111111111</v>
      </c>
      <c r="AR13" s="38">
        <v>50</v>
      </c>
      <c r="AS13" s="35">
        <f t="shared" si="5"/>
        <v>5.5555555555555554</v>
      </c>
      <c r="AT13" s="11"/>
    </row>
    <row r="14" spans="1:46" ht="20" thickBot="1" x14ac:dyDescent="0.3">
      <c r="A14" t="s">
        <v>25</v>
      </c>
      <c r="B14">
        <v>44</v>
      </c>
      <c r="D14" s="28">
        <v>13</v>
      </c>
      <c r="E14" s="29">
        <f>COUNTIF(B2:B252,13)</f>
        <v>10</v>
      </c>
      <c r="G14" s="11"/>
      <c r="H14" s="22">
        <v>5</v>
      </c>
      <c r="I14" s="23">
        <v>1</v>
      </c>
      <c r="J14" s="39">
        <v>44</v>
      </c>
      <c r="K14" s="24">
        <f>1/3*100</f>
        <v>33.333333333333329</v>
      </c>
      <c r="L14" s="24">
        <f>1/16*100</f>
        <v>6.25</v>
      </c>
      <c r="M14" s="17">
        <f t="shared" si="0"/>
        <v>2.083333333333333</v>
      </c>
      <c r="O14" s="8" t="s">
        <v>26</v>
      </c>
      <c r="P14" s="3" t="s">
        <v>3</v>
      </c>
      <c r="Q14" s="4" t="s">
        <v>4</v>
      </c>
      <c r="R14" s="4" t="s">
        <v>0</v>
      </c>
      <c r="S14" s="4" t="s">
        <v>5</v>
      </c>
      <c r="T14" s="5" t="s">
        <v>6</v>
      </c>
      <c r="U14" s="8" t="s">
        <v>7</v>
      </c>
      <c r="X14" s="14"/>
      <c r="Y14" s="15">
        <v>1</v>
      </c>
      <c r="Z14" s="15">
        <v>33</v>
      </c>
      <c r="AA14" s="16">
        <f t="shared" si="10"/>
        <v>9.0909090909090917</v>
      </c>
      <c r="AB14" s="33">
        <v>20</v>
      </c>
      <c r="AC14" s="33">
        <f t="shared" si="3"/>
        <v>1.8181818181818183</v>
      </c>
      <c r="AE14" s="26"/>
      <c r="AF14" s="11"/>
      <c r="AG14" s="11"/>
      <c r="AH14" s="11"/>
      <c r="AI14" s="46"/>
      <c r="AJ14" s="47" t="s">
        <v>22</v>
      </c>
      <c r="AK14" s="21">
        <f>SUM(AK2:AK13)</f>
        <v>163.55706184653548</v>
      </c>
      <c r="AM14" s="11"/>
      <c r="AN14" s="30"/>
      <c r="AO14" s="31">
        <v>2</v>
      </c>
      <c r="AP14" s="31">
        <v>55</v>
      </c>
      <c r="AQ14" s="31">
        <f>AO14/9*100</f>
        <v>22.222222222222221</v>
      </c>
      <c r="AR14" s="37">
        <f>2/38*100</f>
        <v>5.2631578947368416</v>
      </c>
      <c r="AS14" s="35">
        <f t="shared" si="5"/>
        <v>1.1695906432748535</v>
      </c>
      <c r="AT14" s="11"/>
    </row>
    <row r="15" spans="1:46" ht="20" thickBot="1" x14ac:dyDescent="0.3">
      <c r="A15" t="s">
        <v>27</v>
      </c>
      <c r="B15">
        <v>13</v>
      </c>
      <c r="D15" s="28">
        <v>14</v>
      </c>
      <c r="E15" s="29">
        <f>COUNTIF(B2:B252,14)</f>
        <v>3</v>
      </c>
      <c r="G15" s="11"/>
      <c r="H15" s="14"/>
      <c r="I15" s="15">
        <v>1</v>
      </c>
      <c r="J15" s="44">
        <v>39</v>
      </c>
      <c r="K15" s="16">
        <f t="shared" ref="K15:K16" si="11">1/3*100</f>
        <v>33.333333333333329</v>
      </c>
      <c r="L15" s="16">
        <f>1/4*100</f>
        <v>25</v>
      </c>
      <c r="M15" s="17">
        <f t="shared" si="0"/>
        <v>8.3333333333333321</v>
      </c>
      <c r="O15" s="11"/>
      <c r="P15" s="30">
        <v>1</v>
      </c>
      <c r="Q15" s="31">
        <v>2</v>
      </c>
      <c r="R15" s="31">
        <v>15</v>
      </c>
      <c r="S15" s="32">
        <v>100</v>
      </c>
      <c r="T15" s="32">
        <f>2/19*100</f>
        <v>10.526315789473683</v>
      </c>
      <c r="U15" s="17">
        <f>(S15/100)*T15</f>
        <v>10.526315789473683</v>
      </c>
      <c r="X15" s="14"/>
      <c r="Y15" s="15">
        <v>1</v>
      </c>
      <c r="Z15" s="15">
        <v>37</v>
      </c>
      <c r="AA15" s="16">
        <f t="shared" si="10"/>
        <v>9.0909090909090917</v>
      </c>
      <c r="AB15" s="33">
        <f>1/6*100</f>
        <v>16.666666666666664</v>
      </c>
      <c r="AC15" s="33">
        <f t="shared" si="3"/>
        <v>1.5151515151515149</v>
      </c>
      <c r="AE15" s="48"/>
      <c r="AM15" s="11"/>
      <c r="AN15" s="22">
        <v>5</v>
      </c>
      <c r="AO15" s="23">
        <v>1</v>
      </c>
      <c r="AP15" s="23">
        <v>34</v>
      </c>
      <c r="AQ15" s="23">
        <v>50</v>
      </c>
      <c r="AR15" s="34">
        <f>1/3*100</f>
        <v>33.333333333333329</v>
      </c>
      <c r="AS15" s="38">
        <f t="shared" si="5"/>
        <v>16.666666666666664</v>
      </c>
      <c r="AT15" s="11"/>
    </row>
    <row r="16" spans="1:46" ht="20" thickBot="1" x14ac:dyDescent="0.3">
      <c r="A16" t="s">
        <v>28</v>
      </c>
      <c r="B16">
        <v>14</v>
      </c>
      <c r="D16" s="28">
        <v>15</v>
      </c>
      <c r="E16" s="29">
        <f>COUNTIF(B2:B252,15)</f>
        <v>19</v>
      </c>
      <c r="G16" s="11"/>
      <c r="H16" s="30"/>
      <c r="I16" s="31">
        <v>1</v>
      </c>
      <c r="J16" s="41">
        <v>24</v>
      </c>
      <c r="K16" s="32">
        <f t="shared" si="11"/>
        <v>33.333333333333329</v>
      </c>
      <c r="L16" s="32">
        <f>1/10*100</f>
        <v>10</v>
      </c>
      <c r="M16" s="43">
        <f t="shared" si="0"/>
        <v>3.3333333333333326</v>
      </c>
      <c r="O16" s="11"/>
      <c r="P16" s="22">
        <v>2</v>
      </c>
      <c r="Q16" s="23">
        <v>1</v>
      </c>
      <c r="R16" s="23">
        <v>32</v>
      </c>
      <c r="S16" s="24">
        <v>50</v>
      </c>
      <c r="T16" s="24">
        <f>1/3*100</f>
        <v>33.333333333333329</v>
      </c>
      <c r="U16" s="17">
        <f t="shared" ref="U16:U28" si="12">(S16/100)*T16</f>
        <v>16.666666666666664</v>
      </c>
      <c r="V16" s="11"/>
      <c r="X16" s="14"/>
      <c r="Y16" s="15">
        <v>1</v>
      </c>
      <c r="Z16" s="15">
        <v>39</v>
      </c>
      <c r="AA16" s="16">
        <f t="shared" si="10"/>
        <v>9.0909090909090917</v>
      </c>
      <c r="AB16" s="33">
        <v>25</v>
      </c>
      <c r="AC16" s="33">
        <f t="shared" si="3"/>
        <v>2.2727272727272729</v>
      </c>
      <c r="AD16" s="11"/>
      <c r="AE16" s="48"/>
      <c r="AM16" s="11"/>
      <c r="AN16" s="30"/>
      <c r="AO16" s="31">
        <v>1</v>
      </c>
      <c r="AP16" s="31">
        <v>54</v>
      </c>
      <c r="AQ16" s="31">
        <v>50</v>
      </c>
      <c r="AR16" s="37">
        <f>1/3*100</f>
        <v>33.333333333333329</v>
      </c>
      <c r="AS16" s="37">
        <f t="shared" si="5"/>
        <v>16.666666666666664</v>
      </c>
      <c r="AT16" s="11"/>
    </row>
    <row r="17" spans="1:46" ht="20" thickBot="1" x14ac:dyDescent="0.3">
      <c r="A17" t="s">
        <v>29</v>
      </c>
      <c r="B17">
        <v>15</v>
      </c>
      <c r="D17" s="28">
        <v>16</v>
      </c>
      <c r="E17" s="29">
        <f>COUNTIF(B2:B252,16)</f>
        <v>9</v>
      </c>
      <c r="G17" s="11"/>
      <c r="H17" s="11"/>
      <c r="I17" s="11"/>
      <c r="J17" s="11"/>
      <c r="K17" s="11"/>
      <c r="L17" s="18" t="s">
        <v>22</v>
      </c>
      <c r="M17" s="21">
        <f>SUM(M2:M16)</f>
        <v>66.571219715956559</v>
      </c>
      <c r="O17" s="11"/>
      <c r="P17" s="30"/>
      <c r="Q17" s="31">
        <v>1</v>
      </c>
      <c r="R17" s="31">
        <v>33</v>
      </c>
      <c r="S17" s="32">
        <v>50</v>
      </c>
      <c r="T17" s="32">
        <v>20</v>
      </c>
      <c r="U17" s="17">
        <f t="shared" si="12"/>
        <v>10</v>
      </c>
      <c r="V17" s="11"/>
      <c r="X17" s="14"/>
      <c r="Y17" s="15">
        <v>1</v>
      </c>
      <c r="Z17" s="15">
        <v>43</v>
      </c>
      <c r="AA17" s="16">
        <f t="shared" si="10"/>
        <v>9.0909090909090917</v>
      </c>
      <c r="AB17" s="33">
        <v>50</v>
      </c>
      <c r="AC17" s="33">
        <f t="shared" si="3"/>
        <v>4.5454545454545459</v>
      </c>
      <c r="AD17" s="11"/>
      <c r="AE17" s="3" t="s">
        <v>30</v>
      </c>
      <c r="AF17" s="4" t="s">
        <v>3</v>
      </c>
      <c r="AG17" s="4" t="s">
        <v>4</v>
      </c>
      <c r="AH17" s="4" t="s">
        <v>0</v>
      </c>
      <c r="AI17" s="4" t="s">
        <v>5</v>
      </c>
      <c r="AJ17" s="5" t="s">
        <v>6</v>
      </c>
      <c r="AK17" s="8" t="s">
        <v>7</v>
      </c>
      <c r="AM17" s="11"/>
      <c r="AN17" s="11"/>
      <c r="AO17" s="11"/>
      <c r="AP17" s="11"/>
      <c r="AQ17" s="11"/>
      <c r="AR17" s="49" t="s">
        <v>22</v>
      </c>
      <c r="AS17" s="50">
        <f>SUM(AS2:AS16)</f>
        <v>162.43096166341778</v>
      </c>
      <c r="AT17" s="11"/>
    </row>
    <row r="18" spans="1:46" ht="20" thickBot="1" x14ac:dyDescent="0.3">
      <c r="A18" t="s">
        <v>31</v>
      </c>
      <c r="B18">
        <v>16</v>
      </c>
      <c r="D18" s="28">
        <v>17</v>
      </c>
      <c r="E18" s="29">
        <f>COUNTIF(B2:B252,17)</f>
        <v>2</v>
      </c>
      <c r="G18" s="11"/>
      <c r="H18" s="11"/>
      <c r="I18" s="11"/>
      <c r="J18" s="11"/>
      <c r="K18" s="11"/>
      <c r="L18" s="15"/>
      <c r="M18" s="16"/>
      <c r="O18" s="11"/>
      <c r="P18" s="22">
        <v>3</v>
      </c>
      <c r="Q18" s="23">
        <v>1</v>
      </c>
      <c r="R18" s="23">
        <v>50</v>
      </c>
      <c r="S18" s="24">
        <f>1/3*100</f>
        <v>33.333333333333329</v>
      </c>
      <c r="T18" s="24">
        <f>1/3*100</f>
        <v>33.333333333333329</v>
      </c>
      <c r="U18" s="17">
        <f t="shared" si="12"/>
        <v>11.111111111111107</v>
      </c>
      <c r="V18" s="11"/>
      <c r="X18" s="30"/>
      <c r="Y18" s="31">
        <v>2</v>
      </c>
      <c r="Z18" s="31">
        <v>55</v>
      </c>
      <c r="AA18" s="32">
        <f>2/11*100</f>
        <v>18.181818181818183</v>
      </c>
      <c r="AB18" s="36">
        <f>2/38*100</f>
        <v>5.2631578947368416</v>
      </c>
      <c r="AC18" s="33">
        <f t="shared" si="3"/>
        <v>0.95693779904306209</v>
      </c>
      <c r="AD18" s="11"/>
      <c r="AE18" s="48"/>
      <c r="AF18" s="51">
        <v>1</v>
      </c>
      <c r="AG18" s="52">
        <v>1</v>
      </c>
      <c r="AH18" s="52">
        <v>1</v>
      </c>
      <c r="AI18" s="52">
        <f>AG18/13*100</f>
        <v>7.6923076923076925</v>
      </c>
      <c r="AJ18" s="52">
        <f>1/12*100</f>
        <v>8.3333333333333321</v>
      </c>
      <c r="AK18" s="53">
        <f>(AI18/100)*AJ18</f>
        <v>0.64102564102564097</v>
      </c>
      <c r="AM18" s="11"/>
      <c r="AN18" s="11"/>
      <c r="AO18" s="11"/>
      <c r="AP18" s="11"/>
      <c r="AQ18" s="11"/>
      <c r="AR18" s="11"/>
      <c r="AS18" s="11"/>
      <c r="AT18" s="11"/>
    </row>
    <row r="19" spans="1:46" ht="20" thickBot="1" x14ac:dyDescent="0.3">
      <c r="A19" t="s">
        <v>32</v>
      </c>
      <c r="B19">
        <v>17</v>
      </c>
      <c r="D19" s="28">
        <v>18</v>
      </c>
      <c r="E19" s="29">
        <f>COUNTIF(B2:B252,18)</f>
        <v>6</v>
      </c>
      <c r="O19" s="11"/>
      <c r="P19" s="14"/>
      <c r="Q19" s="15">
        <v>1</v>
      </c>
      <c r="R19" s="15">
        <v>15</v>
      </c>
      <c r="S19" s="16">
        <f t="shared" ref="S19:S22" si="13">1/3*100</f>
        <v>33.333333333333329</v>
      </c>
      <c r="T19" s="16">
        <f>1/19*100</f>
        <v>5.2631578947368416</v>
      </c>
      <c r="U19" s="17">
        <f t="shared" si="12"/>
        <v>1.7543859649122802</v>
      </c>
      <c r="V19" s="11"/>
      <c r="X19" s="11"/>
      <c r="Y19" s="11"/>
      <c r="Z19" s="11"/>
      <c r="AA19" s="11"/>
      <c r="AB19" s="30" t="s">
        <v>22</v>
      </c>
      <c r="AC19" s="21">
        <f>SUM(AC2:AC18)</f>
        <v>182.60613655350494</v>
      </c>
      <c r="AD19" s="11"/>
      <c r="AE19" s="48"/>
      <c r="AF19" s="54"/>
      <c r="AG19" s="55">
        <v>2</v>
      </c>
      <c r="AH19" s="55">
        <v>7</v>
      </c>
      <c r="AI19" s="55">
        <f t="shared" ref="AI19:AI26" si="14">AG19/13*100</f>
        <v>15.384615384615385</v>
      </c>
      <c r="AJ19" s="55">
        <f>2/7*100</f>
        <v>28.571428571428569</v>
      </c>
      <c r="AK19" s="56">
        <f t="shared" ref="AK19:AK39" si="15">(AI19/100)*AJ19</f>
        <v>4.395604395604396</v>
      </c>
      <c r="AM19" s="11"/>
      <c r="AN19" s="11"/>
      <c r="AO19" s="11"/>
      <c r="AP19" s="11"/>
      <c r="AQ19" s="11"/>
      <c r="AR19" s="11"/>
      <c r="AS19" s="11"/>
      <c r="AT19" s="11"/>
    </row>
    <row r="20" spans="1:46" ht="20" thickBot="1" x14ac:dyDescent="0.3">
      <c r="A20" t="s">
        <v>33</v>
      </c>
      <c r="B20">
        <v>2</v>
      </c>
      <c r="D20" s="28">
        <v>19</v>
      </c>
      <c r="E20" s="29">
        <f>COUNTIF(B2:B252,19)</f>
        <v>0</v>
      </c>
      <c r="G20" s="3" t="s">
        <v>34</v>
      </c>
      <c r="H20" s="4" t="s">
        <v>3</v>
      </c>
      <c r="I20" s="4" t="s">
        <v>4</v>
      </c>
      <c r="J20" s="4" t="s">
        <v>0</v>
      </c>
      <c r="K20" s="4" t="s">
        <v>5</v>
      </c>
      <c r="L20" s="5" t="s">
        <v>6</v>
      </c>
      <c r="M20" s="6" t="s">
        <v>7</v>
      </c>
      <c r="O20" s="11"/>
      <c r="P20" s="30"/>
      <c r="Q20" s="31">
        <v>1</v>
      </c>
      <c r="R20" s="31">
        <v>2</v>
      </c>
      <c r="S20" s="32">
        <f t="shared" si="13"/>
        <v>33.333333333333329</v>
      </c>
      <c r="T20" s="32">
        <v>20</v>
      </c>
      <c r="U20" s="17">
        <f t="shared" si="12"/>
        <v>6.6666666666666652</v>
      </c>
      <c r="V20" s="11"/>
      <c r="AD20" s="11"/>
      <c r="AE20" s="48"/>
      <c r="AF20" s="54"/>
      <c r="AG20" s="55">
        <v>2</v>
      </c>
      <c r="AH20" s="55">
        <v>13</v>
      </c>
      <c r="AI20" s="55">
        <f t="shared" si="14"/>
        <v>15.384615384615385</v>
      </c>
      <c r="AJ20" s="55">
        <v>20</v>
      </c>
      <c r="AK20" s="56">
        <f t="shared" si="15"/>
        <v>3.0769230769230771</v>
      </c>
      <c r="AM20" s="3" t="s">
        <v>35</v>
      </c>
      <c r="AN20" s="4" t="s">
        <v>3</v>
      </c>
      <c r="AO20" s="4" t="s">
        <v>4</v>
      </c>
      <c r="AP20" s="4" t="s">
        <v>0</v>
      </c>
      <c r="AQ20" s="4" t="s">
        <v>5</v>
      </c>
      <c r="AR20" s="5" t="s">
        <v>6</v>
      </c>
      <c r="AS20" s="8" t="s">
        <v>7</v>
      </c>
      <c r="AT20" s="11"/>
    </row>
    <row r="21" spans="1:46" ht="20" thickBot="1" x14ac:dyDescent="0.3">
      <c r="A21" t="s">
        <v>36</v>
      </c>
      <c r="B21">
        <v>44</v>
      </c>
      <c r="D21" s="28">
        <v>20</v>
      </c>
      <c r="E21" s="29">
        <f>COUNTIF(B2:B252,20)</f>
        <v>1</v>
      </c>
      <c r="G21" s="11"/>
      <c r="H21" s="18">
        <v>1</v>
      </c>
      <c r="I21" s="19">
        <v>2</v>
      </c>
      <c r="J21" s="19">
        <v>15</v>
      </c>
      <c r="K21" s="20">
        <v>100</v>
      </c>
      <c r="L21" s="21">
        <f>2/19*100</f>
        <v>10.526315789473683</v>
      </c>
      <c r="M21" s="57">
        <f>(K21/100)*L21</f>
        <v>10.526315789473683</v>
      </c>
      <c r="O21" s="11"/>
      <c r="P21" s="22">
        <v>4</v>
      </c>
      <c r="Q21" s="23">
        <v>2</v>
      </c>
      <c r="R21" s="23">
        <v>13</v>
      </c>
      <c r="S21" s="24">
        <f>2/3*100</f>
        <v>66.666666666666657</v>
      </c>
      <c r="T21" s="24">
        <v>20</v>
      </c>
      <c r="U21" s="17">
        <f t="shared" si="12"/>
        <v>13.33333333333333</v>
      </c>
      <c r="V21" s="11"/>
      <c r="W21" s="11"/>
      <c r="X21" s="11"/>
      <c r="Y21" s="11"/>
      <c r="Z21" s="11"/>
      <c r="AA21" s="11"/>
      <c r="AB21" s="11"/>
      <c r="AC21" s="11"/>
      <c r="AD21" s="11"/>
      <c r="AE21" s="48"/>
      <c r="AF21" s="54"/>
      <c r="AG21" s="55">
        <v>1</v>
      </c>
      <c r="AH21" s="55">
        <v>15</v>
      </c>
      <c r="AI21" s="55">
        <f t="shared" si="14"/>
        <v>7.6923076923076925</v>
      </c>
      <c r="AJ21" s="55">
        <f>1/19*100</f>
        <v>5.2631578947368416</v>
      </c>
      <c r="AK21" s="56">
        <f t="shared" si="15"/>
        <v>0.40485829959514169</v>
      </c>
      <c r="AM21" s="11"/>
      <c r="AN21" s="18">
        <v>1</v>
      </c>
      <c r="AO21" s="19">
        <v>2</v>
      </c>
      <c r="AP21" s="19">
        <v>22</v>
      </c>
      <c r="AQ21" s="20">
        <v>100</v>
      </c>
      <c r="AR21" s="20">
        <f>2/3*100</f>
        <v>66.666666666666657</v>
      </c>
      <c r="AS21" s="57">
        <f>(AQ21/100)*AR21</f>
        <v>66.666666666666657</v>
      </c>
      <c r="AT21" s="11"/>
    </row>
    <row r="22" spans="1:46" ht="20" thickBot="1" x14ac:dyDescent="0.3">
      <c r="A22" t="s">
        <v>37</v>
      </c>
      <c r="B22">
        <v>18</v>
      </c>
      <c r="D22" s="28">
        <v>21</v>
      </c>
      <c r="E22" s="29">
        <f>COUNTIF(B2:B252,21)</f>
        <v>1</v>
      </c>
      <c r="G22" s="11"/>
      <c r="H22" s="22">
        <v>2</v>
      </c>
      <c r="I22" s="23">
        <v>1</v>
      </c>
      <c r="J22" s="23">
        <v>13</v>
      </c>
      <c r="K22" s="24">
        <v>50</v>
      </c>
      <c r="L22" s="25">
        <f>1/10*100</f>
        <v>10</v>
      </c>
      <c r="M22" s="17">
        <f t="shared" ref="M22:M34" si="16">(K22/100)*L22</f>
        <v>5</v>
      </c>
      <c r="O22" s="11"/>
      <c r="P22" s="30"/>
      <c r="Q22" s="31">
        <v>1</v>
      </c>
      <c r="R22" s="31">
        <v>24</v>
      </c>
      <c r="S22" s="32">
        <f t="shared" si="13"/>
        <v>33.333333333333329</v>
      </c>
      <c r="T22" s="32">
        <v>10</v>
      </c>
      <c r="U22" s="17">
        <f t="shared" si="12"/>
        <v>3.3333333333333326</v>
      </c>
      <c r="V22" s="11"/>
      <c r="W22" s="8" t="s">
        <v>38</v>
      </c>
      <c r="X22" s="58" t="s">
        <v>3</v>
      </c>
      <c r="Y22" s="9" t="s">
        <v>4</v>
      </c>
      <c r="Z22" s="9" t="s">
        <v>0</v>
      </c>
      <c r="AA22" s="9" t="s">
        <v>5</v>
      </c>
      <c r="AB22" s="59" t="s">
        <v>6</v>
      </c>
      <c r="AC22" s="8" t="s">
        <v>7</v>
      </c>
      <c r="AD22" s="11"/>
      <c r="AE22" s="48"/>
      <c r="AF22" s="54"/>
      <c r="AG22" s="55">
        <v>1</v>
      </c>
      <c r="AH22" s="55">
        <v>22</v>
      </c>
      <c r="AI22" s="55">
        <f t="shared" si="14"/>
        <v>7.6923076923076925</v>
      </c>
      <c r="AJ22" s="55">
        <f>1/3*100</f>
        <v>33.333333333333329</v>
      </c>
      <c r="AK22" s="56">
        <f t="shared" si="15"/>
        <v>2.5641025641025639</v>
      </c>
      <c r="AM22" s="11"/>
      <c r="AN22" s="22">
        <v>2</v>
      </c>
      <c r="AO22" s="23">
        <v>1</v>
      </c>
      <c r="AP22" s="23">
        <v>43</v>
      </c>
      <c r="AQ22" s="24">
        <v>50</v>
      </c>
      <c r="AR22" s="24">
        <v>50</v>
      </c>
      <c r="AS22" s="17">
        <f t="shared" ref="AS22:AS30" si="17">(AQ22/100)*AR22</f>
        <v>25</v>
      </c>
      <c r="AT22" s="11"/>
    </row>
    <row r="23" spans="1:46" ht="20" thickBot="1" x14ac:dyDescent="0.3">
      <c r="A23" t="s">
        <v>39</v>
      </c>
      <c r="B23">
        <v>15</v>
      </c>
      <c r="D23" s="28">
        <v>22</v>
      </c>
      <c r="E23" s="29">
        <f>COUNTIF(B2:B252,22)</f>
        <v>3</v>
      </c>
      <c r="G23" s="11"/>
      <c r="H23" s="30"/>
      <c r="I23" s="31">
        <v>1</v>
      </c>
      <c r="J23" s="31">
        <v>32</v>
      </c>
      <c r="K23" s="32">
        <v>50</v>
      </c>
      <c r="L23" s="36">
        <f>1/3*100</f>
        <v>33.333333333333329</v>
      </c>
      <c r="M23" s="17">
        <f t="shared" si="16"/>
        <v>16.666666666666664</v>
      </c>
      <c r="O23" s="11"/>
      <c r="P23" s="22">
        <v>5</v>
      </c>
      <c r="Q23" s="23">
        <v>1</v>
      </c>
      <c r="R23" s="23">
        <v>16</v>
      </c>
      <c r="S23" s="24">
        <f>1/11*100</f>
        <v>9.0909090909090917</v>
      </c>
      <c r="T23" s="24">
        <f>1/9*100</f>
        <v>11.111111111111111</v>
      </c>
      <c r="U23" s="17">
        <f t="shared" si="12"/>
        <v>1.0101010101010102</v>
      </c>
      <c r="V23" s="11"/>
      <c r="W23" s="11"/>
      <c r="X23" s="22">
        <v>1</v>
      </c>
      <c r="Y23" s="23">
        <v>1</v>
      </c>
      <c r="Z23" s="23">
        <v>10</v>
      </c>
      <c r="AA23" s="24">
        <v>50</v>
      </c>
      <c r="AB23" s="25">
        <v>100</v>
      </c>
      <c r="AC23" s="25">
        <f t="shared" ref="AC23:AC36" si="18">(AA23/100)*AB23</f>
        <v>50</v>
      </c>
      <c r="AD23" s="11"/>
      <c r="AE23" s="48"/>
      <c r="AF23" s="54"/>
      <c r="AG23" s="55">
        <v>1</v>
      </c>
      <c r="AH23" s="55">
        <v>24</v>
      </c>
      <c r="AI23" s="55">
        <f t="shared" si="14"/>
        <v>7.6923076923076925</v>
      </c>
      <c r="AJ23" s="55">
        <v>10</v>
      </c>
      <c r="AK23" s="56">
        <f t="shared" si="15"/>
        <v>0.76923076923076927</v>
      </c>
      <c r="AM23" s="11"/>
      <c r="AN23" s="30"/>
      <c r="AO23" s="31">
        <v>1</v>
      </c>
      <c r="AP23" s="31">
        <v>13</v>
      </c>
      <c r="AQ23" s="32">
        <v>50</v>
      </c>
      <c r="AR23" s="32">
        <v>10</v>
      </c>
      <c r="AS23" s="17">
        <f t="shared" si="17"/>
        <v>5</v>
      </c>
      <c r="AT23" s="11"/>
    </row>
    <row r="24" spans="1:46" ht="20" thickBot="1" x14ac:dyDescent="0.3">
      <c r="A24" t="s">
        <v>40</v>
      </c>
      <c r="B24">
        <v>4</v>
      </c>
      <c r="D24" s="28">
        <v>23</v>
      </c>
      <c r="E24" s="29">
        <f>COUNTIF(B2:B252,23)</f>
        <v>2</v>
      </c>
      <c r="G24" s="11"/>
      <c r="H24" s="22">
        <v>3</v>
      </c>
      <c r="I24" s="23">
        <v>1</v>
      </c>
      <c r="J24" s="23">
        <v>40</v>
      </c>
      <c r="K24" s="24">
        <f>1/7*100</f>
        <v>14.285714285714285</v>
      </c>
      <c r="L24" s="25">
        <v>50</v>
      </c>
      <c r="M24" s="17">
        <f t="shared" si="16"/>
        <v>7.1428571428571423</v>
      </c>
      <c r="O24" s="11"/>
      <c r="P24" s="14"/>
      <c r="Q24" s="15">
        <v>1</v>
      </c>
      <c r="R24" s="15">
        <v>40</v>
      </c>
      <c r="S24" s="16">
        <f t="shared" ref="S24:S28" si="19">1/11*100</f>
        <v>9.0909090909090917</v>
      </c>
      <c r="T24" s="16">
        <v>50</v>
      </c>
      <c r="U24" s="17">
        <f t="shared" si="12"/>
        <v>4.5454545454545459</v>
      </c>
      <c r="V24" s="11"/>
      <c r="W24" s="11"/>
      <c r="X24" s="30"/>
      <c r="Y24" s="31">
        <v>1</v>
      </c>
      <c r="Z24" s="31">
        <v>5</v>
      </c>
      <c r="AA24" s="32">
        <v>50</v>
      </c>
      <c r="AB24" s="36">
        <v>20</v>
      </c>
      <c r="AC24" s="33">
        <f t="shared" si="18"/>
        <v>10</v>
      </c>
      <c r="AD24" s="11"/>
      <c r="AE24" s="48"/>
      <c r="AF24" s="54"/>
      <c r="AG24" s="55">
        <v>1</v>
      </c>
      <c r="AH24" s="55">
        <v>26</v>
      </c>
      <c r="AI24" s="55">
        <f t="shared" si="14"/>
        <v>7.6923076923076925</v>
      </c>
      <c r="AJ24" s="55">
        <v>50</v>
      </c>
      <c r="AK24" s="56">
        <f t="shared" si="15"/>
        <v>3.8461538461538463</v>
      </c>
      <c r="AM24" s="11"/>
      <c r="AN24" s="18">
        <v>3</v>
      </c>
      <c r="AO24" s="19">
        <v>2</v>
      </c>
      <c r="AP24" s="19">
        <v>24</v>
      </c>
      <c r="AQ24" s="20">
        <v>100</v>
      </c>
      <c r="AR24" s="20">
        <v>20</v>
      </c>
      <c r="AS24" s="17">
        <f t="shared" si="17"/>
        <v>20</v>
      </c>
      <c r="AT24" s="11"/>
    </row>
    <row r="25" spans="1:46" ht="19" x14ac:dyDescent="0.25">
      <c r="A25" t="s">
        <v>41</v>
      </c>
      <c r="B25">
        <v>15</v>
      </c>
      <c r="D25" s="28">
        <v>24</v>
      </c>
      <c r="E25" s="29">
        <f>COUNTIF(B2:B252,24)</f>
        <v>10</v>
      </c>
      <c r="G25" s="11"/>
      <c r="H25" s="14"/>
      <c r="I25" s="15">
        <v>2</v>
      </c>
      <c r="J25" s="15">
        <v>7</v>
      </c>
      <c r="K25" s="16">
        <f>2/7*100</f>
        <v>28.571428571428569</v>
      </c>
      <c r="L25" s="33">
        <f>2/7*100</f>
        <v>28.571428571428569</v>
      </c>
      <c r="M25" s="17">
        <f t="shared" si="16"/>
        <v>8.1632653061224474</v>
      </c>
      <c r="O25" s="11"/>
      <c r="P25" s="14"/>
      <c r="Q25" s="15">
        <v>3</v>
      </c>
      <c r="R25" s="15">
        <v>55</v>
      </c>
      <c r="S25" s="16">
        <f>3/11*100</f>
        <v>27.27272727272727</v>
      </c>
      <c r="T25" s="16">
        <f>3/38*100</f>
        <v>7.8947368421052628</v>
      </c>
      <c r="U25" s="17">
        <f t="shared" si="12"/>
        <v>2.1531100478468899</v>
      </c>
      <c r="V25" s="11"/>
      <c r="W25" s="11"/>
      <c r="X25" s="22">
        <v>2</v>
      </c>
      <c r="Y25" s="23">
        <v>1</v>
      </c>
      <c r="Z25" s="23">
        <v>1</v>
      </c>
      <c r="AA25" s="24">
        <v>25</v>
      </c>
      <c r="AB25" s="25">
        <f>1/12*100</f>
        <v>8.3333333333333321</v>
      </c>
      <c r="AC25" s="33">
        <f t="shared" si="18"/>
        <v>2.083333333333333</v>
      </c>
      <c r="AD25" s="11"/>
      <c r="AE25" s="48"/>
      <c r="AF25" s="54"/>
      <c r="AG25" s="55">
        <v>1</v>
      </c>
      <c r="AH25" s="55">
        <v>40</v>
      </c>
      <c r="AI25" s="55">
        <f t="shared" si="14"/>
        <v>7.6923076923076925</v>
      </c>
      <c r="AJ25" s="55">
        <v>50</v>
      </c>
      <c r="AK25" s="56">
        <f t="shared" si="15"/>
        <v>3.8461538461538463</v>
      </c>
      <c r="AM25" s="11"/>
      <c r="AN25" s="22">
        <v>4</v>
      </c>
      <c r="AO25" s="23">
        <v>1</v>
      </c>
      <c r="AP25" s="23">
        <v>8</v>
      </c>
      <c r="AQ25" s="24">
        <v>25</v>
      </c>
      <c r="AR25" s="24">
        <f>1/11*100</f>
        <v>9.0909090909090917</v>
      </c>
      <c r="AS25" s="17">
        <f t="shared" si="17"/>
        <v>2.2727272727272729</v>
      </c>
      <c r="AT25" s="11"/>
    </row>
    <row r="26" spans="1:46" ht="20" thickBot="1" x14ac:dyDescent="0.3">
      <c r="A26" t="s">
        <v>42</v>
      </c>
      <c r="B26">
        <v>20</v>
      </c>
      <c r="D26" s="28">
        <v>25</v>
      </c>
      <c r="E26" s="29">
        <f>COUNTIF(B2:B252,25)</f>
        <v>8</v>
      </c>
      <c r="G26" s="11"/>
      <c r="H26" s="14"/>
      <c r="I26" s="15">
        <v>1</v>
      </c>
      <c r="J26" s="15">
        <v>15</v>
      </c>
      <c r="K26" s="16">
        <f>1/7*100</f>
        <v>14.285714285714285</v>
      </c>
      <c r="L26" s="33">
        <f>1/19*100</f>
        <v>5.2631578947368416</v>
      </c>
      <c r="M26" s="17">
        <f t="shared" si="16"/>
        <v>0.75187969924812015</v>
      </c>
      <c r="O26" s="11"/>
      <c r="P26" s="14"/>
      <c r="Q26" s="15">
        <v>2</v>
      </c>
      <c r="R26" s="15">
        <v>15</v>
      </c>
      <c r="S26" s="16">
        <f>2/11*100</f>
        <v>18.181818181818183</v>
      </c>
      <c r="T26" s="16">
        <f>2/19*100</f>
        <v>10.526315789473683</v>
      </c>
      <c r="U26" s="17">
        <f t="shared" si="12"/>
        <v>1.9138755980861242</v>
      </c>
      <c r="V26" s="11"/>
      <c r="W26" s="11"/>
      <c r="X26" s="14"/>
      <c r="Y26" s="15">
        <v>1</v>
      </c>
      <c r="Z26" s="15">
        <v>9</v>
      </c>
      <c r="AA26" s="16">
        <v>25</v>
      </c>
      <c r="AB26" s="33">
        <v>25</v>
      </c>
      <c r="AC26" s="33">
        <f t="shared" si="18"/>
        <v>6.25</v>
      </c>
      <c r="AD26" s="11"/>
      <c r="AE26" s="48"/>
      <c r="AF26" s="60"/>
      <c r="AG26" s="61">
        <v>3</v>
      </c>
      <c r="AH26" s="61">
        <v>55</v>
      </c>
      <c r="AI26" s="61">
        <f t="shared" si="14"/>
        <v>23.076923076923077</v>
      </c>
      <c r="AJ26" s="61">
        <f>3/38*100</f>
        <v>7.8947368421052628</v>
      </c>
      <c r="AK26" s="56">
        <f t="shared" si="15"/>
        <v>1.8218623481781375</v>
      </c>
      <c r="AM26" s="11"/>
      <c r="AN26" s="14"/>
      <c r="AO26" s="15">
        <v>1</v>
      </c>
      <c r="AP26" s="15">
        <v>33</v>
      </c>
      <c r="AQ26" s="16">
        <v>25</v>
      </c>
      <c r="AR26" s="16">
        <v>20</v>
      </c>
      <c r="AS26" s="17">
        <f t="shared" si="17"/>
        <v>5</v>
      </c>
      <c r="AT26" s="11"/>
    </row>
    <row r="27" spans="1:46" ht="20" thickBot="1" x14ac:dyDescent="0.3">
      <c r="A27" t="s">
        <v>43</v>
      </c>
      <c r="B27">
        <v>13</v>
      </c>
      <c r="D27" s="28">
        <v>26</v>
      </c>
      <c r="E27" s="29">
        <f>COUNTIF(B2:B252,26)</f>
        <v>2</v>
      </c>
      <c r="G27" s="11"/>
      <c r="H27" s="30"/>
      <c r="I27" s="31">
        <v>3</v>
      </c>
      <c r="J27" s="31">
        <v>55</v>
      </c>
      <c r="K27" s="32">
        <f>3/7*100</f>
        <v>42.857142857142854</v>
      </c>
      <c r="L27" s="36">
        <f>3/38*100</f>
        <v>7.8947368421052628</v>
      </c>
      <c r="M27" s="17">
        <f t="shared" si="16"/>
        <v>3.3834586466165408</v>
      </c>
      <c r="O27" s="11"/>
      <c r="P27" s="14"/>
      <c r="Q27" s="15">
        <v>3</v>
      </c>
      <c r="R27" s="15">
        <v>7</v>
      </c>
      <c r="S27" s="16">
        <f>3/11*100</f>
        <v>27.27272727272727</v>
      </c>
      <c r="T27" s="16">
        <f>3/7*100</f>
        <v>42.857142857142854</v>
      </c>
      <c r="U27" s="17">
        <f t="shared" si="12"/>
        <v>11.688311688311687</v>
      </c>
      <c r="V27" s="11"/>
      <c r="W27" s="11"/>
      <c r="X27" s="30"/>
      <c r="Y27" s="31">
        <v>2</v>
      </c>
      <c r="Z27" s="31">
        <v>55</v>
      </c>
      <c r="AA27" s="32">
        <v>50</v>
      </c>
      <c r="AB27" s="36">
        <f>2/38*100</f>
        <v>5.2631578947368416</v>
      </c>
      <c r="AC27" s="33">
        <f t="shared" si="18"/>
        <v>2.6315789473684208</v>
      </c>
      <c r="AD27" s="11"/>
      <c r="AE27" s="48"/>
      <c r="AF27" s="51">
        <v>2</v>
      </c>
      <c r="AG27" s="52">
        <v>1</v>
      </c>
      <c r="AH27" s="52">
        <v>1</v>
      </c>
      <c r="AI27" s="52">
        <f>AG27/9*100</f>
        <v>11.111111111111111</v>
      </c>
      <c r="AJ27" s="52">
        <f>1/12*100</f>
        <v>8.3333333333333321</v>
      </c>
      <c r="AK27" s="56">
        <f t="shared" si="15"/>
        <v>0.92592592592592571</v>
      </c>
      <c r="AM27" s="11"/>
      <c r="AN27" s="14"/>
      <c r="AO27" s="15">
        <v>1</v>
      </c>
      <c r="AP27" s="15">
        <v>37</v>
      </c>
      <c r="AQ27" s="16">
        <v>25</v>
      </c>
      <c r="AR27" s="16">
        <f>1/6*100</f>
        <v>16.666666666666664</v>
      </c>
      <c r="AS27" s="17">
        <f t="shared" si="17"/>
        <v>4.1666666666666661</v>
      </c>
      <c r="AT27" s="11"/>
    </row>
    <row r="28" spans="1:46" ht="20" thickBot="1" x14ac:dyDescent="0.3">
      <c r="A28" t="s">
        <v>44</v>
      </c>
      <c r="B28">
        <v>17</v>
      </c>
      <c r="D28" s="28">
        <v>27</v>
      </c>
      <c r="E28" s="29">
        <f>COUNTIF(B2:B252,27)</f>
        <v>1</v>
      </c>
      <c r="G28" s="11"/>
      <c r="H28" s="22">
        <v>4</v>
      </c>
      <c r="I28" s="23">
        <v>1</v>
      </c>
      <c r="J28" s="23">
        <v>50</v>
      </c>
      <c r="K28" s="24">
        <v>20</v>
      </c>
      <c r="L28" s="25">
        <f>1/3*100</f>
        <v>33.333333333333329</v>
      </c>
      <c r="M28" s="17">
        <f t="shared" si="16"/>
        <v>6.6666666666666661</v>
      </c>
      <c r="O28" s="11"/>
      <c r="P28" s="30"/>
      <c r="Q28" s="31">
        <v>1</v>
      </c>
      <c r="R28" s="31">
        <v>26</v>
      </c>
      <c r="S28" s="32">
        <f t="shared" si="19"/>
        <v>9.0909090909090917</v>
      </c>
      <c r="T28" s="32">
        <v>50</v>
      </c>
      <c r="U28" s="43">
        <f t="shared" si="12"/>
        <v>4.5454545454545459</v>
      </c>
      <c r="V28" s="11"/>
      <c r="W28" s="11"/>
      <c r="X28" s="22">
        <v>3</v>
      </c>
      <c r="Y28" s="23">
        <v>1</v>
      </c>
      <c r="Z28" s="23">
        <v>7</v>
      </c>
      <c r="AA28" s="24">
        <v>20</v>
      </c>
      <c r="AB28" s="25">
        <f>1/7*100</f>
        <v>14.285714285714285</v>
      </c>
      <c r="AC28" s="33">
        <f t="shared" si="18"/>
        <v>2.8571428571428572</v>
      </c>
      <c r="AD28" s="11"/>
      <c r="AE28" s="48"/>
      <c r="AF28" s="54"/>
      <c r="AG28" s="55">
        <v>1</v>
      </c>
      <c r="AH28" s="55">
        <v>2</v>
      </c>
      <c r="AI28" s="55">
        <f t="shared" ref="AI28:AI34" si="20">AG28/9*100</f>
        <v>11.111111111111111</v>
      </c>
      <c r="AJ28" s="55">
        <v>20</v>
      </c>
      <c r="AK28" s="56">
        <f t="shared" si="15"/>
        <v>2.2222222222222223</v>
      </c>
      <c r="AM28" s="11"/>
      <c r="AN28" s="30"/>
      <c r="AO28" s="31">
        <v>1</v>
      </c>
      <c r="AP28" s="31">
        <v>44</v>
      </c>
      <c r="AQ28" s="32">
        <v>25</v>
      </c>
      <c r="AR28" s="32">
        <f>1/16*200</f>
        <v>12.5</v>
      </c>
      <c r="AS28" s="17">
        <f t="shared" si="17"/>
        <v>3.125</v>
      </c>
      <c r="AT28" s="11"/>
    </row>
    <row r="29" spans="1:46" ht="20" thickBot="1" x14ac:dyDescent="0.3">
      <c r="A29" t="s">
        <v>45</v>
      </c>
      <c r="B29">
        <v>15</v>
      </c>
      <c r="D29" s="28">
        <v>28</v>
      </c>
      <c r="E29" s="29">
        <f>COUNTIF(B2:B252,28)</f>
        <v>4</v>
      </c>
      <c r="G29" s="11"/>
      <c r="H29" s="14"/>
      <c r="I29" s="15">
        <v>1</v>
      </c>
      <c r="J29" s="15">
        <v>1</v>
      </c>
      <c r="K29" s="16">
        <v>20</v>
      </c>
      <c r="L29" s="33">
        <f>1/12*100</f>
        <v>8.3333333333333321</v>
      </c>
      <c r="M29" s="17">
        <f t="shared" si="16"/>
        <v>1.6666666666666665</v>
      </c>
      <c r="O29" s="11"/>
      <c r="P29" s="11"/>
      <c r="Q29" s="11"/>
      <c r="R29" s="11"/>
      <c r="S29" s="46"/>
      <c r="T29" s="47" t="s">
        <v>22</v>
      </c>
      <c r="U29" s="21">
        <f>SUM(U15:U28)</f>
        <v>99.248120300751864</v>
      </c>
      <c r="V29" s="11"/>
      <c r="W29" s="11"/>
      <c r="X29" s="14"/>
      <c r="Y29" s="15">
        <v>3</v>
      </c>
      <c r="Z29" s="15">
        <v>15</v>
      </c>
      <c r="AA29" s="16">
        <v>60</v>
      </c>
      <c r="AB29" s="33">
        <f>3/19*100</f>
        <v>15.789473684210526</v>
      </c>
      <c r="AC29" s="33">
        <f t="shared" si="18"/>
        <v>9.473684210526315</v>
      </c>
      <c r="AD29" s="11"/>
      <c r="AE29" s="48"/>
      <c r="AF29" s="54"/>
      <c r="AG29" s="55">
        <v>1</v>
      </c>
      <c r="AH29" s="55">
        <v>7</v>
      </c>
      <c r="AI29" s="55">
        <f t="shared" si="20"/>
        <v>11.111111111111111</v>
      </c>
      <c r="AJ29" s="55">
        <f>1/7*100</f>
        <v>14.285714285714285</v>
      </c>
      <c r="AK29" s="56">
        <f t="shared" si="15"/>
        <v>1.587301587301587</v>
      </c>
      <c r="AM29" s="11"/>
      <c r="AN29" s="22">
        <v>5</v>
      </c>
      <c r="AO29" s="23">
        <v>1</v>
      </c>
      <c r="AP29" s="23">
        <v>18</v>
      </c>
      <c r="AQ29" s="24">
        <v>50</v>
      </c>
      <c r="AR29" s="24">
        <f>1/6*100</f>
        <v>16.666666666666664</v>
      </c>
      <c r="AS29" s="17">
        <f t="shared" si="17"/>
        <v>8.3333333333333321</v>
      </c>
      <c r="AT29" s="11"/>
    </row>
    <row r="30" spans="1:46" ht="20" thickBot="1" x14ac:dyDescent="0.3">
      <c r="A30" t="s">
        <v>46</v>
      </c>
      <c r="B30">
        <v>21</v>
      </c>
      <c r="D30" s="28">
        <v>29</v>
      </c>
      <c r="E30" s="29">
        <f>COUNTIF(B2:B252,29)</f>
        <v>2</v>
      </c>
      <c r="G30" s="11"/>
      <c r="H30" s="14"/>
      <c r="I30" s="15">
        <v>1</v>
      </c>
      <c r="J30" s="15">
        <v>15</v>
      </c>
      <c r="K30" s="16">
        <v>20</v>
      </c>
      <c r="L30" s="33">
        <f>1/19*100</f>
        <v>5.2631578947368416</v>
      </c>
      <c r="M30" s="17">
        <f t="shared" si="16"/>
        <v>1.0526315789473684</v>
      </c>
      <c r="O30" s="11"/>
      <c r="P30" s="11"/>
      <c r="Q30" s="11"/>
      <c r="R30" s="11"/>
      <c r="S30" s="46"/>
      <c r="T30" s="46"/>
      <c r="U30" s="46"/>
      <c r="V30" s="11"/>
      <c r="W30" s="11"/>
      <c r="X30" s="30"/>
      <c r="Y30" s="31">
        <v>1</v>
      </c>
      <c r="Z30" s="31">
        <v>39</v>
      </c>
      <c r="AA30" s="32">
        <v>20</v>
      </c>
      <c r="AB30" s="36">
        <v>25</v>
      </c>
      <c r="AC30" s="33">
        <f t="shared" si="18"/>
        <v>5</v>
      </c>
      <c r="AD30" s="11"/>
      <c r="AE30" s="48"/>
      <c r="AF30" s="54"/>
      <c r="AG30" s="55">
        <v>1</v>
      </c>
      <c r="AH30" s="55">
        <v>13</v>
      </c>
      <c r="AI30" s="55">
        <f t="shared" si="20"/>
        <v>11.111111111111111</v>
      </c>
      <c r="AJ30" s="55">
        <v>10</v>
      </c>
      <c r="AK30" s="56">
        <f t="shared" si="15"/>
        <v>1.1111111111111112</v>
      </c>
      <c r="AM30" s="11"/>
      <c r="AN30" s="30"/>
      <c r="AO30" s="31">
        <v>1</v>
      </c>
      <c r="AP30" s="31">
        <v>24</v>
      </c>
      <c r="AQ30" s="32">
        <v>50</v>
      </c>
      <c r="AR30" s="32">
        <v>10</v>
      </c>
      <c r="AS30" s="17">
        <f t="shared" si="17"/>
        <v>5</v>
      </c>
      <c r="AT30" s="11"/>
    </row>
    <row r="31" spans="1:46" ht="20" thickBot="1" x14ac:dyDescent="0.3">
      <c r="A31" t="s">
        <v>47</v>
      </c>
      <c r="B31">
        <v>22</v>
      </c>
      <c r="D31" s="28">
        <v>30</v>
      </c>
      <c r="E31" s="29">
        <f>COUNTIF(B2:B252,30)</f>
        <v>2</v>
      </c>
      <c r="G31" s="11"/>
      <c r="H31" s="14"/>
      <c r="I31" s="15">
        <v>1</v>
      </c>
      <c r="J31" s="15">
        <v>2</v>
      </c>
      <c r="K31" s="16">
        <v>20</v>
      </c>
      <c r="L31" s="33">
        <v>20</v>
      </c>
      <c r="M31" s="17">
        <f t="shared" si="16"/>
        <v>4</v>
      </c>
      <c r="O31" s="8" t="s">
        <v>48</v>
      </c>
      <c r="P31" s="3" t="s">
        <v>3</v>
      </c>
      <c r="Q31" s="4" t="s">
        <v>4</v>
      </c>
      <c r="R31" s="4" t="s">
        <v>0</v>
      </c>
      <c r="S31" s="62" t="s">
        <v>5</v>
      </c>
      <c r="T31" s="63" t="s">
        <v>6</v>
      </c>
      <c r="U31" s="64" t="s">
        <v>7</v>
      </c>
      <c r="V31" s="11"/>
      <c r="W31" s="11"/>
      <c r="X31" s="22">
        <v>4</v>
      </c>
      <c r="Y31" s="23">
        <v>1</v>
      </c>
      <c r="Z31" s="23">
        <v>12</v>
      </c>
      <c r="AA31" s="24">
        <v>50</v>
      </c>
      <c r="AB31" s="25">
        <v>20</v>
      </c>
      <c r="AC31" s="33">
        <f t="shared" si="18"/>
        <v>10</v>
      </c>
      <c r="AD31" s="11"/>
      <c r="AE31" s="48"/>
      <c r="AF31" s="54"/>
      <c r="AG31" s="55">
        <v>2</v>
      </c>
      <c r="AH31" s="55">
        <v>15</v>
      </c>
      <c r="AI31" s="55">
        <f t="shared" si="20"/>
        <v>22.222222222222221</v>
      </c>
      <c r="AJ31" s="55">
        <f>2/19*200</f>
        <v>21.052631578947366</v>
      </c>
      <c r="AK31" s="56">
        <f t="shared" si="15"/>
        <v>4.6783625730994141</v>
      </c>
      <c r="AM31" s="11"/>
      <c r="AN31" s="11"/>
      <c r="AO31" s="11"/>
      <c r="AP31" s="11"/>
      <c r="AQ31" s="46"/>
      <c r="AR31" s="47" t="s">
        <v>22</v>
      </c>
      <c r="AS31" s="43">
        <f>SUM(AS21:AS30)</f>
        <v>144.56439393939394</v>
      </c>
      <c r="AT31" s="11"/>
    </row>
    <row r="32" spans="1:46" ht="20" thickBot="1" x14ac:dyDescent="0.3">
      <c r="A32" t="s">
        <v>49</v>
      </c>
      <c r="B32">
        <v>23</v>
      </c>
      <c r="D32" s="28">
        <v>31</v>
      </c>
      <c r="E32" s="29">
        <f>COUNTIF(B2:B252,31)</f>
        <v>1</v>
      </c>
      <c r="G32" s="11"/>
      <c r="H32" s="30"/>
      <c r="I32" s="31">
        <v>1</v>
      </c>
      <c r="J32" s="31">
        <v>13</v>
      </c>
      <c r="K32" s="32">
        <v>20</v>
      </c>
      <c r="L32" s="36">
        <v>10</v>
      </c>
      <c r="M32" s="17">
        <f t="shared" si="16"/>
        <v>2</v>
      </c>
      <c r="O32" s="11"/>
      <c r="P32" s="18">
        <v>1</v>
      </c>
      <c r="Q32" s="19">
        <v>2</v>
      </c>
      <c r="R32" s="19">
        <v>15</v>
      </c>
      <c r="S32" s="20">
        <v>100</v>
      </c>
      <c r="T32" s="21">
        <f>2/19*100</f>
        <v>10.526315789473683</v>
      </c>
      <c r="U32" s="57">
        <f>(S32/100)*T32</f>
        <v>10.526315789473683</v>
      </c>
      <c r="V32" s="11"/>
      <c r="W32" s="11"/>
      <c r="X32" s="30"/>
      <c r="Y32" s="31">
        <v>1</v>
      </c>
      <c r="Z32" s="31">
        <v>47</v>
      </c>
      <c r="AA32" s="32">
        <v>50</v>
      </c>
      <c r="AB32" s="36">
        <v>50</v>
      </c>
      <c r="AC32" s="33">
        <f t="shared" si="18"/>
        <v>25</v>
      </c>
      <c r="AD32" s="11"/>
      <c r="AE32" s="48"/>
      <c r="AF32" s="54"/>
      <c r="AG32" s="55">
        <v>1</v>
      </c>
      <c r="AH32" s="55">
        <v>16</v>
      </c>
      <c r="AI32" s="55">
        <f t="shared" si="20"/>
        <v>11.111111111111111</v>
      </c>
      <c r="AJ32" s="55">
        <f>1/9*100</f>
        <v>11.111111111111111</v>
      </c>
      <c r="AK32" s="56">
        <f t="shared" si="15"/>
        <v>1.2345679012345678</v>
      </c>
      <c r="AM32" s="11"/>
      <c r="AN32" s="11"/>
      <c r="AO32" s="11"/>
      <c r="AP32" s="11"/>
      <c r="AQ32" s="11"/>
      <c r="AR32" s="11"/>
      <c r="AS32" s="11"/>
      <c r="AT32" s="11"/>
    </row>
    <row r="33" spans="1:46" ht="20" thickBot="1" x14ac:dyDescent="0.3">
      <c r="A33" t="s">
        <v>50</v>
      </c>
      <c r="B33">
        <v>23</v>
      </c>
      <c r="D33" s="28">
        <v>32</v>
      </c>
      <c r="E33" s="29">
        <f>COUNTIF(B2:B252,32)</f>
        <v>3</v>
      </c>
      <c r="G33" s="11"/>
      <c r="H33" s="22">
        <v>5</v>
      </c>
      <c r="I33" s="23">
        <v>1</v>
      </c>
      <c r="J33" s="23">
        <v>13</v>
      </c>
      <c r="K33" s="24">
        <v>50</v>
      </c>
      <c r="L33" s="25">
        <v>10</v>
      </c>
      <c r="M33" s="17">
        <f t="shared" si="16"/>
        <v>5</v>
      </c>
      <c r="O33" s="11"/>
      <c r="P33" s="22">
        <v>2</v>
      </c>
      <c r="Q33" s="23">
        <v>1</v>
      </c>
      <c r="R33" s="23">
        <v>32</v>
      </c>
      <c r="S33" s="24">
        <v>50</v>
      </c>
      <c r="T33" s="25">
        <f>1/3*100</f>
        <v>33.333333333333329</v>
      </c>
      <c r="U33" s="17">
        <f t="shared" ref="U33:U46" si="21">(S33/100)*T33</f>
        <v>16.666666666666664</v>
      </c>
      <c r="V33" s="11"/>
      <c r="W33" s="11"/>
      <c r="X33" s="14">
        <v>5</v>
      </c>
      <c r="Y33" s="15">
        <v>2</v>
      </c>
      <c r="Z33" s="15">
        <v>7</v>
      </c>
      <c r="AA33" s="16">
        <f>2/6*100</f>
        <v>33.333333333333329</v>
      </c>
      <c r="AB33" s="33">
        <f>2/7*100</f>
        <v>28.571428571428569</v>
      </c>
      <c r="AC33" s="33">
        <f t="shared" si="18"/>
        <v>9.5238095238095202</v>
      </c>
      <c r="AD33" s="11"/>
      <c r="AE33" s="48"/>
      <c r="AF33" s="54"/>
      <c r="AG33" s="55">
        <v>1</v>
      </c>
      <c r="AH33" s="55">
        <v>50</v>
      </c>
      <c r="AI33" s="55">
        <f t="shared" si="20"/>
        <v>11.111111111111111</v>
      </c>
      <c r="AJ33" s="55">
        <f>1/3*100</f>
        <v>33.333333333333329</v>
      </c>
      <c r="AK33" s="56">
        <f t="shared" si="15"/>
        <v>3.7037037037037028</v>
      </c>
      <c r="AM33" s="11"/>
      <c r="AN33" s="11"/>
      <c r="AO33" s="11"/>
      <c r="AP33" s="11"/>
      <c r="AQ33" s="11"/>
      <c r="AR33" s="11"/>
      <c r="AS33" s="11"/>
      <c r="AT33" s="11"/>
    </row>
    <row r="34" spans="1:46" ht="20" thickBot="1" x14ac:dyDescent="0.3">
      <c r="A34" t="s">
        <v>51</v>
      </c>
      <c r="B34">
        <v>24</v>
      </c>
      <c r="D34" s="28">
        <v>33</v>
      </c>
      <c r="E34" s="29">
        <f>COUNTIF(B2:B252,33)</f>
        <v>5</v>
      </c>
      <c r="G34" s="11"/>
      <c r="H34" s="30"/>
      <c r="I34" s="31">
        <v>1</v>
      </c>
      <c r="J34" s="31">
        <v>55</v>
      </c>
      <c r="K34" s="32">
        <v>50</v>
      </c>
      <c r="L34" s="36">
        <f>1/38*100</f>
        <v>2.6315789473684208</v>
      </c>
      <c r="M34" s="17">
        <f t="shared" si="16"/>
        <v>1.3157894736842104</v>
      </c>
      <c r="O34" s="11"/>
      <c r="P34" s="30"/>
      <c r="Q34" s="31">
        <v>1</v>
      </c>
      <c r="R34" s="31">
        <v>33</v>
      </c>
      <c r="S34" s="32">
        <v>50</v>
      </c>
      <c r="T34" s="36">
        <v>20</v>
      </c>
      <c r="U34" s="17">
        <f t="shared" si="21"/>
        <v>10</v>
      </c>
      <c r="V34" s="11"/>
      <c r="W34" s="11"/>
      <c r="X34" s="14"/>
      <c r="Y34" s="15">
        <v>2</v>
      </c>
      <c r="Z34" s="15">
        <v>8</v>
      </c>
      <c r="AA34" s="16">
        <f>2/6*100</f>
        <v>33.333333333333329</v>
      </c>
      <c r="AB34" s="33">
        <f>2/11*100</f>
        <v>18.181818181818183</v>
      </c>
      <c r="AC34" s="33">
        <f t="shared" si="18"/>
        <v>6.0606060606060597</v>
      </c>
      <c r="AD34" s="11"/>
      <c r="AE34" s="48"/>
      <c r="AF34" s="60"/>
      <c r="AG34" s="61">
        <v>1</v>
      </c>
      <c r="AH34" s="61">
        <v>55</v>
      </c>
      <c r="AI34" s="61">
        <f t="shared" si="20"/>
        <v>11.111111111111111</v>
      </c>
      <c r="AJ34" s="61">
        <f>1/38*100</f>
        <v>2.6315789473684208</v>
      </c>
      <c r="AK34" s="56">
        <f t="shared" si="15"/>
        <v>0.29239766081871338</v>
      </c>
      <c r="AM34" s="3" t="s">
        <v>52</v>
      </c>
      <c r="AN34" s="4" t="s">
        <v>3</v>
      </c>
      <c r="AO34" s="4" t="s">
        <v>4</v>
      </c>
      <c r="AP34" s="4" t="s">
        <v>0</v>
      </c>
      <c r="AQ34" s="4" t="s">
        <v>5</v>
      </c>
      <c r="AR34" s="5" t="s">
        <v>6</v>
      </c>
      <c r="AS34" s="8" t="s">
        <v>7</v>
      </c>
      <c r="AT34" s="11"/>
    </row>
    <row r="35" spans="1:46" ht="20" thickBot="1" x14ac:dyDescent="0.3">
      <c r="A35" t="s">
        <v>53</v>
      </c>
      <c r="B35">
        <v>25</v>
      </c>
      <c r="D35" s="28">
        <v>34</v>
      </c>
      <c r="E35" s="29">
        <f>COUNTIF(B2:B252,34)</f>
        <v>3</v>
      </c>
      <c r="G35" s="11"/>
      <c r="H35" s="11"/>
      <c r="I35" s="11"/>
      <c r="J35" s="11"/>
      <c r="K35" s="46"/>
      <c r="L35" s="49" t="s">
        <v>22</v>
      </c>
      <c r="M35" s="21">
        <f>SUM(M21:M34)</f>
        <v>73.336197636949507</v>
      </c>
      <c r="N35" s="11"/>
      <c r="O35" s="11"/>
      <c r="P35" s="22">
        <v>3</v>
      </c>
      <c r="Q35" s="23">
        <v>2</v>
      </c>
      <c r="R35" s="23">
        <v>13</v>
      </c>
      <c r="S35" s="24">
        <f>2/3*100</f>
        <v>66.666666666666657</v>
      </c>
      <c r="T35" s="25">
        <v>20</v>
      </c>
      <c r="U35" s="17">
        <f t="shared" si="21"/>
        <v>13.33333333333333</v>
      </c>
      <c r="V35" s="11"/>
      <c r="W35" s="11"/>
      <c r="X35" s="14"/>
      <c r="Y35" s="15">
        <v>1</v>
      </c>
      <c r="Z35" s="15">
        <v>33</v>
      </c>
      <c r="AA35" s="16">
        <f>1/6*100</f>
        <v>16.666666666666664</v>
      </c>
      <c r="AB35" s="33">
        <v>20</v>
      </c>
      <c r="AC35" s="33">
        <f t="shared" si="18"/>
        <v>3.3333333333333326</v>
      </c>
      <c r="AD35" s="11"/>
      <c r="AE35" s="48"/>
      <c r="AF35" s="65">
        <v>3</v>
      </c>
      <c r="AG35" s="66">
        <v>2</v>
      </c>
      <c r="AH35" s="66">
        <v>22</v>
      </c>
      <c r="AI35" s="66">
        <v>100</v>
      </c>
      <c r="AJ35" s="66">
        <f>2/3*100</f>
        <v>66.666666666666657</v>
      </c>
      <c r="AK35" s="56">
        <f t="shared" si="15"/>
        <v>66.666666666666657</v>
      </c>
      <c r="AM35" s="11"/>
      <c r="AN35" s="22">
        <v>1</v>
      </c>
      <c r="AO35" s="23">
        <v>1</v>
      </c>
      <c r="AP35" s="23">
        <v>13</v>
      </c>
      <c r="AQ35" s="24">
        <v>50</v>
      </c>
      <c r="AR35" s="25">
        <v>10</v>
      </c>
      <c r="AS35" s="57">
        <f>(AQ35/100)*AR35</f>
        <v>5</v>
      </c>
      <c r="AT35" s="11"/>
    </row>
    <row r="36" spans="1:46" ht="20" thickBot="1" x14ac:dyDescent="0.3">
      <c r="A36" t="s">
        <v>54</v>
      </c>
      <c r="B36">
        <v>25</v>
      </c>
      <c r="D36" s="28">
        <v>35</v>
      </c>
      <c r="E36" s="29">
        <f>COUNTIF(B2:B252,35)</f>
        <v>1</v>
      </c>
      <c r="G36" s="11"/>
      <c r="H36" s="11"/>
      <c r="I36" s="11"/>
      <c r="J36" s="11"/>
      <c r="K36" s="46"/>
      <c r="L36" s="16"/>
      <c r="M36" s="16"/>
      <c r="N36" s="11"/>
      <c r="O36" s="11"/>
      <c r="P36" s="30"/>
      <c r="Q36" s="31">
        <v>1</v>
      </c>
      <c r="R36" s="31">
        <v>24</v>
      </c>
      <c r="S36" s="32">
        <f>1/3*100</f>
        <v>33.333333333333329</v>
      </c>
      <c r="T36" s="36">
        <v>10</v>
      </c>
      <c r="U36" s="17">
        <f t="shared" si="21"/>
        <v>3.3333333333333326</v>
      </c>
      <c r="V36" s="11"/>
      <c r="W36" s="11"/>
      <c r="X36" s="30"/>
      <c r="Y36" s="31">
        <v>1</v>
      </c>
      <c r="Z36" s="31">
        <v>49</v>
      </c>
      <c r="AA36" s="32">
        <f>1/6*100</f>
        <v>16.666666666666664</v>
      </c>
      <c r="AB36" s="36">
        <f>1/3*100</f>
        <v>33.333333333333329</v>
      </c>
      <c r="AC36" s="36">
        <f t="shared" si="18"/>
        <v>5.5555555555555536</v>
      </c>
      <c r="AD36" s="11"/>
      <c r="AE36" s="48"/>
      <c r="AF36" s="51">
        <v>4</v>
      </c>
      <c r="AG36" s="52">
        <v>1</v>
      </c>
      <c r="AH36" s="52">
        <v>18</v>
      </c>
      <c r="AI36" s="52">
        <v>50</v>
      </c>
      <c r="AJ36" s="52">
        <f>1/6*100</f>
        <v>16.666666666666664</v>
      </c>
      <c r="AK36" s="56">
        <f t="shared" si="15"/>
        <v>8.3333333333333321</v>
      </c>
      <c r="AM36" s="11"/>
      <c r="AN36" s="30"/>
      <c r="AO36" s="31">
        <v>1</v>
      </c>
      <c r="AP36" s="31">
        <v>43</v>
      </c>
      <c r="AQ36" s="32">
        <v>50</v>
      </c>
      <c r="AR36" s="36">
        <v>50</v>
      </c>
      <c r="AS36" s="17">
        <f t="shared" ref="AS36:AS49" si="22">(AQ36/100)*AR36</f>
        <v>25</v>
      </c>
      <c r="AT36" s="11"/>
    </row>
    <row r="37" spans="1:46" ht="20" thickBot="1" x14ac:dyDescent="0.3">
      <c r="A37" t="s">
        <v>55</v>
      </c>
      <c r="B37">
        <v>1</v>
      </c>
      <c r="D37" s="28">
        <v>36</v>
      </c>
      <c r="E37" s="29">
        <f>COUNTIF(B2:B252,36)</f>
        <v>1</v>
      </c>
      <c r="G37" s="11"/>
      <c r="H37" s="11"/>
      <c r="I37" s="11"/>
      <c r="J37" s="11"/>
      <c r="K37" s="11"/>
      <c r="L37" s="11"/>
      <c r="M37" s="11"/>
      <c r="N37" s="11"/>
      <c r="O37" s="11"/>
      <c r="P37" s="22">
        <v>4</v>
      </c>
      <c r="Q37" s="23">
        <v>1</v>
      </c>
      <c r="R37" s="23">
        <v>44</v>
      </c>
      <c r="S37" s="24">
        <v>50</v>
      </c>
      <c r="T37" s="25">
        <f>1/16*100</f>
        <v>6.25</v>
      </c>
      <c r="U37" s="17">
        <f t="shared" si="21"/>
        <v>3.125</v>
      </c>
      <c r="V37" s="11"/>
      <c r="W37" s="11"/>
      <c r="X37" s="11"/>
      <c r="Y37" s="11"/>
      <c r="Z37" s="11"/>
      <c r="AA37" s="11"/>
      <c r="AB37" s="30" t="s">
        <v>22</v>
      </c>
      <c r="AC37" s="21">
        <f>SUM(AC23:AC36)</f>
        <v>147.76904382167541</v>
      </c>
      <c r="AD37" s="11"/>
      <c r="AE37" s="48"/>
      <c r="AF37" s="60"/>
      <c r="AG37" s="61">
        <v>1</v>
      </c>
      <c r="AH37" s="61">
        <v>24</v>
      </c>
      <c r="AI37" s="61">
        <v>50</v>
      </c>
      <c r="AJ37" s="61">
        <v>10</v>
      </c>
      <c r="AK37" s="56">
        <f t="shared" si="15"/>
        <v>5</v>
      </c>
      <c r="AM37" s="11"/>
      <c r="AN37" s="18">
        <v>2</v>
      </c>
      <c r="AO37" s="19">
        <v>2</v>
      </c>
      <c r="AP37" s="19">
        <v>24</v>
      </c>
      <c r="AQ37" s="20">
        <v>100</v>
      </c>
      <c r="AR37" s="21">
        <v>20</v>
      </c>
      <c r="AS37" s="17">
        <f t="shared" si="22"/>
        <v>20</v>
      </c>
      <c r="AT37" s="11"/>
    </row>
    <row r="38" spans="1:46" ht="20" thickBot="1" x14ac:dyDescent="0.3">
      <c r="A38" t="s">
        <v>56</v>
      </c>
      <c r="B38">
        <v>27</v>
      </c>
      <c r="D38" s="28">
        <v>37</v>
      </c>
      <c r="E38" s="29">
        <f>COUNTIF(B2:B252,37)</f>
        <v>6</v>
      </c>
      <c r="G38" s="3" t="s">
        <v>57</v>
      </c>
      <c r="H38" s="4" t="s">
        <v>3</v>
      </c>
      <c r="I38" s="4" t="s">
        <v>4</v>
      </c>
      <c r="J38" s="4" t="s">
        <v>0</v>
      </c>
      <c r="K38" s="4" t="s">
        <v>5</v>
      </c>
      <c r="L38" s="4" t="s">
        <v>6</v>
      </c>
      <c r="M38" s="7" t="s">
        <v>7</v>
      </c>
      <c r="N38" s="11"/>
      <c r="O38" s="11"/>
      <c r="P38" s="30"/>
      <c r="Q38" s="31">
        <v>1</v>
      </c>
      <c r="R38" s="31">
        <v>55</v>
      </c>
      <c r="S38" s="32">
        <v>50</v>
      </c>
      <c r="T38" s="36">
        <f>1/38*100</f>
        <v>2.6315789473684208</v>
      </c>
      <c r="U38" s="17">
        <f t="shared" si="21"/>
        <v>1.3157894736842104</v>
      </c>
      <c r="V38" s="11"/>
      <c r="W38" s="11"/>
      <c r="X38" s="11"/>
      <c r="Y38" s="11"/>
      <c r="Z38" s="11"/>
      <c r="AA38" s="11"/>
      <c r="AB38" s="11"/>
      <c r="AC38" s="11"/>
      <c r="AD38" s="11"/>
      <c r="AE38" s="48"/>
      <c r="AF38" s="51">
        <v>5</v>
      </c>
      <c r="AG38" s="52">
        <v>1</v>
      </c>
      <c r="AH38" s="52">
        <v>13</v>
      </c>
      <c r="AI38" s="52">
        <v>50</v>
      </c>
      <c r="AJ38" s="52">
        <v>10</v>
      </c>
      <c r="AK38" s="56">
        <f t="shared" si="15"/>
        <v>5</v>
      </c>
      <c r="AM38" s="11"/>
      <c r="AN38" s="22">
        <v>3</v>
      </c>
      <c r="AO38" s="23">
        <v>1</v>
      </c>
      <c r="AP38" s="23">
        <v>18</v>
      </c>
      <c r="AQ38" s="24">
        <v>50</v>
      </c>
      <c r="AR38" s="25">
        <f>1/6*100</f>
        <v>16.666666666666664</v>
      </c>
      <c r="AS38" s="17">
        <f t="shared" si="22"/>
        <v>8.3333333333333321</v>
      </c>
      <c r="AT38" s="11"/>
    </row>
    <row r="39" spans="1:46" ht="20" thickBot="1" x14ac:dyDescent="0.3">
      <c r="A39" t="s">
        <v>58</v>
      </c>
      <c r="B39">
        <v>28</v>
      </c>
      <c r="D39" s="28">
        <v>38</v>
      </c>
      <c r="E39" s="29">
        <f>COUNTIF(B2:B252,38)</f>
        <v>2</v>
      </c>
      <c r="G39" s="11"/>
      <c r="H39" s="22">
        <v>1</v>
      </c>
      <c r="I39" s="23">
        <v>1</v>
      </c>
      <c r="J39" s="23">
        <v>40</v>
      </c>
      <c r="K39" s="24">
        <v>50</v>
      </c>
      <c r="L39" s="25">
        <v>50</v>
      </c>
      <c r="M39" s="25">
        <f>(K39/100)*L39</f>
        <v>25</v>
      </c>
      <c r="N39" s="11"/>
      <c r="O39" s="11"/>
      <c r="P39" s="22">
        <v>5</v>
      </c>
      <c r="Q39" s="23">
        <v>1</v>
      </c>
      <c r="R39" s="23">
        <v>2</v>
      </c>
      <c r="S39" s="24">
        <f>Q39/14*100</f>
        <v>7.1428571428571423</v>
      </c>
      <c r="T39" s="25">
        <v>20</v>
      </c>
      <c r="U39" s="17">
        <f t="shared" si="21"/>
        <v>1.4285714285714284</v>
      </c>
      <c r="V39" s="11"/>
      <c r="W39" s="8" t="s">
        <v>59</v>
      </c>
      <c r="X39" s="3" t="s">
        <v>3</v>
      </c>
      <c r="Y39" s="4" t="s">
        <v>4</v>
      </c>
      <c r="Z39" s="4" t="s">
        <v>0</v>
      </c>
      <c r="AA39" s="62" t="s">
        <v>5</v>
      </c>
      <c r="AB39" s="63" t="s">
        <v>6</v>
      </c>
      <c r="AC39" s="64" t="s">
        <v>7</v>
      </c>
      <c r="AD39" s="11"/>
      <c r="AE39" s="48"/>
      <c r="AF39" s="60"/>
      <c r="AG39" s="61">
        <v>1</v>
      </c>
      <c r="AH39" s="61">
        <v>43</v>
      </c>
      <c r="AI39" s="61">
        <v>50</v>
      </c>
      <c r="AJ39" s="61">
        <v>50</v>
      </c>
      <c r="AK39" s="67">
        <f t="shared" si="15"/>
        <v>25</v>
      </c>
      <c r="AM39" s="11"/>
      <c r="AN39" s="30"/>
      <c r="AO39" s="31">
        <v>1</v>
      </c>
      <c r="AP39" s="31">
        <v>24</v>
      </c>
      <c r="AQ39" s="32">
        <v>50</v>
      </c>
      <c r="AR39" s="36">
        <v>10</v>
      </c>
      <c r="AS39" s="17">
        <f t="shared" si="22"/>
        <v>5</v>
      </c>
      <c r="AT39" s="11"/>
    </row>
    <row r="40" spans="1:46" ht="20" thickBot="1" x14ac:dyDescent="0.3">
      <c r="A40" t="s">
        <v>60</v>
      </c>
      <c r="B40">
        <v>29</v>
      </c>
      <c r="D40" s="28">
        <v>39</v>
      </c>
      <c r="E40" s="29">
        <f>COUNTIF(B2:B252,39)</f>
        <v>4</v>
      </c>
      <c r="G40" s="11"/>
      <c r="H40" s="30"/>
      <c r="I40" s="31">
        <v>1</v>
      </c>
      <c r="J40" s="31">
        <v>7</v>
      </c>
      <c r="K40" s="32">
        <v>50</v>
      </c>
      <c r="L40" s="36">
        <f>1/7*100</f>
        <v>14.285714285714285</v>
      </c>
      <c r="M40" s="36">
        <f t="shared" ref="M40:M52" si="23">(K40/100)*L40</f>
        <v>7.1428571428571423</v>
      </c>
      <c r="N40" s="11"/>
      <c r="O40" s="11"/>
      <c r="P40" s="14"/>
      <c r="Q40" s="15">
        <v>3</v>
      </c>
      <c r="R40" s="15">
        <v>7</v>
      </c>
      <c r="S40" s="16">
        <f t="shared" ref="S40:S46" si="24">Q40/14*100</f>
        <v>21.428571428571427</v>
      </c>
      <c r="T40" s="33">
        <f>3/7*100</f>
        <v>42.857142857142854</v>
      </c>
      <c r="U40" s="17">
        <f t="shared" si="21"/>
        <v>9.1836734693877542</v>
      </c>
      <c r="V40" s="11"/>
      <c r="W40" s="11"/>
      <c r="X40" s="22">
        <v>1</v>
      </c>
      <c r="Y40" s="23">
        <v>3</v>
      </c>
      <c r="Z40" s="23">
        <v>1</v>
      </c>
      <c r="AA40" s="24">
        <f>Y40/29*100</f>
        <v>10.344827586206897</v>
      </c>
      <c r="AB40" s="24">
        <f>3/12*100</f>
        <v>25</v>
      </c>
      <c r="AC40" s="25">
        <f>(AA40/100)*AB40</f>
        <v>2.5862068965517242</v>
      </c>
      <c r="AD40" s="11"/>
      <c r="AE40" s="48"/>
      <c r="AJ40" s="47" t="s">
        <v>22</v>
      </c>
      <c r="AK40" s="68">
        <f>SUM(AK18:AK39)</f>
        <v>147.12150747238465</v>
      </c>
      <c r="AM40" s="11"/>
      <c r="AN40" s="22">
        <v>4</v>
      </c>
      <c r="AO40" s="23">
        <v>3</v>
      </c>
      <c r="AP40" s="23">
        <v>15</v>
      </c>
      <c r="AQ40" s="24">
        <v>75</v>
      </c>
      <c r="AR40" s="25">
        <f>3/19*100</f>
        <v>15.789473684210526</v>
      </c>
      <c r="AS40" s="17">
        <f t="shared" si="22"/>
        <v>11.842105263157894</v>
      </c>
      <c r="AT40" s="11"/>
    </row>
    <row r="41" spans="1:46" ht="20" thickBot="1" x14ac:dyDescent="0.3">
      <c r="A41" t="s">
        <v>61</v>
      </c>
      <c r="B41">
        <v>28</v>
      </c>
      <c r="D41" s="28">
        <v>40</v>
      </c>
      <c r="E41" s="29">
        <f>COUNTIF(B2:B252,40)</f>
        <v>2</v>
      </c>
      <c r="G41" s="11"/>
      <c r="H41" s="22">
        <v>2</v>
      </c>
      <c r="I41" s="23">
        <v>1</v>
      </c>
      <c r="J41" s="23">
        <v>49</v>
      </c>
      <c r="K41" s="24">
        <v>50</v>
      </c>
      <c r="L41" s="25">
        <f>1/3*100</f>
        <v>33.333333333333329</v>
      </c>
      <c r="M41" s="25">
        <f t="shared" si="23"/>
        <v>16.666666666666664</v>
      </c>
      <c r="N41" s="11"/>
      <c r="O41" s="11"/>
      <c r="P41" s="14"/>
      <c r="Q41" s="15">
        <v>3</v>
      </c>
      <c r="R41" s="15">
        <v>15</v>
      </c>
      <c r="S41" s="16">
        <f t="shared" si="24"/>
        <v>21.428571428571427</v>
      </c>
      <c r="T41" s="33">
        <f>3/19*100</f>
        <v>15.789473684210526</v>
      </c>
      <c r="U41" s="17">
        <f t="shared" si="21"/>
        <v>3.3834586466165408</v>
      </c>
      <c r="V41" s="11"/>
      <c r="W41" s="11"/>
      <c r="X41" s="14"/>
      <c r="Y41" s="15">
        <v>1</v>
      </c>
      <c r="Z41" s="15">
        <v>2</v>
      </c>
      <c r="AA41" s="16">
        <f t="shared" ref="AA41:AA53" si="25">Y41/29*100</f>
        <v>3.4482758620689653</v>
      </c>
      <c r="AB41" s="16">
        <v>20</v>
      </c>
      <c r="AC41" s="33">
        <f t="shared" ref="AC41:AC69" si="26">(AA41/100)*AB41</f>
        <v>0.68965517241379315</v>
      </c>
      <c r="AD41" s="11"/>
      <c r="AE41" s="48"/>
      <c r="AM41" s="11"/>
      <c r="AN41" s="30"/>
      <c r="AO41" s="31">
        <v>1</v>
      </c>
      <c r="AP41" s="31">
        <v>40</v>
      </c>
      <c r="AQ41" s="32">
        <v>25</v>
      </c>
      <c r="AR41" s="36">
        <v>50</v>
      </c>
      <c r="AS41" s="17">
        <f t="shared" si="22"/>
        <v>12.5</v>
      </c>
      <c r="AT41" s="11"/>
    </row>
    <row r="42" spans="1:46" ht="20" thickBot="1" x14ac:dyDescent="0.3">
      <c r="A42" t="s">
        <v>62</v>
      </c>
      <c r="B42">
        <v>30</v>
      </c>
      <c r="D42" s="28">
        <v>41</v>
      </c>
      <c r="E42" s="29">
        <f>COUNTIF(B2:B252,41)</f>
        <v>2</v>
      </c>
      <c r="G42" s="11"/>
      <c r="H42" s="30"/>
      <c r="I42" s="31">
        <v>1</v>
      </c>
      <c r="J42" s="31">
        <v>13</v>
      </c>
      <c r="K42" s="32">
        <v>50</v>
      </c>
      <c r="L42" s="36">
        <v>10</v>
      </c>
      <c r="M42" s="36">
        <f t="shared" si="23"/>
        <v>5</v>
      </c>
      <c r="N42" s="11"/>
      <c r="O42" s="11"/>
      <c r="P42" s="14"/>
      <c r="Q42" s="15">
        <v>1</v>
      </c>
      <c r="R42" s="15">
        <v>16</v>
      </c>
      <c r="S42" s="16">
        <f t="shared" si="24"/>
        <v>7.1428571428571423</v>
      </c>
      <c r="T42" s="33">
        <f>1/9*100</f>
        <v>11.111111111111111</v>
      </c>
      <c r="U42" s="17">
        <f t="shared" si="21"/>
        <v>0.79365079365079361</v>
      </c>
      <c r="V42" s="11"/>
      <c r="W42" s="11"/>
      <c r="X42" s="14"/>
      <c r="Y42" s="15">
        <v>3</v>
      </c>
      <c r="Z42" s="15">
        <v>7</v>
      </c>
      <c r="AA42" s="16">
        <f t="shared" si="25"/>
        <v>10.344827586206897</v>
      </c>
      <c r="AB42" s="16">
        <f>3/7*100</f>
        <v>42.857142857142854</v>
      </c>
      <c r="AC42" s="33">
        <f t="shared" si="26"/>
        <v>4.4334975369458123</v>
      </c>
      <c r="AD42" s="11"/>
      <c r="AE42" s="48"/>
      <c r="AM42" s="11"/>
      <c r="AN42" s="22">
        <v>5</v>
      </c>
      <c r="AO42" s="23">
        <v>1</v>
      </c>
      <c r="AP42" s="23">
        <v>1</v>
      </c>
      <c r="AQ42" s="24">
        <f>AO42/9*100</f>
        <v>11.111111111111111</v>
      </c>
      <c r="AR42" s="25">
        <f>1/12*100</f>
        <v>8.3333333333333321</v>
      </c>
      <c r="AS42" s="17">
        <f t="shared" si="22"/>
        <v>0.92592592592592571</v>
      </c>
      <c r="AT42" s="11"/>
    </row>
    <row r="43" spans="1:46" ht="20" thickBot="1" x14ac:dyDescent="0.3">
      <c r="A43" t="s">
        <v>63</v>
      </c>
      <c r="B43">
        <v>44</v>
      </c>
      <c r="D43" s="28">
        <v>42</v>
      </c>
      <c r="E43" s="29">
        <f>COUNTIF(B2:B252,42)</f>
        <v>1</v>
      </c>
      <c r="G43" s="11"/>
      <c r="H43" s="22">
        <v>3</v>
      </c>
      <c r="I43" s="23">
        <v>1</v>
      </c>
      <c r="J43" s="23">
        <v>7</v>
      </c>
      <c r="K43" s="24">
        <v>25</v>
      </c>
      <c r="L43" s="25">
        <f>1/7*100</f>
        <v>14.285714285714285</v>
      </c>
      <c r="M43" s="25">
        <f t="shared" si="23"/>
        <v>3.5714285714285712</v>
      </c>
      <c r="N43" s="11"/>
      <c r="O43" s="11"/>
      <c r="P43" s="14"/>
      <c r="Q43" s="15">
        <v>1</v>
      </c>
      <c r="R43" s="15">
        <v>26</v>
      </c>
      <c r="S43" s="16">
        <f t="shared" si="24"/>
        <v>7.1428571428571423</v>
      </c>
      <c r="T43" s="33">
        <v>50</v>
      </c>
      <c r="U43" s="17">
        <f t="shared" si="21"/>
        <v>3.5714285714285712</v>
      </c>
      <c r="V43" s="11"/>
      <c r="W43" s="11"/>
      <c r="X43" s="14"/>
      <c r="Y43" s="15">
        <v>3</v>
      </c>
      <c r="Z43" s="15">
        <v>13</v>
      </c>
      <c r="AA43" s="16">
        <f t="shared" si="25"/>
        <v>10.344827586206897</v>
      </c>
      <c r="AB43" s="16">
        <v>30</v>
      </c>
      <c r="AC43" s="33">
        <f t="shared" si="26"/>
        <v>3.103448275862069</v>
      </c>
      <c r="AD43" s="11"/>
      <c r="AE43" s="3" t="s">
        <v>64</v>
      </c>
      <c r="AF43" s="4" t="s">
        <v>3</v>
      </c>
      <c r="AG43" s="4" t="s">
        <v>4</v>
      </c>
      <c r="AH43" s="4" t="s">
        <v>0</v>
      </c>
      <c r="AI43" s="4" t="s">
        <v>5</v>
      </c>
      <c r="AJ43" s="5" t="s">
        <v>6</v>
      </c>
      <c r="AK43" s="8" t="s">
        <v>7</v>
      </c>
      <c r="AM43" s="11"/>
      <c r="AN43" s="14"/>
      <c r="AO43" s="15">
        <v>2</v>
      </c>
      <c r="AP43" s="15">
        <v>7</v>
      </c>
      <c r="AQ43" s="16">
        <f t="shared" ref="AQ43:AQ49" si="27">AO43/9*100</f>
        <v>22.222222222222221</v>
      </c>
      <c r="AR43" s="33">
        <f>2/7*100</f>
        <v>28.571428571428569</v>
      </c>
      <c r="AS43" s="17">
        <f t="shared" si="22"/>
        <v>6.349206349206348</v>
      </c>
      <c r="AT43" s="11"/>
    </row>
    <row r="44" spans="1:46" ht="20" thickBot="1" x14ac:dyDescent="0.3">
      <c r="A44" t="s">
        <v>65</v>
      </c>
      <c r="B44">
        <v>31</v>
      </c>
      <c r="D44" s="28">
        <v>43</v>
      </c>
      <c r="E44" s="29">
        <f>COUNTIF(B2:B252,43)</f>
        <v>2</v>
      </c>
      <c r="G44" s="11"/>
      <c r="H44" s="14"/>
      <c r="I44" s="15">
        <v>1</v>
      </c>
      <c r="J44" s="15">
        <v>15</v>
      </c>
      <c r="K44" s="16">
        <v>25</v>
      </c>
      <c r="L44" s="33">
        <f>1/19*100</f>
        <v>5.2631578947368416</v>
      </c>
      <c r="M44" s="33">
        <f t="shared" si="23"/>
        <v>1.3157894736842104</v>
      </c>
      <c r="N44" s="11"/>
      <c r="O44" s="11"/>
      <c r="P44" s="14"/>
      <c r="Q44" s="15">
        <v>1</v>
      </c>
      <c r="R44" s="15">
        <v>40</v>
      </c>
      <c r="S44" s="16">
        <f t="shared" si="24"/>
        <v>7.1428571428571423</v>
      </c>
      <c r="T44" s="33">
        <v>50</v>
      </c>
      <c r="U44" s="17">
        <f t="shared" si="21"/>
        <v>3.5714285714285712</v>
      </c>
      <c r="V44" s="11"/>
      <c r="W44" s="11"/>
      <c r="X44" s="14"/>
      <c r="Y44" s="15">
        <v>4</v>
      </c>
      <c r="Z44" s="15">
        <v>15</v>
      </c>
      <c r="AA44" s="16">
        <f t="shared" si="25"/>
        <v>13.793103448275861</v>
      </c>
      <c r="AB44" s="16">
        <f>4/19*100</f>
        <v>21.052631578947366</v>
      </c>
      <c r="AC44" s="33">
        <f t="shared" si="26"/>
        <v>2.9038112522686021</v>
      </c>
      <c r="AD44" s="11"/>
      <c r="AE44" s="48"/>
      <c r="AF44" s="65">
        <v>1</v>
      </c>
      <c r="AG44" s="66">
        <v>2</v>
      </c>
      <c r="AH44" s="66">
        <v>13</v>
      </c>
      <c r="AI44" s="66">
        <v>100</v>
      </c>
      <c r="AJ44" s="69">
        <v>20</v>
      </c>
      <c r="AK44" s="53">
        <f>(AI44/100)*AJ44</f>
        <v>20</v>
      </c>
      <c r="AM44" s="11"/>
      <c r="AN44" s="14"/>
      <c r="AO44" s="15">
        <v>1</v>
      </c>
      <c r="AP44" s="15">
        <v>8</v>
      </c>
      <c r="AQ44" s="16">
        <f t="shared" si="27"/>
        <v>11.111111111111111</v>
      </c>
      <c r="AR44" s="33">
        <f>1/11*100</f>
        <v>9.0909090909090917</v>
      </c>
      <c r="AS44" s="17">
        <f t="shared" si="22"/>
        <v>1.0101010101010102</v>
      </c>
      <c r="AT44" s="11"/>
    </row>
    <row r="45" spans="1:46" ht="20" thickBot="1" x14ac:dyDescent="0.3">
      <c r="A45" t="s">
        <v>66</v>
      </c>
      <c r="B45">
        <v>33</v>
      </c>
      <c r="D45" s="28">
        <v>44</v>
      </c>
      <c r="E45" s="29">
        <f>COUNTIF(B2:B252,44)</f>
        <v>16</v>
      </c>
      <c r="G45" s="11"/>
      <c r="H45" s="30"/>
      <c r="I45" s="31">
        <v>2</v>
      </c>
      <c r="J45" s="31">
        <v>55</v>
      </c>
      <c r="K45" s="32">
        <v>50</v>
      </c>
      <c r="L45" s="36">
        <f>2/38*100</f>
        <v>5.2631578947368416</v>
      </c>
      <c r="M45" s="36">
        <f t="shared" si="23"/>
        <v>2.6315789473684208</v>
      </c>
      <c r="N45" s="11"/>
      <c r="O45" s="11"/>
      <c r="P45" s="14"/>
      <c r="Q45" s="15">
        <v>1</v>
      </c>
      <c r="R45" s="15">
        <v>50</v>
      </c>
      <c r="S45" s="16">
        <f t="shared" si="24"/>
        <v>7.1428571428571423</v>
      </c>
      <c r="T45" s="33">
        <f>1/3*100</f>
        <v>33.333333333333329</v>
      </c>
      <c r="U45" s="17">
        <f t="shared" si="21"/>
        <v>2.3809523809523805</v>
      </c>
      <c r="V45" s="11"/>
      <c r="W45" s="11"/>
      <c r="X45" s="14"/>
      <c r="Y45" s="15">
        <v>2</v>
      </c>
      <c r="Z45" s="15">
        <v>16</v>
      </c>
      <c r="AA45" s="16">
        <f t="shared" si="25"/>
        <v>6.8965517241379306</v>
      </c>
      <c r="AB45" s="16">
        <f>2/9*100</f>
        <v>22.222222222222221</v>
      </c>
      <c r="AC45" s="33">
        <f t="shared" si="26"/>
        <v>1.5325670498084289</v>
      </c>
      <c r="AD45" s="11"/>
      <c r="AE45" s="48"/>
      <c r="AF45" s="51">
        <v>2</v>
      </c>
      <c r="AG45" s="52">
        <v>2</v>
      </c>
      <c r="AH45" s="52">
        <v>7</v>
      </c>
      <c r="AI45" s="52">
        <f>AG45/7*100</f>
        <v>28.571428571428569</v>
      </c>
      <c r="AJ45" s="70">
        <f>2/7*100</f>
        <v>28.571428571428569</v>
      </c>
      <c r="AK45" s="56">
        <f t="shared" ref="AK45:AK58" si="28">(AI45/100)*AJ45</f>
        <v>8.1632653061224474</v>
      </c>
      <c r="AM45" s="11"/>
      <c r="AN45" s="14"/>
      <c r="AO45" s="15">
        <v>1</v>
      </c>
      <c r="AP45" s="15">
        <v>33</v>
      </c>
      <c r="AQ45" s="16">
        <f t="shared" si="27"/>
        <v>11.111111111111111</v>
      </c>
      <c r="AR45" s="33">
        <v>20</v>
      </c>
      <c r="AS45" s="17">
        <f t="shared" si="22"/>
        <v>2.2222222222222223</v>
      </c>
      <c r="AT45" s="11"/>
    </row>
    <row r="46" spans="1:46" ht="20" thickBot="1" x14ac:dyDescent="0.3">
      <c r="A46" t="s">
        <v>67</v>
      </c>
      <c r="B46">
        <v>32</v>
      </c>
      <c r="D46" s="28">
        <v>45</v>
      </c>
      <c r="E46" s="29">
        <f>COUNTIF(B2:B252,45)</f>
        <v>1</v>
      </c>
      <c r="G46" s="11"/>
      <c r="H46" s="22">
        <v>4</v>
      </c>
      <c r="I46" s="23">
        <v>1</v>
      </c>
      <c r="J46" s="23">
        <v>50</v>
      </c>
      <c r="K46" s="24">
        <v>20</v>
      </c>
      <c r="L46" s="25">
        <f>1/3*100</f>
        <v>33.333333333333329</v>
      </c>
      <c r="M46" s="25">
        <f t="shared" si="23"/>
        <v>6.6666666666666661</v>
      </c>
      <c r="N46" s="11"/>
      <c r="O46" s="11"/>
      <c r="P46" s="30"/>
      <c r="Q46" s="31">
        <v>3</v>
      </c>
      <c r="R46" s="31">
        <v>55</v>
      </c>
      <c r="S46" s="32">
        <f t="shared" si="24"/>
        <v>21.428571428571427</v>
      </c>
      <c r="T46" s="36">
        <f>3/38*100</f>
        <v>7.8947368421052628</v>
      </c>
      <c r="U46" s="43">
        <f t="shared" si="21"/>
        <v>1.6917293233082704</v>
      </c>
      <c r="V46" s="11"/>
      <c r="X46" s="14"/>
      <c r="Y46" s="15">
        <v>1</v>
      </c>
      <c r="Z46" s="15">
        <v>22</v>
      </c>
      <c r="AA46" s="16">
        <f t="shared" si="25"/>
        <v>3.4482758620689653</v>
      </c>
      <c r="AB46" s="16">
        <f>1/3*100</f>
        <v>33.333333333333329</v>
      </c>
      <c r="AC46" s="33">
        <f t="shared" si="26"/>
        <v>1.1494252873563218</v>
      </c>
      <c r="AD46" s="11"/>
      <c r="AE46" s="48"/>
      <c r="AF46" s="54"/>
      <c r="AG46" s="55">
        <v>1</v>
      </c>
      <c r="AH46" s="55">
        <v>26</v>
      </c>
      <c r="AI46" s="55">
        <f t="shared" ref="AI46:AI48" si="29">AG46/7*100</f>
        <v>14.285714285714285</v>
      </c>
      <c r="AJ46" s="71">
        <v>50</v>
      </c>
      <c r="AK46" s="56">
        <f t="shared" si="28"/>
        <v>7.1428571428571423</v>
      </c>
      <c r="AM46" s="11"/>
      <c r="AN46" s="14"/>
      <c r="AO46" s="15">
        <v>1</v>
      </c>
      <c r="AP46" s="15">
        <v>34</v>
      </c>
      <c r="AQ46" s="16">
        <f t="shared" si="27"/>
        <v>11.111111111111111</v>
      </c>
      <c r="AR46" s="33">
        <f>1/3*100</f>
        <v>33.333333333333329</v>
      </c>
      <c r="AS46" s="17">
        <f t="shared" si="22"/>
        <v>3.7037037037037028</v>
      </c>
      <c r="AT46" s="11"/>
    </row>
    <row r="47" spans="1:46" ht="20" thickBot="1" x14ac:dyDescent="0.3">
      <c r="A47" t="s">
        <v>68</v>
      </c>
      <c r="B47">
        <v>15</v>
      </c>
      <c r="D47" s="28">
        <v>46</v>
      </c>
      <c r="E47" s="29">
        <f>COUNTIF(B2:B252,46)</f>
        <v>2</v>
      </c>
      <c r="G47" s="11"/>
      <c r="H47" s="14"/>
      <c r="I47" s="15">
        <v>1</v>
      </c>
      <c r="J47" s="15">
        <v>1</v>
      </c>
      <c r="K47" s="16">
        <v>20</v>
      </c>
      <c r="L47" s="33">
        <f>1/12*100</f>
        <v>8.3333333333333321</v>
      </c>
      <c r="M47" s="33">
        <f t="shared" si="23"/>
        <v>1.6666666666666665</v>
      </c>
      <c r="N47" s="11"/>
      <c r="O47" s="11"/>
      <c r="P47" s="11"/>
      <c r="Q47" s="11"/>
      <c r="R47" s="11"/>
      <c r="S47" s="46"/>
      <c r="T47" s="47" t="s">
        <v>22</v>
      </c>
      <c r="U47" s="21">
        <f>SUM(U32:U46)</f>
        <v>84.305331781835534</v>
      </c>
      <c r="V47" s="11"/>
      <c r="W47" s="11"/>
      <c r="X47" s="14"/>
      <c r="Y47" s="15">
        <v>1</v>
      </c>
      <c r="Z47" s="15">
        <v>24</v>
      </c>
      <c r="AA47" s="16">
        <f t="shared" si="25"/>
        <v>3.4482758620689653</v>
      </c>
      <c r="AB47" s="16">
        <v>10</v>
      </c>
      <c r="AC47" s="33">
        <f t="shared" si="26"/>
        <v>0.34482758620689657</v>
      </c>
      <c r="AD47" s="11"/>
      <c r="AE47" s="48"/>
      <c r="AF47" s="54"/>
      <c r="AG47" s="55">
        <v>1</v>
      </c>
      <c r="AH47" s="55">
        <v>40</v>
      </c>
      <c r="AI47" s="55">
        <f t="shared" si="29"/>
        <v>14.285714285714285</v>
      </c>
      <c r="AJ47" s="71">
        <v>50</v>
      </c>
      <c r="AK47" s="56">
        <f t="shared" si="28"/>
        <v>7.1428571428571423</v>
      </c>
      <c r="AM47" s="11"/>
      <c r="AN47" s="14"/>
      <c r="AO47" s="15">
        <v>1</v>
      </c>
      <c r="AP47" s="15">
        <v>45</v>
      </c>
      <c r="AQ47" s="16">
        <f t="shared" si="27"/>
        <v>11.111111111111111</v>
      </c>
      <c r="AR47" s="33">
        <v>100</v>
      </c>
      <c r="AS47" s="17">
        <f t="shared" si="22"/>
        <v>11.111111111111111</v>
      </c>
      <c r="AT47" s="11"/>
    </row>
    <row r="48" spans="1:46" ht="20" thickBot="1" x14ac:dyDescent="0.3">
      <c r="A48" t="s">
        <v>69</v>
      </c>
      <c r="B48">
        <v>34</v>
      </c>
      <c r="D48" s="28">
        <v>47</v>
      </c>
      <c r="E48" s="29">
        <f>COUNTIF(B2:B252,47)</f>
        <v>2</v>
      </c>
      <c r="G48" s="11"/>
      <c r="H48" s="14"/>
      <c r="I48" s="15">
        <v>1</v>
      </c>
      <c r="J48" s="15">
        <v>15</v>
      </c>
      <c r="K48" s="16">
        <v>20</v>
      </c>
      <c r="L48" s="33">
        <f>1/19*100</f>
        <v>5.2631578947368416</v>
      </c>
      <c r="M48" s="33">
        <f t="shared" si="23"/>
        <v>1.0526315789473684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4"/>
      <c r="Y48" s="15">
        <v>1</v>
      </c>
      <c r="Z48" s="15">
        <v>25</v>
      </c>
      <c r="AA48" s="16">
        <f t="shared" si="25"/>
        <v>3.4482758620689653</v>
      </c>
      <c r="AB48" s="16">
        <f>1/8*100</f>
        <v>12.5</v>
      </c>
      <c r="AC48" s="33">
        <f t="shared" si="26"/>
        <v>0.43103448275862066</v>
      </c>
      <c r="AD48" s="11"/>
      <c r="AE48" s="48"/>
      <c r="AF48" s="60"/>
      <c r="AG48" s="61">
        <v>3</v>
      </c>
      <c r="AH48" s="61">
        <v>55</v>
      </c>
      <c r="AI48" s="61">
        <f t="shared" si="29"/>
        <v>42.857142857142854</v>
      </c>
      <c r="AJ48" s="68">
        <f>3/38*100</f>
        <v>7.8947368421052628</v>
      </c>
      <c r="AK48" s="56">
        <f t="shared" si="28"/>
        <v>3.3834586466165408</v>
      </c>
      <c r="AM48" s="11"/>
      <c r="AN48" s="14"/>
      <c r="AO48" s="15">
        <v>1</v>
      </c>
      <c r="AP48" s="15">
        <v>49</v>
      </c>
      <c r="AQ48" s="16">
        <f t="shared" si="27"/>
        <v>11.111111111111111</v>
      </c>
      <c r="AR48" s="33">
        <f>1/3*100</f>
        <v>33.333333333333329</v>
      </c>
      <c r="AS48" s="17">
        <f t="shared" si="22"/>
        <v>3.7037037037037028</v>
      </c>
      <c r="AT48" s="11"/>
    </row>
    <row r="49" spans="1:46" ht="20" thickBot="1" x14ac:dyDescent="0.3">
      <c r="A49" t="s">
        <v>70</v>
      </c>
      <c r="B49">
        <v>13</v>
      </c>
      <c r="D49" s="28">
        <v>48</v>
      </c>
      <c r="E49" s="29">
        <f>COUNTIF(B2:B252,48)</f>
        <v>1</v>
      </c>
      <c r="G49" s="11"/>
      <c r="H49" s="14"/>
      <c r="I49" s="15">
        <v>1</v>
      </c>
      <c r="J49" s="15">
        <v>2</v>
      </c>
      <c r="K49" s="16">
        <v>20</v>
      </c>
      <c r="L49" s="33">
        <f>1/5*100</f>
        <v>20</v>
      </c>
      <c r="M49" s="33">
        <f t="shared" si="23"/>
        <v>4</v>
      </c>
      <c r="N49" s="11"/>
      <c r="V49" s="11"/>
      <c r="W49" s="11"/>
      <c r="X49" s="14"/>
      <c r="Y49" s="15">
        <v>2</v>
      </c>
      <c r="Z49" s="15">
        <v>26</v>
      </c>
      <c r="AA49" s="16">
        <f t="shared" si="25"/>
        <v>6.8965517241379306</v>
      </c>
      <c r="AB49" s="16">
        <v>100</v>
      </c>
      <c r="AC49" s="33">
        <f t="shared" si="26"/>
        <v>6.8965517241379306</v>
      </c>
      <c r="AD49" s="11"/>
      <c r="AE49" s="48"/>
      <c r="AF49" s="51">
        <v>3</v>
      </c>
      <c r="AG49" s="52">
        <v>2</v>
      </c>
      <c r="AH49" s="52">
        <v>1</v>
      </c>
      <c r="AI49" s="52">
        <f>2/3*100</f>
        <v>66.666666666666657</v>
      </c>
      <c r="AJ49" s="70">
        <f>2/12*100</f>
        <v>16.666666666666664</v>
      </c>
      <c r="AK49" s="56">
        <f t="shared" si="28"/>
        <v>11.111111111111107</v>
      </c>
      <c r="AM49" s="11"/>
      <c r="AN49" s="30"/>
      <c r="AO49" s="31">
        <v>1</v>
      </c>
      <c r="AP49" s="31">
        <v>54</v>
      </c>
      <c r="AQ49" s="32">
        <f t="shared" si="27"/>
        <v>11.111111111111111</v>
      </c>
      <c r="AR49" s="36">
        <f>1/3*100</f>
        <v>33.333333333333329</v>
      </c>
      <c r="AS49" s="43">
        <f t="shared" si="22"/>
        <v>3.7037037037037028</v>
      </c>
      <c r="AT49" s="11"/>
    </row>
    <row r="50" spans="1:46" ht="20" thickBot="1" x14ac:dyDescent="0.3">
      <c r="A50" t="s">
        <v>71</v>
      </c>
      <c r="B50">
        <v>35</v>
      </c>
      <c r="D50" s="28">
        <v>49</v>
      </c>
      <c r="E50" s="29">
        <f>COUNTIF(B2:B252,49)</f>
        <v>3</v>
      </c>
      <c r="G50" s="11"/>
      <c r="H50" s="30"/>
      <c r="I50" s="31">
        <v>1</v>
      </c>
      <c r="J50" s="31">
        <v>13</v>
      </c>
      <c r="K50" s="32">
        <v>20</v>
      </c>
      <c r="L50" s="36">
        <v>10</v>
      </c>
      <c r="M50" s="36">
        <f t="shared" si="23"/>
        <v>2</v>
      </c>
      <c r="N50" s="11"/>
      <c r="O50" s="3" t="s">
        <v>72</v>
      </c>
      <c r="P50" s="4" t="s">
        <v>3</v>
      </c>
      <c r="Q50" s="4" t="s">
        <v>4</v>
      </c>
      <c r="R50" s="4" t="s">
        <v>0</v>
      </c>
      <c r="S50" s="4" t="s">
        <v>5</v>
      </c>
      <c r="T50" s="5" t="s">
        <v>6</v>
      </c>
      <c r="U50" s="6" t="s">
        <v>7</v>
      </c>
      <c r="V50" s="11"/>
      <c r="W50" s="11"/>
      <c r="X50" s="14"/>
      <c r="Y50" s="15">
        <v>1</v>
      </c>
      <c r="Z50" s="15">
        <v>40</v>
      </c>
      <c r="AA50" s="16">
        <f t="shared" si="25"/>
        <v>3.4482758620689653</v>
      </c>
      <c r="AB50" s="16">
        <v>50</v>
      </c>
      <c r="AC50" s="33">
        <f t="shared" si="26"/>
        <v>1.7241379310344827</v>
      </c>
      <c r="AD50" s="11"/>
      <c r="AE50" s="48"/>
      <c r="AF50" s="60"/>
      <c r="AG50" s="61">
        <v>1</v>
      </c>
      <c r="AH50" s="61">
        <v>21</v>
      </c>
      <c r="AI50" s="61">
        <f>1/3*100</f>
        <v>33.333333333333329</v>
      </c>
      <c r="AJ50" s="68">
        <v>100</v>
      </c>
      <c r="AK50" s="56">
        <f t="shared" si="28"/>
        <v>33.333333333333329</v>
      </c>
      <c r="AM50" s="11"/>
      <c r="AN50" s="11"/>
      <c r="AO50" s="11"/>
      <c r="AP50" s="11"/>
      <c r="AQ50" s="46"/>
      <c r="AR50" s="47" t="s">
        <v>22</v>
      </c>
      <c r="AS50" s="21">
        <f>SUM(AS35:AS49)</f>
        <v>120.40511632616897</v>
      </c>
      <c r="AT50" s="11"/>
    </row>
    <row r="51" spans="1:46" ht="19" x14ac:dyDescent="0.25">
      <c r="A51" t="s">
        <v>73</v>
      </c>
      <c r="B51">
        <v>2</v>
      </c>
      <c r="D51" s="28">
        <v>50</v>
      </c>
      <c r="E51" s="29">
        <f>COUNTIF(B2:B252,50)</f>
        <v>3</v>
      </c>
      <c r="G51" s="11"/>
      <c r="H51" s="22">
        <v>5</v>
      </c>
      <c r="I51" s="23">
        <v>1</v>
      </c>
      <c r="J51" s="23">
        <v>13</v>
      </c>
      <c r="K51" s="24">
        <v>50</v>
      </c>
      <c r="L51" s="25">
        <v>10</v>
      </c>
      <c r="M51" s="25">
        <f t="shared" si="23"/>
        <v>5</v>
      </c>
      <c r="N51" s="11"/>
      <c r="O51" s="11"/>
      <c r="P51" s="22">
        <v>1</v>
      </c>
      <c r="Q51" s="23">
        <v>1</v>
      </c>
      <c r="R51" s="23">
        <v>1</v>
      </c>
      <c r="S51" s="23">
        <v>50</v>
      </c>
      <c r="T51" s="34">
        <f>1/12*100</f>
        <v>8.3333333333333321</v>
      </c>
      <c r="U51" s="57">
        <f t="shared" ref="U51:U52" si="30">(S51/100)*(T51)</f>
        <v>4.1666666666666661</v>
      </c>
      <c r="V51" s="11"/>
      <c r="W51" s="11"/>
      <c r="X51" s="14"/>
      <c r="Y51" s="15">
        <v>1</v>
      </c>
      <c r="Z51" s="15">
        <v>49</v>
      </c>
      <c r="AA51" s="16">
        <f t="shared" si="25"/>
        <v>3.4482758620689653</v>
      </c>
      <c r="AB51" s="16">
        <f>1/3*100</f>
        <v>33.333333333333329</v>
      </c>
      <c r="AC51" s="33">
        <f t="shared" si="26"/>
        <v>1.1494252873563218</v>
      </c>
      <c r="AD51" s="11"/>
      <c r="AE51" s="48"/>
      <c r="AF51" s="51">
        <v>4</v>
      </c>
      <c r="AG51" s="52">
        <v>1</v>
      </c>
      <c r="AH51" s="52">
        <v>1</v>
      </c>
      <c r="AI51" s="52">
        <f>AG51/9*100</f>
        <v>11.111111111111111</v>
      </c>
      <c r="AJ51" s="70">
        <f>1/12*100</f>
        <v>8.3333333333333321</v>
      </c>
      <c r="AK51" s="56">
        <f t="shared" si="28"/>
        <v>0.92592592592592571</v>
      </c>
      <c r="AM51" s="11"/>
      <c r="AN51" s="11"/>
      <c r="AO51" s="11"/>
      <c r="AP51" s="11"/>
      <c r="AQ51" s="11"/>
      <c r="AR51" s="11"/>
      <c r="AS51" s="11"/>
      <c r="AT51" s="11"/>
    </row>
    <row r="52" spans="1:46" ht="20" thickBot="1" x14ac:dyDescent="0.3">
      <c r="A52" t="s">
        <v>74</v>
      </c>
      <c r="B52">
        <v>7</v>
      </c>
      <c r="D52" s="28">
        <v>51</v>
      </c>
      <c r="E52" s="29">
        <f>COUNTIF(B2:B252,51)</f>
        <v>3</v>
      </c>
      <c r="G52" s="11"/>
      <c r="H52" s="30"/>
      <c r="I52" s="31">
        <v>1</v>
      </c>
      <c r="J52" s="31">
        <v>55</v>
      </c>
      <c r="K52" s="32">
        <v>50</v>
      </c>
      <c r="L52" s="36">
        <f>1/38*100</f>
        <v>2.6315789473684208</v>
      </c>
      <c r="M52" s="36">
        <f t="shared" si="23"/>
        <v>1.3157894736842104</v>
      </c>
      <c r="N52" s="11"/>
      <c r="O52" s="11"/>
      <c r="P52" s="14"/>
      <c r="Q52" s="15">
        <v>1</v>
      </c>
      <c r="R52" s="15">
        <v>49</v>
      </c>
      <c r="S52" s="15">
        <v>50</v>
      </c>
      <c r="T52" s="38">
        <f>1/3*100</f>
        <v>33.333333333333329</v>
      </c>
      <c r="U52" s="17">
        <f t="shared" si="30"/>
        <v>16.666666666666664</v>
      </c>
      <c r="V52" s="11"/>
      <c r="W52" s="11"/>
      <c r="X52" s="14"/>
      <c r="Y52" s="15">
        <v>1</v>
      </c>
      <c r="Z52" s="15">
        <v>50</v>
      </c>
      <c r="AA52" s="16">
        <f t="shared" si="25"/>
        <v>3.4482758620689653</v>
      </c>
      <c r="AB52" s="16">
        <f>1/3*100</f>
        <v>33.333333333333329</v>
      </c>
      <c r="AC52" s="33">
        <f t="shared" si="26"/>
        <v>1.1494252873563218</v>
      </c>
      <c r="AD52" s="11"/>
      <c r="AE52" s="48"/>
      <c r="AF52" s="54"/>
      <c r="AG52" s="55">
        <v>1</v>
      </c>
      <c r="AH52" s="55">
        <v>2</v>
      </c>
      <c r="AI52" s="55">
        <f t="shared" ref="AI52:AI58" si="31">AG52/9*100</f>
        <v>11.111111111111111</v>
      </c>
      <c r="AJ52" s="71">
        <v>20</v>
      </c>
      <c r="AK52" s="56">
        <f t="shared" si="28"/>
        <v>2.2222222222222223</v>
      </c>
    </row>
    <row r="53" spans="1:46" ht="20" thickBot="1" x14ac:dyDescent="0.3">
      <c r="A53" t="s">
        <v>75</v>
      </c>
      <c r="B53">
        <v>8</v>
      </c>
      <c r="D53" s="28">
        <v>52</v>
      </c>
      <c r="E53" s="29">
        <f>COUNTIF(B2:B252,52)</f>
        <v>1</v>
      </c>
      <c r="G53" s="11"/>
      <c r="H53" s="11"/>
      <c r="I53" s="11"/>
      <c r="J53" s="11"/>
      <c r="K53" s="46"/>
      <c r="L53" s="47" t="s">
        <v>22</v>
      </c>
      <c r="M53" s="21">
        <f>SUM(M39:M52)</f>
        <v>83.030075187969913</v>
      </c>
      <c r="N53" s="11"/>
      <c r="O53" s="11"/>
      <c r="P53" s="18">
        <v>2</v>
      </c>
      <c r="Q53" s="19">
        <v>2</v>
      </c>
      <c r="R53" s="19">
        <v>22</v>
      </c>
      <c r="S53" s="20">
        <v>100</v>
      </c>
      <c r="T53" s="21">
        <f>2/3*100</f>
        <v>66.666666666666657</v>
      </c>
      <c r="U53" s="17">
        <f>(S53/100)*(T53)</f>
        <v>66.666666666666657</v>
      </c>
      <c r="V53" s="11"/>
      <c r="W53" s="11"/>
      <c r="X53" s="30"/>
      <c r="Y53" s="31">
        <v>5</v>
      </c>
      <c r="Z53" s="31">
        <v>55</v>
      </c>
      <c r="AA53" s="32">
        <f t="shared" si="25"/>
        <v>17.241379310344829</v>
      </c>
      <c r="AB53" s="32">
        <f>5/38*100</f>
        <v>13.157894736842104</v>
      </c>
      <c r="AC53" s="36">
        <f t="shared" si="26"/>
        <v>2.2686025408348458</v>
      </c>
      <c r="AD53" s="11"/>
      <c r="AE53" s="48"/>
      <c r="AF53" s="54"/>
      <c r="AG53" s="55">
        <v>1</v>
      </c>
      <c r="AH53" s="55">
        <v>7</v>
      </c>
      <c r="AI53" s="55">
        <f t="shared" si="31"/>
        <v>11.111111111111111</v>
      </c>
      <c r="AJ53" s="71">
        <f>1/7*100</f>
        <v>14.285714285714285</v>
      </c>
      <c r="AK53" s="56">
        <f t="shared" si="28"/>
        <v>1.587301587301587</v>
      </c>
      <c r="AM53" s="3" t="s">
        <v>76</v>
      </c>
      <c r="AN53" s="3" t="s">
        <v>3</v>
      </c>
      <c r="AO53" s="4" t="s">
        <v>4</v>
      </c>
      <c r="AP53" s="4" t="s">
        <v>0</v>
      </c>
      <c r="AQ53" s="4" t="s">
        <v>5</v>
      </c>
      <c r="AR53" s="7" t="s">
        <v>6</v>
      </c>
      <c r="AS53" s="6" t="s">
        <v>7</v>
      </c>
    </row>
    <row r="54" spans="1:46" ht="20" thickBot="1" x14ac:dyDescent="0.3">
      <c r="A54" t="s">
        <v>77</v>
      </c>
      <c r="B54">
        <v>16</v>
      </c>
      <c r="D54" s="28">
        <v>53</v>
      </c>
      <c r="E54" s="29">
        <f>COUNTIF(B2:B252,53)</f>
        <v>3</v>
      </c>
      <c r="G54" s="11"/>
      <c r="H54" s="11"/>
      <c r="I54" s="11"/>
      <c r="J54" s="11"/>
      <c r="K54" s="11"/>
      <c r="L54" s="11"/>
      <c r="M54" s="11"/>
      <c r="N54" s="11"/>
      <c r="O54" s="11"/>
      <c r="P54" s="22">
        <v>3</v>
      </c>
      <c r="Q54" s="23">
        <v>1</v>
      </c>
      <c r="R54" s="23">
        <v>5</v>
      </c>
      <c r="S54" s="24">
        <v>50</v>
      </c>
      <c r="T54" s="25">
        <v>20</v>
      </c>
      <c r="U54" s="17">
        <f t="shared" ref="U54" si="32">(S54/100)*(T54)</f>
        <v>10</v>
      </c>
      <c r="V54" s="11"/>
      <c r="W54" s="11"/>
      <c r="X54" s="18">
        <v>2</v>
      </c>
      <c r="Y54" s="19">
        <v>2</v>
      </c>
      <c r="Z54" s="19">
        <v>55</v>
      </c>
      <c r="AA54" s="20">
        <v>100</v>
      </c>
      <c r="AB54" s="20">
        <f>2/38*200</f>
        <v>10.526315789473683</v>
      </c>
      <c r="AC54" s="21">
        <f t="shared" si="26"/>
        <v>10.526315789473683</v>
      </c>
      <c r="AD54" s="11"/>
      <c r="AE54" s="48"/>
      <c r="AF54" s="54"/>
      <c r="AG54" s="55">
        <v>1</v>
      </c>
      <c r="AH54" s="55">
        <v>13</v>
      </c>
      <c r="AI54" s="55">
        <f t="shared" si="31"/>
        <v>11.111111111111111</v>
      </c>
      <c r="AJ54" s="71">
        <v>10</v>
      </c>
      <c r="AK54" s="56">
        <f t="shared" si="28"/>
        <v>1.1111111111111112</v>
      </c>
      <c r="AM54" s="48"/>
      <c r="AN54" s="22">
        <v>1</v>
      </c>
      <c r="AO54" s="23">
        <v>2</v>
      </c>
      <c r="AP54" s="23">
        <v>22</v>
      </c>
      <c r="AQ54" s="23">
        <v>100</v>
      </c>
      <c r="AR54" s="34">
        <f>2/3*100</f>
        <v>66.666666666666657</v>
      </c>
      <c r="AS54" s="57">
        <f t="shared" ref="AS54:AS55" si="33">(AQ54/100)*(AR54)</f>
        <v>66.666666666666657</v>
      </c>
    </row>
    <row r="55" spans="1:46" ht="20" thickBot="1" x14ac:dyDescent="0.3">
      <c r="A55" t="s">
        <v>78</v>
      </c>
      <c r="B55">
        <v>16</v>
      </c>
      <c r="D55" s="28">
        <v>54</v>
      </c>
      <c r="E55" s="29">
        <f>COUNTIF(B2:B252,54)</f>
        <v>3</v>
      </c>
      <c r="O55" s="11"/>
      <c r="P55" s="30"/>
      <c r="Q55" s="31">
        <v>1</v>
      </c>
      <c r="R55" s="31">
        <v>16</v>
      </c>
      <c r="S55" s="32">
        <v>50</v>
      </c>
      <c r="T55" s="36">
        <f>1/9*100</f>
        <v>11.111111111111111</v>
      </c>
      <c r="U55" s="17">
        <f>(S55/100)*(T55)</f>
        <v>5.5555555555555554</v>
      </c>
      <c r="V55" s="11"/>
      <c r="W55" s="11"/>
      <c r="X55" s="22">
        <v>3</v>
      </c>
      <c r="Y55" s="23">
        <v>2</v>
      </c>
      <c r="Z55" s="23">
        <v>1</v>
      </c>
      <c r="AA55" s="24">
        <f>Y55/22*100</f>
        <v>9.0909090909090917</v>
      </c>
      <c r="AB55" s="24">
        <f>2/12*100</f>
        <v>16.666666666666664</v>
      </c>
      <c r="AC55" s="25">
        <f t="shared" si="26"/>
        <v>1.5151515151515149</v>
      </c>
      <c r="AD55" s="11"/>
      <c r="AE55" s="48"/>
      <c r="AF55" s="54"/>
      <c r="AG55" s="55">
        <v>2</v>
      </c>
      <c r="AH55" s="55">
        <v>15</v>
      </c>
      <c r="AI55" s="55">
        <f t="shared" si="31"/>
        <v>22.222222222222221</v>
      </c>
      <c r="AJ55" s="71">
        <f>2/19*100</f>
        <v>10.526315789473683</v>
      </c>
      <c r="AK55" s="56">
        <f t="shared" si="28"/>
        <v>2.339181286549707</v>
      </c>
      <c r="AM55" s="48"/>
      <c r="AN55" s="22">
        <v>2</v>
      </c>
      <c r="AO55" s="23">
        <v>2</v>
      </c>
      <c r="AP55" s="23">
        <v>15</v>
      </c>
      <c r="AQ55" s="23">
        <v>100</v>
      </c>
      <c r="AR55" s="34">
        <f>2/19*100</f>
        <v>10.526315789473683</v>
      </c>
      <c r="AS55" s="33">
        <f t="shared" si="33"/>
        <v>10.526315789473683</v>
      </c>
    </row>
    <row r="56" spans="1:46" ht="20" thickBot="1" x14ac:dyDescent="0.3">
      <c r="A56" t="s">
        <v>79</v>
      </c>
      <c r="B56">
        <v>37</v>
      </c>
      <c r="D56" s="72">
        <v>55</v>
      </c>
      <c r="E56" s="73">
        <f>COUNTIF(B2:B252,55)</f>
        <v>38</v>
      </c>
      <c r="G56" s="3" t="s">
        <v>80</v>
      </c>
      <c r="H56" s="4" t="s">
        <v>3</v>
      </c>
      <c r="I56" s="4" t="s">
        <v>4</v>
      </c>
      <c r="J56" s="4" t="s">
        <v>0</v>
      </c>
      <c r="K56" s="4" t="s">
        <v>5</v>
      </c>
      <c r="L56" s="5" t="s">
        <v>6</v>
      </c>
      <c r="M56" s="6" t="s">
        <v>7</v>
      </c>
      <c r="O56" s="11"/>
      <c r="P56" s="22">
        <v>4</v>
      </c>
      <c r="Q56" s="23">
        <v>1</v>
      </c>
      <c r="R56" s="23">
        <v>13</v>
      </c>
      <c r="S56" s="24">
        <v>50</v>
      </c>
      <c r="T56" s="24">
        <v>10</v>
      </c>
      <c r="U56" s="17">
        <f>(S56/100)*(T56)</f>
        <v>5</v>
      </c>
      <c r="V56" s="11"/>
      <c r="W56" s="11"/>
      <c r="X56" s="14"/>
      <c r="Y56" s="15">
        <v>3</v>
      </c>
      <c r="Z56" s="15">
        <v>13</v>
      </c>
      <c r="AA56" s="16">
        <f t="shared" ref="AA56:AA67" si="34">Y56/22*100</f>
        <v>13.636363636363635</v>
      </c>
      <c r="AB56" s="16">
        <v>30</v>
      </c>
      <c r="AC56" s="33">
        <f t="shared" si="26"/>
        <v>4.0909090909090908</v>
      </c>
      <c r="AD56" s="11"/>
      <c r="AE56" s="48"/>
      <c r="AF56" s="54"/>
      <c r="AG56" s="55">
        <v>1</v>
      </c>
      <c r="AH56" s="55">
        <v>16</v>
      </c>
      <c r="AI56" s="55">
        <f t="shared" si="31"/>
        <v>11.111111111111111</v>
      </c>
      <c r="AJ56" s="71">
        <f>1/9*100</f>
        <v>11.111111111111111</v>
      </c>
      <c r="AK56" s="56">
        <f t="shared" si="28"/>
        <v>1.2345679012345678</v>
      </c>
      <c r="AM56" s="48"/>
      <c r="AN56" s="22">
        <v>3</v>
      </c>
      <c r="AO56" s="23">
        <v>1</v>
      </c>
      <c r="AP56" s="23">
        <v>34</v>
      </c>
      <c r="AQ56" s="24">
        <v>50</v>
      </c>
      <c r="AR56" s="25">
        <f>1/3*100</f>
        <v>33.333333333333329</v>
      </c>
      <c r="AS56" s="33">
        <f>(AQ56/100)*(AR56)</f>
        <v>16.666666666666664</v>
      </c>
    </row>
    <row r="57" spans="1:46" ht="20" thickBot="1" x14ac:dyDescent="0.3">
      <c r="A57" t="s">
        <v>81</v>
      </c>
      <c r="B57">
        <v>38</v>
      </c>
      <c r="D57" s="74" t="s">
        <v>82</v>
      </c>
      <c r="E57" s="75">
        <f>SUM(E2:E56)</f>
        <v>251</v>
      </c>
      <c r="G57" s="11"/>
      <c r="H57" s="22">
        <v>1</v>
      </c>
      <c r="I57" s="23">
        <v>1</v>
      </c>
      <c r="J57" s="23">
        <v>1</v>
      </c>
      <c r="K57" s="23">
        <v>20</v>
      </c>
      <c r="L57" s="34">
        <f>1/12*100</f>
        <v>8.3333333333333321</v>
      </c>
      <c r="M57" s="57">
        <f t="shared" ref="M57:M70" si="35">(K57/100)*(L57)</f>
        <v>1.6666666666666665</v>
      </c>
      <c r="O57" s="11"/>
      <c r="P57" s="14"/>
      <c r="Q57" s="15">
        <v>1</v>
      </c>
      <c r="R57" s="15">
        <v>55</v>
      </c>
      <c r="S57" s="16">
        <v>50</v>
      </c>
      <c r="T57" s="16">
        <f>1/38*100</f>
        <v>2.6315789473684208</v>
      </c>
      <c r="U57" s="17">
        <f>(S57/100)*(T57)</f>
        <v>1.3157894736842104</v>
      </c>
      <c r="V57" s="11"/>
      <c r="W57" s="11"/>
      <c r="X57" s="14"/>
      <c r="Y57" s="15">
        <v>3</v>
      </c>
      <c r="Z57" s="15">
        <v>15</v>
      </c>
      <c r="AA57" s="16">
        <f t="shared" si="34"/>
        <v>13.636363636363635</v>
      </c>
      <c r="AB57" s="16">
        <f>3/19*100</f>
        <v>15.789473684210526</v>
      </c>
      <c r="AC57" s="33">
        <f t="shared" si="26"/>
        <v>2.1531100478468899</v>
      </c>
      <c r="AD57" s="11"/>
      <c r="AE57" s="48"/>
      <c r="AF57" s="54"/>
      <c r="AG57" s="55">
        <v>1</v>
      </c>
      <c r="AH57" s="55">
        <v>50</v>
      </c>
      <c r="AI57" s="55">
        <f t="shared" si="31"/>
        <v>11.111111111111111</v>
      </c>
      <c r="AJ57" s="71">
        <f>1/3*100</f>
        <v>33.333333333333329</v>
      </c>
      <c r="AK57" s="56">
        <f t="shared" si="28"/>
        <v>3.7037037037037028</v>
      </c>
      <c r="AM57" s="48"/>
      <c r="AN57" s="14"/>
      <c r="AO57" s="15">
        <v>1</v>
      </c>
      <c r="AP57" s="15">
        <v>54</v>
      </c>
      <c r="AQ57" s="16">
        <v>50</v>
      </c>
      <c r="AR57" s="33">
        <f>1/3*100</f>
        <v>33.333333333333329</v>
      </c>
      <c r="AS57" s="33">
        <f t="shared" ref="AS57:AS64" si="36">(AQ57/100)*(AR57)</f>
        <v>16.666666666666664</v>
      </c>
    </row>
    <row r="58" spans="1:46" ht="20" thickBot="1" x14ac:dyDescent="0.3">
      <c r="A58" t="s">
        <v>83</v>
      </c>
      <c r="B58">
        <v>24</v>
      </c>
      <c r="G58" s="11"/>
      <c r="H58" s="14"/>
      <c r="I58" s="15">
        <v>1</v>
      </c>
      <c r="J58" s="15">
        <v>2</v>
      </c>
      <c r="K58" s="15">
        <v>20</v>
      </c>
      <c r="L58" s="38">
        <v>20</v>
      </c>
      <c r="M58" s="17">
        <f t="shared" si="35"/>
        <v>4</v>
      </c>
      <c r="O58" s="11"/>
      <c r="P58" s="22">
        <v>5</v>
      </c>
      <c r="Q58" s="23">
        <v>1</v>
      </c>
      <c r="R58" s="23">
        <v>7</v>
      </c>
      <c r="S58" s="24">
        <v>50</v>
      </c>
      <c r="T58" s="25">
        <f>1/7*100</f>
        <v>14.285714285714285</v>
      </c>
      <c r="U58" s="25">
        <f>(S58/100)*(T58)</f>
        <v>7.1428571428571423</v>
      </c>
      <c r="V58" s="11"/>
      <c r="W58" s="11"/>
      <c r="X58" s="14"/>
      <c r="Y58" s="15">
        <v>2</v>
      </c>
      <c r="Z58" s="15">
        <v>16</v>
      </c>
      <c r="AA58" s="16">
        <f t="shared" si="34"/>
        <v>9.0909090909090917</v>
      </c>
      <c r="AB58" s="16">
        <f>2/9*100</f>
        <v>22.222222222222221</v>
      </c>
      <c r="AC58" s="33">
        <f t="shared" si="26"/>
        <v>2.0202020202020203</v>
      </c>
      <c r="AD58" s="11"/>
      <c r="AE58" s="48"/>
      <c r="AF58" s="60"/>
      <c r="AG58" s="61">
        <v>1</v>
      </c>
      <c r="AH58" s="61">
        <v>55</v>
      </c>
      <c r="AI58" s="61">
        <f t="shared" si="31"/>
        <v>11.111111111111111</v>
      </c>
      <c r="AJ58" s="68">
        <f>1/38*100</f>
        <v>2.6315789473684208</v>
      </c>
      <c r="AK58" s="67">
        <f t="shared" si="28"/>
        <v>0.29239766081871338</v>
      </c>
      <c r="AM58" s="48"/>
      <c r="AN58" s="22">
        <v>4</v>
      </c>
      <c r="AO58" s="23">
        <v>1</v>
      </c>
      <c r="AP58" s="23">
        <v>18</v>
      </c>
      <c r="AQ58" s="24">
        <f>1/7*100</f>
        <v>14.285714285714285</v>
      </c>
      <c r="AR58" s="25">
        <f>1/6*100</f>
        <v>16.666666666666664</v>
      </c>
      <c r="AS58" s="33">
        <f t="shared" si="36"/>
        <v>2.3809523809523805</v>
      </c>
    </row>
    <row r="59" spans="1:46" ht="20" thickBot="1" x14ac:dyDescent="0.3">
      <c r="A59" t="s">
        <v>84</v>
      </c>
      <c r="B59">
        <v>25</v>
      </c>
      <c r="G59" s="11"/>
      <c r="H59" s="14"/>
      <c r="I59" s="15">
        <v>1</v>
      </c>
      <c r="J59" s="15">
        <v>13</v>
      </c>
      <c r="K59" s="16">
        <v>20</v>
      </c>
      <c r="L59" s="33">
        <v>10</v>
      </c>
      <c r="M59" s="17">
        <f>(K59/100)*(L59)</f>
        <v>2</v>
      </c>
      <c r="O59" s="11"/>
      <c r="P59" s="30"/>
      <c r="Q59" s="31">
        <v>1</v>
      </c>
      <c r="R59" s="41">
        <v>8</v>
      </c>
      <c r="S59" s="42">
        <v>50</v>
      </c>
      <c r="T59" s="36">
        <f>1/11*100</f>
        <v>9.0909090909090917</v>
      </c>
      <c r="U59" s="36">
        <f>(S59/100)*(T59)</f>
        <v>4.5454545454545459</v>
      </c>
      <c r="V59" s="11"/>
      <c r="W59" s="11"/>
      <c r="X59" s="14"/>
      <c r="Y59" s="15">
        <v>1</v>
      </c>
      <c r="Z59" s="15">
        <v>18</v>
      </c>
      <c r="AA59" s="16">
        <f t="shared" si="34"/>
        <v>4.5454545454545459</v>
      </c>
      <c r="AB59" s="16">
        <f>1/6*100</f>
        <v>16.666666666666664</v>
      </c>
      <c r="AC59" s="33">
        <f t="shared" si="26"/>
        <v>0.75757575757575746</v>
      </c>
      <c r="AD59" s="11"/>
      <c r="AE59" s="48"/>
      <c r="AJ59" s="49" t="s">
        <v>22</v>
      </c>
      <c r="AK59" s="69">
        <f>SUM(AK44:AK58)</f>
        <v>103.69329408176525</v>
      </c>
      <c r="AM59" s="48"/>
      <c r="AN59" s="14"/>
      <c r="AO59" s="15">
        <v>1</v>
      </c>
      <c r="AP59" s="15">
        <v>27</v>
      </c>
      <c r="AQ59" s="16">
        <f t="shared" ref="AQ59:AQ62" si="37">1/7*100</f>
        <v>14.285714285714285</v>
      </c>
      <c r="AR59" s="33">
        <v>100</v>
      </c>
      <c r="AS59" s="33">
        <f t="shared" si="36"/>
        <v>14.285714285714285</v>
      </c>
    </row>
    <row r="60" spans="1:46" ht="20" thickBot="1" x14ac:dyDescent="0.3">
      <c r="A60" t="s">
        <v>85</v>
      </c>
      <c r="B60">
        <v>39</v>
      </c>
      <c r="G60" s="11"/>
      <c r="H60" s="14"/>
      <c r="I60" s="15">
        <v>1</v>
      </c>
      <c r="J60" s="15">
        <v>15</v>
      </c>
      <c r="K60" s="16">
        <v>20</v>
      </c>
      <c r="L60" s="33">
        <f>1/19*100</f>
        <v>5.2631578947368416</v>
      </c>
      <c r="M60" s="17">
        <f t="shared" si="35"/>
        <v>1.0526315789473684</v>
      </c>
      <c r="O60" s="11"/>
      <c r="P60" s="11"/>
      <c r="Q60" s="11"/>
      <c r="R60" s="11"/>
      <c r="S60" s="11"/>
      <c r="T60" s="30" t="s">
        <v>22</v>
      </c>
      <c r="U60" s="36">
        <f>SUM(U51:U59)</f>
        <v>121.05965671755143</v>
      </c>
      <c r="V60" s="11"/>
      <c r="W60" s="11"/>
      <c r="X60" s="14"/>
      <c r="Y60" s="15">
        <v>1</v>
      </c>
      <c r="Z60" s="15">
        <v>20</v>
      </c>
      <c r="AA60" s="16">
        <f t="shared" si="34"/>
        <v>4.5454545454545459</v>
      </c>
      <c r="AB60" s="16">
        <v>100</v>
      </c>
      <c r="AC60" s="33">
        <f t="shared" si="26"/>
        <v>4.5454545454545459</v>
      </c>
      <c r="AD60" s="11"/>
      <c r="AN60" s="14"/>
      <c r="AO60" s="15">
        <v>2</v>
      </c>
      <c r="AP60" s="15">
        <v>37</v>
      </c>
      <c r="AQ60" s="16">
        <f>2/7*100</f>
        <v>28.571428571428569</v>
      </c>
      <c r="AR60" s="33">
        <f>2/6*100</f>
        <v>33.333333333333329</v>
      </c>
      <c r="AS60" s="33">
        <f t="shared" si="36"/>
        <v>9.5238095238095219</v>
      </c>
    </row>
    <row r="61" spans="1:46" ht="20" thickBot="1" x14ac:dyDescent="0.3">
      <c r="A61" t="s">
        <v>86</v>
      </c>
      <c r="B61">
        <v>40</v>
      </c>
      <c r="G61" s="11"/>
      <c r="H61" s="30"/>
      <c r="I61" s="31">
        <v>1</v>
      </c>
      <c r="J61" s="31">
        <v>50</v>
      </c>
      <c r="K61" s="32">
        <v>20</v>
      </c>
      <c r="L61" s="36">
        <f>1/3*100</f>
        <v>33.333333333333329</v>
      </c>
      <c r="M61" s="17">
        <f t="shared" si="35"/>
        <v>6.6666666666666661</v>
      </c>
      <c r="O61" s="11"/>
      <c r="V61" s="11"/>
      <c r="W61" s="11"/>
      <c r="X61" s="14"/>
      <c r="Y61" s="15">
        <v>1</v>
      </c>
      <c r="Z61" s="15">
        <v>21</v>
      </c>
      <c r="AA61" s="16">
        <f t="shared" si="34"/>
        <v>4.5454545454545459</v>
      </c>
      <c r="AB61" s="16">
        <v>100</v>
      </c>
      <c r="AC61" s="33">
        <f t="shared" si="26"/>
        <v>4.5454545454545459</v>
      </c>
      <c r="AD61" s="11"/>
      <c r="AM61" s="11"/>
      <c r="AN61" s="14"/>
      <c r="AO61" s="15">
        <v>2</v>
      </c>
      <c r="AP61" s="44">
        <v>44</v>
      </c>
      <c r="AQ61" s="16">
        <f>2/7*100</f>
        <v>28.571428571428569</v>
      </c>
      <c r="AR61" s="33">
        <f>2/16*100</f>
        <v>12.5</v>
      </c>
      <c r="AS61" s="33">
        <f t="shared" si="36"/>
        <v>3.5714285714285712</v>
      </c>
    </row>
    <row r="62" spans="1:46" ht="20" thickBot="1" x14ac:dyDescent="0.3">
      <c r="A62" t="s">
        <v>87</v>
      </c>
      <c r="B62">
        <v>8</v>
      </c>
      <c r="G62" s="11"/>
      <c r="H62" s="22">
        <v>2</v>
      </c>
      <c r="I62" s="23">
        <v>1</v>
      </c>
      <c r="J62" s="23">
        <v>13</v>
      </c>
      <c r="K62" s="24">
        <v>50</v>
      </c>
      <c r="L62" s="24">
        <v>10</v>
      </c>
      <c r="M62" s="17">
        <f t="shared" si="35"/>
        <v>5</v>
      </c>
      <c r="O62" s="11"/>
      <c r="V62" s="11"/>
      <c r="W62" s="11"/>
      <c r="X62" s="14"/>
      <c r="Y62" s="15">
        <v>2</v>
      </c>
      <c r="Z62" s="15">
        <v>32</v>
      </c>
      <c r="AA62" s="16">
        <f t="shared" si="34"/>
        <v>9.0909090909090917</v>
      </c>
      <c r="AB62" s="16">
        <f>2/3*100</f>
        <v>66.666666666666657</v>
      </c>
      <c r="AC62" s="33">
        <f t="shared" si="26"/>
        <v>6.0606060606060597</v>
      </c>
      <c r="AD62" s="11"/>
      <c r="AE62" s="3" t="s">
        <v>88</v>
      </c>
      <c r="AF62" s="3" t="s">
        <v>3</v>
      </c>
      <c r="AG62" s="4" t="s">
        <v>4</v>
      </c>
      <c r="AH62" s="4" t="s">
        <v>0</v>
      </c>
      <c r="AI62" s="4" t="s">
        <v>5</v>
      </c>
      <c r="AJ62" s="7" t="s">
        <v>6</v>
      </c>
      <c r="AK62" s="6" t="s">
        <v>7</v>
      </c>
      <c r="AM62" s="11"/>
      <c r="AN62" s="30"/>
      <c r="AO62" s="31">
        <v>1</v>
      </c>
      <c r="AP62" s="41">
        <v>46</v>
      </c>
      <c r="AQ62" s="32">
        <f t="shared" si="37"/>
        <v>14.285714285714285</v>
      </c>
      <c r="AR62" s="36">
        <v>50</v>
      </c>
      <c r="AS62" s="33">
        <f t="shared" si="36"/>
        <v>7.1428571428571423</v>
      </c>
    </row>
    <row r="63" spans="1:46" ht="20" thickBot="1" x14ac:dyDescent="0.3">
      <c r="A63" t="s">
        <v>89</v>
      </c>
      <c r="B63">
        <v>37</v>
      </c>
      <c r="G63" s="11"/>
      <c r="H63" s="14"/>
      <c r="I63" s="15">
        <v>1</v>
      </c>
      <c r="J63" s="15">
        <v>55</v>
      </c>
      <c r="K63" s="16">
        <v>50</v>
      </c>
      <c r="L63" s="16">
        <f>1/38*100</f>
        <v>2.6315789473684208</v>
      </c>
      <c r="M63" s="17">
        <f t="shared" si="35"/>
        <v>1.3157894736842104</v>
      </c>
      <c r="O63" s="3" t="s">
        <v>90</v>
      </c>
      <c r="P63" s="4" t="s">
        <v>3</v>
      </c>
      <c r="Q63" s="4" t="s">
        <v>4</v>
      </c>
      <c r="R63" s="4" t="s">
        <v>0</v>
      </c>
      <c r="S63" s="4" t="s">
        <v>5</v>
      </c>
      <c r="T63" s="5" t="s">
        <v>6</v>
      </c>
      <c r="U63" s="6" t="s">
        <v>7</v>
      </c>
      <c r="V63" s="11"/>
      <c r="W63" s="11"/>
      <c r="X63" s="14"/>
      <c r="Y63" s="15">
        <v>1</v>
      </c>
      <c r="Z63" s="15">
        <v>33</v>
      </c>
      <c r="AA63" s="16">
        <f t="shared" si="34"/>
        <v>4.5454545454545459</v>
      </c>
      <c r="AB63" s="16">
        <v>20</v>
      </c>
      <c r="AC63" s="33">
        <f t="shared" si="26"/>
        <v>0.90909090909090917</v>
      </c>
      <c r="AD63" s="11"/>
      <c r="AE63" s="48"/>
      <c r="AF63" s="22">
        <v>1</v>
      </c>
      <c r="AG63" s="23">
        <v>2</v>
      </c>
      <c r="AH63" s="23">
        <v>22</v>
      </c>
      <c r="AI63" s="23">
        <v>100</v>
      </c>
      <c r="AJ63" s="34">
        <f>2/3*100</f>
        <v>66.666666666666657</v>
      </c>
      <c r="AK63" s="57">
        <f t="shared" ref="AK63:AK64" si="38">(AI63/100)*(AJ63)</f>
        <v>66.666666666666657</v>
      </c>
      <c r="AM63" s="11"/>
      <c r="AN63" s="14">
        <v>5</v>
      </c>
      <c r="AO63" s="15">
        <v>1</v>
      </c>
      <c r="AP63" s="44">
        <v>7</v>
      </c>
      <c r="AQ63" s="16">
        <v>50</v>
      </c>
      <c r="AR63" s="33">
        <f>1/7*100</f>
        <v>14.285714285714285</v>
      </c>
      <c r="AS63" s="33">
        <f t="shared" si="36"/>
        <v>7.1428571428571423</v>
      </c>
    </row>
    <row r="64" spans="1:46" ht="20" thickBot="1" x14ac:dyDescent="0.3">
      <c r="A64" t="s">
        <v>91</v>
      </c>
      <c r="B64">
        <v>13</v>
      </c>
      <c r="G64" s="11"/>
      <c r="H64" s="22">
        <v>3</v>
      </c>
      <c r="I64" s="23">
        <v>1</v>
      </c>
      <c r="J64" s="39">
        <v>7</v>
      </c>
      <c r="K64" s="40">
        <v>50</v>
      </c>
      <c r="L64" s="24">
        <f>1/7*100</f>
        <v>14.285714285714285</v>
      </c>
      <c r="M64" s="17">
        <f t="shared" si="35"/>
        <v>7.1428571428571423</v>
      </c>
      <c r="O64" s="11"/>
      <c r="P64" s="18">
        <v>1</v>
      </c>
      <c r="Q64" s="19">
        <v>2</v>
      </c>
      <c r="R64" s="19">
        <v>55</v>
      </c>
      <c r="S64" s="19">
        <v>100</v>
      </c>
      <c r="T64" s="50">
        <f>2/38*100</f>
        <v>5.2631578947368416</v>
      </c>
      <c r="U64" s="57">
        <f t="shared" ref="U64:U65" si="39">(S64/100)*(T64)</f>
        <v>5.2631578947368416</v>
      </c>
      <c r="W64" s="11"/>
      <c r="X64" s="14"/>
      <c r="Y64" s="15">
        <v>1</v>
      </c>
      <c r="Z64" s="15">
        <v>39</v>
      </c>
      <c r="AA64" s="16">
        <f t="shared" si="34"/>
        <v>4.5454545454545459</v>
      </c>
      <c r="AB64" s="16">
        <v>25</v>
      </c>
      <c r="AC64" s="33">
        <f t="shared" si="26"/>
        <v>1.1363636363636365</v>
      </c>
      <c r="AE64" s="48"/>
      <c r="AF64" s="22">
        <v>2</v>
      </c>
      <c r="AG64" s="23">
        <v>1</v>
      </c>
      <c r="AH64" s="23">
        <v>18</v>
      </c>
      <c r="AI64" s="23">
        <v>50</v>
      </c>
      <c r="AJ64" s="34">
        <f>1/6*100</f>
        <v>16.666666666666664</v>
      </c>
      <c r="AK64" s="33">
        <f t="shared" si="38"/>
        <v>8.3333333333333321</v>
      </c>
      <c r="AM64" s="11"/>
      <c r="AN64" s="30"/>
      <c r="AO64" s="31">
        <v>1</v>
      </c>
      <c r="AP64" s="41">
        <v>12</v>
      </c>
      <c r="AQ64" s="32">
        <v>50</v>
      </c>
      <c r="AR64" s="36">
        <v>20</v>
      </c>
      <c r="AS64" s="33">
        <f t="shared" si="36"/>
        <v>10</v>
      </c>
    </row>
    <row r="65" spans="1:45" ht="20" thickBot="1" x14ac:dyDescent="0.3">
      <c r="A65" t="s">
        <v>92</v>
      </c>
      <c r="B65">
        <v>42</v>
      </c>
      <c r="G65" s="11"/>
      <c r="H65" s="14"/>
      <c r="I65" s="15">
        <v>1</v>
      </c>
      <c r="J65" s="44">
        <v>16</v>
      </c>
      <c r="K65" s="45">
        <v>50</v>
      </c>
      <c r="L65" s="16">
        <f>1/9*100</f>
        <v>11.111111111111111</v>
      </c>
      <c r="M65" s="17">
        <f t="shared" si="35"/>
        <v>5.5555555555555554</v>
      </c>
      <c r="O65" s="11"/>
      <c r="P65" s="22">
        <v>2</v>
      </c>
      <c r="Q65" s="52">
        <v>1</v>
      </c>
      <c r="R65" s="52">
        <v>5</v>
      </c>
      <c r="S65" s="23">
        <v>50</v>
      </c>
      <c r="T65" s="34">
        <v>20</v>
      </c>
      <c r="U65" s="17">
        <f t="shared" si="39"/>
        <v>10</v>
      </c>
      <c r="W65" s="11"/>
      <c r="X65" s="14"/>
      <c r="Y65" s="15">
        <v>1</v>
      </c>
      <c r="Z65" s="15">
        <v>42</v>
      </c>
      <c r="AA65" s="16">
        <f t="shared" si="34"/>
        <v>4.5454545454545459</v>
      </c>
      <c r="AB65" s="16">
        <v>100</v>
      </c>
      <c r="AC65" s="33">
        <f t="shared" si="26"/>
        <v>4.5454545454545459</v>
      </c>
      <c r="AE65" s="48"/>
      <c r="AF65" s="30"/>
      <c r="AG65" s="31">
        <v>1</v>
      </c>
      <c r="AH65" s="31">
        <v>24</v>
      </c>
      <c r="AI65" s="32">
        <v>50</v>
      </c>
      <c r="AJ65" s="36">
        <v>10</v>
      </c>
      <c r="AK65" s="33">
        <f>(AI65/100)*(AJ65)</f>
        <v>5</v>
      </c>
      <c r="AM65" s="11"/>
      <c r="AN65" s="11"/>
      <c r="AO65" s="11"/>
      <c r="AP65" s="11"/>
      <c r="AQ65" s="11"/>
      <c r="AR65" s="30" t="s">
        <v>22</v>
      </c>
      <c r="AS65" s="36">
        <f>SUM(AS54:AS64)</f>
        <v>164.57393483709271</v>
      </c>
    </row>
    <row r="66" spans="1:45" ht="20" thickBot="1" x14ac:dyDescent="0.3">
      <c r="A66" t="s">
        <v>93</v>
      </c>
      <c r="B66">
        <v>43</v>
      </c>
      <c r="G66" s="11"/>
      <c r="H66" s="22">
        <v>4</v>
      </c>
      <c r="I66" s="23">
        <v>2</v>
      </c>
      <c r="J66" s="39">
        <v>16</v>
      </c>
      <c r="K66" s="40">
        <f>1/3*100</f>
        <v>33.333333333333329</v>
      </c>
      <c r="L66" s="25">
        <f>1/9*100</f>
        <v>11.111111111111111</v>
      </c>
      <c r="M66" s="33">
        <f t="shared" si="35"/>
        <v>3.7037037037037028</v>
      </c>
      <c r="O66" s="11"/>
      <c r="P66" s="14"/>
      <c r="Q66" s="55">
        <v>1</v>
      </c>
      <c r="R66" s="55">
        <v>10</v>
      </c>
      <c r="S66" s="16">
        <v>50</v>
      </c>
      <c r="T66" s="33">
        <v>100</v>
      </c>
      <c r="U66" s="17">
        <f>(S66/100)*(T66)</f>
        <v>50</v>
      </c>
      <c r="W66" s="11"/>
      <c r="X66" s="14"/>
      <c r="Y66" s="15">
        <v>1</v>
      </c>
      <c r="Z66" s="15">
        <v>44</v>
      </c>
      <c r="AA66" s="16">
        <f t="shared" si="34"/>
        <v>4.5454545454545459</v>
      </c>
      <c r="AB66" s="16">
        <f>1/16*100</f>
        <v>6.25</v>
      </c>
      <c r="AC66" s="33">
        <f t="shared" si="26"/>
        <v>0.28409090909090912</v>
      </c>
      <c r="AE66" s="48"/>
      <c r="AF66" s="14">
        <v>3</v>
      </c>
      <c r="AG66" s="15">
        <v>3</v>
      </c>
      <c r="AH66" s="15">
        <v>15</v>
      </c>
      <c r="AI66" s="16">
        <v>75</v>
      </c>
      <c r="AJ66" s="33">
        <f>3/19*100</f>
        <v>15.789473684210526</v>
      </c>
      <c r="AK66" s="17">
        <f t="shared" ref="AK66:AK76" si="40">(AI66/100)*(AJ66)</f>
        <v>11.842105263157894</v>
      </c>
      <c r="AM66" s="11"/>
    </row>
    <row r="67" spans="1:45" ht="20" thickBot="1" x14ac:dyDescent="0.3">
      <c r="A67" t="s">
        <v>94</v>
      </c>
      <c r="B67">
        <v>25</v>
      </c>
      <c r="G67" s="11"/>
      <c r="H67" s="14"/>
      <c r="I67" s="15">
        <v>1</v>
      </c>
      <c r="J67" s="44">
        <v>26</v>
      </c>
      <c r="K67" s="45">
        <f t="shared" ref="K67:K68" si="41">1/3*100</f>
        <v>33.333333333333329</v>
      </c>
      <c r="L67" s="33">
        <v>50</v>
      </c>
      <c r="M67" s="33">
        <f t="shared" si="35"/>
        <v>16.666666666666664</v>
      </c>
      <c r="O67" s="11"/>
      <c r="P67" s="22">
        <v>3</v>
      </c>
      <c r="Q67" s="23">
        <v>1</v>
      </c>
      <c r="R67" s="23">
        <v>1</v>
      </c>
      <c r="S67" s="24">
        <f>1/6*100</f>
        <v>16.666666666666664</v>
      </c>
      <c r="T67" s="25">
        <f>1/12*100</f>
        <v>8.3333333333333321</v>
      </c>
      <c r="U67" s="33">
        <f t="shared" ref="U67:U73" si="42">(S67/100)*(T67)</f>
        <v>1.3888888888888884</v>
      </c>
      <c r="W67" s="11"/>
      <c r="X67" s="30"/>
      <c r="Y67" s="31">
        <v>3</v>
      </c>
      <c r="Z67" s="31">
        <v>55</v>
      </c>
      <c r="AA67" s="32">
        <f t="shared" si="34"/>
        <v>13.636363636363635</v>
      </c>
      <c r="AB67" s="32">
        <f>3/38*100</f>
        <v>7.8947368421052628</v>
      </c>
      <c r="AC67" s="36">
        <f t="shared" si="26"/>
        <v>1.0765550239234449</v>
      </c>
      <c r="AE67" s="48"/>
      <c r="AF67" s="14"/>
      <c r="AG67" s="15">
        <v>1</v>
      </c>
      <c r="AH67" s="15">
        <v>40</v>
      </c>
      <c r="AI67" s="16">
        <v>25</v>
      </c>
      <c r="AJ67" s="33">
        <v>50</v>
      </c>
      <c r="AK67" s="17">
        <f t="shared" si="40"/>
        <v>12.5</v>
      </c>
      <c r="AM67" s="11"/>
    </row>
    <row r="68" spans="1:45" ht="20" thickBot="1" x14ac:dyDescent="0.3">
      <c r="A68" t="s">
        <v>95</v>
      </c>
      <c r="B68">
        <v>18</v>
      </c>
      <c r="G68" s="11"/>
      <c r="H68" s="30"/>
      <c r="I68" s="31">
        <v>1</v>
      </c>
      <c r="J68" s="41">
        <v>55</v>
      </c>
      <c r="K68" s="42">
        <f t="shared" si="41"/>
        <v>33.333333333333329</v>
      </c>
      <c r="L68" s="36">
        <f>1/38*100</f>
        <v>2.6315789473684208</v>
      </c>
      <c r="M68" s="33">
        <f t="shared" si="35"/>
        <v>0.87719298245614008</v>
      </c>
      <c r="O68" s="11"/>
      <c r="P68" s="14"/>
      <c r="Q68" s="15">
        <v>1</v>
      </c>
      <c r="R68" s="15">
        <v>7</v>
      </c>
      <c r="S68" s="16">
        <f t="shared" ref="S68:S70" si="43">1/6*100</f>
        <v>16.666666666666664</v>
      </c>
      <c r="T68" s="33">
        <f>1/7*100</f>
        <v>14.285714285714285</v>
      </c>
      <c r="U68" s="33">
        <f t="shared" si="42"/>
        <v>2.38095238095238</v>
      </c>
      <c r="W68" s="11"/>
      <c r="X68" s="22">
        <v>4</v>
      </c>
      <c r="Y68" s="23">
        <v>1</v>
      </c>
      <c r="Z68" s="23">
        <v>10</v>
      </c>
      <c r="AA68" s="24">
        <v>50</v>
      </c>
      <c r="AB68" s="24">
        <v>100</v>
      </c>
      <c r="AC68" s="25">
        <f t="shared" si="26"/>
        <v>50</v>
      </c>
      <c r="AE68" s="48"/>
      <c r="AF68" s="22">
        <v>4</v>
      </c>
      <c r="AG68" s="23">
        <v>1</v>
      </c>
      <c r="AH68" s="23">
        <v>18</v>
      </c>
      <c r="AI68" s="24">
        <f>1/9*100</f>
        <v>11.111111111111111</v>
      </c>
      <c r="AJ68" s="25">
        <f>1/6*100</f>
        <v>16.666666666666664</v>
      </c>
      <c r="AK68" s="33">
        <f t="shared" si="40"/>
        <v>1.8518518518518514</v>
      </c>
      <c r="AM68" s="3" t="s">
        <v>96</v>
      </c>
      <c r="AN68" s="3" t="s">
        <v>3</v>
      </c>
      <c r="AO68" s="4" t="s">
        <v>4</v>
      </c>
      <c r="AP68" s="4" t="s">
        <v>0</v>
      </c>
      <c r="AQ68" s="4" t="s">
        <v>5</v>
      </c>
      <c r="AR68" s="7" t="s">
        <v>6</v>
      </c>
      <c r="AS68" s="6" t="s">
        <v>7</v>
      </c>
    </row>
    <row r="69" spans="1:45" ht="20" thickBot="1" x14ac:dyDescent="0.3">
      <c r="A69" t="s">
        <v>97</v>
      </c>
      <c r="B69">
        <v>44</v>
      </c>
      <c r="G69" s="11"/>
      <c r="H69" s="14">
        <v>5</v>
      </c>
      <c r="I69" s="15">
        <v>1</v>
      </c>
      <c r="J69" s="44">
        <v>8</v>
      </c>
      <c r="K69" s="16">
        <v>50</v>
      </c>
      <c r="L69" s="16">
        <f>1/11*100</f>
        <v>9.0909090909090917</v>
      </c>
      <c r="M69" s="17">
        <f t="shared" si="35"/>
        <v>4.5454545454545459</v>
      </c>
      <c r="O69" s="11"/>
      <c r="P69" s="14"/>
      <c r="Q69" s="15">
        <v>3</v>
      </c>
      <c r="R69" s="15">
        <v>15</v>
      </c>
      <c r="S69" s="16">
        <v>50</v>
      </c>
      <c r="T69" s="33">
        <f>3/19*100</f>
        <v>15.789473684210526</v>
      </c>
      <c r="U69" s="33">
        <f t="shared" si="42"/>
        <v>7.8947368421052628</v>
      </c>
      <c r="W69" s="11"/>
      <c r="X69" s="30"/>
      <c r="Y69" s="31">
        <v>1</v>
      </c>
      <c r="Z69" s="31">
        <v>5</v>
      </c>
      <c r="AA69" s="32">
        <v>50</v>
      </c>
      <c r="AB69" s="32">
        <v>20</v>
      </c>
      <c r="AC69" s="36">
        <f t="shared" si="26"/>
        <v>10</v>
      </c>
      <c r="AF69" s="14"/>
      <c r="AG69" s="15">
        <v>1</v>
      </c>
      <c r="AH69" s="15">
        <v>27</v>
      </c>
      <c r="AI69" s="16">
        <f t="shared" ref="AI69:AI73" si="44">1/9*100</f>
        <v>11.111111111111111</v>
      </c>
      <c r="AJ69" s="33">
        <v>100</v>
      </c>
      <c r="AK69" s="33">
        <f t="shared" si="40"/>
        <v>11.111111111111111</v>
      </c>
      <c r="AM69" s="48"/>
      <c r="AN69" s="22">
        <v>1</v>
      </c>
      <c r="AO69" s="23">
        <v>2</v>
      </c>
      <c r="AP69" s="23">
        <v>22</v>
      </c>
      <c r="AQ69" s="23">
        <v>100</v>
      </c>
      <c r="AR69" s="34">
        <f>2/3*100</f>
        <v>66.666666666666657</v>
      </c>
      <c r="AS69" s="57">
        <f t="shared" ref="AS69:AS70" si="45">(AQ69/100)*(AR69)</f>
        <v>66.666666666666657</v>
      </c>
    </row>
    <row r="70" spans="1:45" ht="20" thickBot="1" x14ac:dyDescent="0.3">
      <c r="A70" t="s">
        <v>98</v>
      </c>
      <c r="B70">
        <v>11</v>
      </c>
      <c r="G70" s="11"/>
      <c r="H70" s="30"/>
      <c r="I70" s="31">
        <v>1</v>
      </c>
      <c r="J70" s="41">
        <v>37</v>
      </c>
      <c r="K70" s="32">
        <v>50</v>
      </c>
      <c r="L70" s="32">
        <f>1/6*100</f>
        <v>16.666666666666664</v>
      </c>
      <c r="M70" s="43">
        <f t="shared" si="35"/>
        <v>8.3333333333333321</v>
      </c>
      <c r="O70" s="11"/>
      <c r="P70" s="30"/>
      <c r="Q70" s="31">
        <v>1</v>
      </c>
      <c r="R70" s="31">
        <v>39</v>
      </c>
      <c r="S70" s="32">
        <f t="shared" si="43"/>
        <v>16.666666666666664</v>
      </c>
      <c r="T70" s="36">
        <v>25</v>
      </c>
      <c r="U70" s="33">
        <f t="shared" si="42"/>
        <v>4.1666666666666661</v>
      </c>
      <c r="W70" s="11"/>
      <c r="X70" s="22">
        <v>5</v>
      </c>
      <c r="Y70" s="39">
        <v>1</v>
      </c>
      <c r="Z70" s="39">
        <v>13</v>
      </c>
      <c r="AA70" s="24">
        <f>1/3*100</f>
        <v>33.333333333333329</v>
      </c>
      <c r="AB70" s="40">
        <v>10</v>
      </c>
      <c r="AC70" s="76">
        <f>(AA70/100)*AB70</f>
        <v>3.3333333333333326</v>
      </c>
      <c r="AE70" s="11"/>
      <c r="AF70" s="14"/>
      <c r="AG70" s="15">
        <v>3</v>
      </c>
      <c r="AH70" s="44">
        <v>37</v>
      </c>
      <c r="AI70" s="16">
        <f>3/9*100</f>
        <v>33.333333333333329</v>
      </c>
      <c r="AJ70" s="33">
        <f>3/6*100</f>
        <v>50</v>
      </c>
      <c r="AK70" s="33">
        <f t="shared" si="40"/>
        <v>16.666666666666664</v>
      </c>
      <c r="AM70" s="48"/>
      <c r="AN70" s="22">
        <v>2</v>
      </c>
      <c r="AO70" s="23">
        <v>1</v>
      </c>
      <c r="AP70" s="23">
        <v>13</v>
      </c>
      <c r="AQ70" s="23">
        <v>50</v>
      </c>
      <c r="AR70" s="34">
        <v>10</v>
      </c>
      <c r="AS70" s="33">
        <f t="shared" si="45"/>
        <v>5</v>
      </c>
    </row>
    <row r="71" spans="1:45" ht="20" thickBot="1" x14ac:dyDescent="0.3">
      <c r="A71" t="s">
        <v>99</v>
      </c>
      <c r="B71">
        <v>12</v>
      </c>
      <c r="G71" s="11"/>
      <c r="H71" s="11"/>
      <c r="I71" s="11"/>
      <c r="J71" s="11"/>
      <c r="K71" s="11"/>
      <c r="L71" s="30" t="s">
        <v>22</v>
      </c>
      <c r="M71" s="36">
        <f>SUM(M57:M70)</f>
        <v>68.526518315991993</v>
      </c>
      <c r="O71" s="11"/>
      <c r="P71" s="14">
        <v>4</v>
      </c>
      <c r="Q71" s="44">
        <v>1</v>
      </c>
      <c r="R71" s="44">
        <v>9</v>
      </c>
      <c r="S71" s="45">
        <v>50</v>
      </c>
      <c r="T71" s="45">
        <v>25</v>
      </c>
      <c r="U71" s="17">
        <f t="shared" si="42"/>
        <v>12.5</v>
      </c>
      <c r="W71" s="11"/>
      <c r="X71" s="14"/>
      <c r="Y71" s="44">
        <v>1</v>
      </c>
      <c r="Z71" s="44">
        <v>43</v>
      </c>
      <c r="AA71" s="16">
        <f t="shared" ref="AA71:AA72" si="46">1/3*100</f>
        <v>33.333333333333329</v>
      </c>
      <c r="AB71" s="45">
        <v>50</v>
      </c>
      <c r="AC71" s="77">
        <f t="shared" ref="AC71:AC72" si="47">(AA71/100)*AB71</f>
        <v>16.666666666666664</v>
      </c>
      <c r="AE71" s="11"/>
      <c r="AF71" s="14"/>
      <c r="AG71" s="15">
        <v>2</v>
      </c>
      <c r="AH71" s="44">
        <v>44</v>
      </c>
      <c r="AI71" s="16">
        <f>2/9*100</f>
        <v>22.222222222222221</v>
      </c>
      <c r="AJ71" s="33">
        <f>2/16*100</f>
        <v>12.5</v>
      </c>
      <c r="AK71" s="33">
        <f t="shared" si="40"/>
        <v>2.7777777777777777</v>
      </c>
      <c r="AM71" s="48"/>
      <c r="AN71" s="30"/>
      <c r="AO71" s="31">
        <v>1</v>
      </c>
      <c r="AP71" s="31">
        <v>43</v>
      </c>
      <c r="AQ71" s="32">
        <v>50</v>
      </c>
      <c r="AR71" s="36">
        <v>50</v>
      </c>
      <c r="AS71" s="33">
        <f>(AQ71/100)*(AR71)</f>
        <v>25</v>
      </c>
    </row>
    <row r="72" spans="1:45" ht="20" thickBot="1" x14ac:dyDescent="0.3">
      <c r="A72" t="s">
        <v>100</v>
      </c>
      <c r="B72">
        <v>25</v>
      </c>
      <c r="G72" s="11"/>
      <c r="O72" s="11"/>
      <c r="P72" s="30"/>
      <c r="Q72" s="41">
        <v>1</v>
      </c>
      <c r="R72" s="41">
        <v>34</v>
      </c>
      <c r="S72" s="42">
        <v>50</v>
      </c>
      <c r="T72" s="42">
        <f>1/3*200</f>
        <v>66.666666666666657</v>
      </c>
      <c r="U72" s="17">
        <f t="shared" si="42"/>
        <v>33.333333333333329</v>
      </c>
      <c r="W72" s="11"/>
      <c r="X72" s="30"/>
      <c r="Y72" s="41">
        <v>1</v>
      </c>
      <c r="Z72" s="41">
        <v>44</v>
      </c>
      <c r="AA72" s="32">
        <f t="shared" si="46"/>
        <v>33.333333333333329</v>
      </c>
      <c r="AB72" s="32">
        <f>1/16*100</f>
        <v>6.25</v>
      </c>
      <c r="AC72" s="78">
        <f t="shared" si="47"/>
        <v>2.083333333333333</v>
      </c>
      <c r="AE72" s="11"/>
      <c r="AF72" s="14"/>
      <c r="AG72" s="15">
        <v>1</v>
      </c>
      <c r="AH72" s="44">
        <v>46</v>
      </c>
      <c r="AI72" s="16">
        <f t="shared" si="44"/>
        <v>11.111111111111111</v>
      </c>
      <c r="AJ72" s="33">
        <v>50</v>
      </c>
      <c r="AK72" s="33">
        <f t="shared" si="40"/>
        <v>5.5555555555555554</v>
      </c>
      <c r="AM72" s="48"/>
      <c r="AN72" s="14">
        <v>3</v>
      </c>
      <c r="AO72" s="15">
        <v>2</v>
      </c>
      <c r="AP72" s="15">
        <v>24</v>
      </c>
      <c r="AQ72" s="16">
        <v>100</v>
      </c>
      <c r="AR72" s="33">
        <v>20</v>
      </c>
      <c r="AS72" s="33">
        <f t="shared" ref="AS72:AS78" si="48">(AQ72/100)*(AR72)</f>
        <v>20</v>
      </c>
    </row>
    <row r="73" spans="1:45" ht="20" thickBot="1" x14ac:dyDescent="0.3">
      <c r="A73" t="s">
        <v>101</v>
      </c>
      <c r="B73">
        <v>36</v>
      </c>
      <c r="O73" s="11"/>
      <c r="P73" s="18">
        <v>5</v>
      </c>
      <c r="Q73" s="79">
        <v>2</v>
      </c>
      <c r="R73" s="79">
        <v>8</v>
      </c>
      <c r="S73" s="80">
        <v>100</v>
      </c>
      <c r="T73" s="21">
        <f>2/11*100</f>
        <v>18.181818181818183</v>
      </c>
      <c r="U73" s="33">
        <f t="shared" si="42"/>
        <v>18.181818181818183</v>
      </c>
      <c r="W73" s="11"/>
      <c r="X73" s="11"/>
      <c r="Y73" s="11"/>
      <c r="Z73" s="11"/>
      <c r="AA73" s="46"/>
      <c r="AB73" s="47" t="s">
        <v>22</v>
      </c>
      <c r="AC73" s="64">
        <f>SUM(AC40:AC72)</f>
        <v>156.61228404082308</v>
      </c>
      <c r="AE73" s="11"/>
      <c r="AF73" s="30"/>
      <c r="AG73" s="31">
        <v>1</v>
      </c>
      <c r="AH73" s="41">
        <v>55</v>
      </c>
      <c r="AI73" s="32">
        <f t="shared" si="44"/>
        <v>11.111111111111111</v>
      </c>
      <c r="AJ73" s="36">
        <f>1/38*100</f>
        <v>2.6315789473684208</v>
      </c>
      <c r="AK73" s="33">
        <f t="shared" si="40"/>
        <v>0.29239766081871338</v>
      </c>
      <c r="AM73" s="48"/>
      <c r="AN73" s="22">
        <v>4</v>
      </c>
      <c r="AO73" s="23">
        <v>1</v>
      </c>
      <c r="AP73" s="23">
        <v>8</v>
      </c>
      <c r="AQ73" s="24">
        <v>20</v>
      </c>
      <c r="AR73" s="25">
        <f>1/11*100</f>
        <v>9.0909090909090917</v>
      </c>
      <c r="AS73" s="33">
        <f t="shared" si="48"/>
        <v>1.8181818181818183</v>
      </c>
    </row>
    <row r="74" spans="1:45" ht="27" thickBot="1" x14ac:dyDescent="0.35">
      <c r="A74" t="s">
        <v>102</v>
      </c>
      <c r="B74">
        <v>8</v>
      </c>
      <c r="D74" s="81" t="s">
        <v>103</v>
      </c>
      <c r="O74" s="11"/>
      <c r="P74" s="11"/>
      <c r="Q74" s="11"/>
      <c r="R74" s="11"/>
      <c r="S74" s="11"/>
      <c r="T74" s="30" t="s">
        <v>22</v>
      </c>
      <c r="U74" s="36">
        <f>SUM(U64:U73)</f>
        <v>145.10955418850156</v>
      </c>
      <c r="AE74" s="11"/>
      <c r="AF74" s="14">
        <v>5</v>
      </c>
      <c r="AG74" s="15">
        <v>1</v>
      </c>
      <c r="AH74" s="44">
        <v>1</v>
      </c>
      <c r="AI74" s="45">
        <v>25</v>
      </c>
      <c r="AJ74" s="33">
        <f>1/12*100</f>
        <v>8.3333333333333321</v>
      </c>
      <c r="AK74" s="33">
        <f t="shared" si="40"/>
        <v>2.083333333333333</v>
      </c>
      <c r="AM74" s="48"/>
      <c r="AN74" s="14"/>
      <c r="AO74" s="15">
        <v>2</v>
      </c>
      <c r="AP74" s="15">
        <v>33</v>
      </c>
      <c r="AQ74" s="16">
        <v>40</v>
      </c>
      <c r="AR74" s="33">
        <v>40</v>
      </c>
      <c r="AS74" s="33">
        <f t="shared" si="48"/>
        <v>16</v>
      </c>
    </row>
    <row r="75" spans="1:45" ht="43" thickBot="1" x14ac:dyDescent="0.3">
      <c r="A75" t="s">
        <v>104</v>
      </c>
      <c r="B75">
        <v>2</v>
      </c>
      <c r="D75" s="82" t="s">
        <v>105</v>
      </c>
      <c r="E75" s="83" t="s">
        <v>106</v>
      </c>
      <c r="F75" s="84" t="s">
        <v>107</v>
      </c>
      <c r="G75" s="85" t="s">
        <v>7</v>
      </c>
      <c r="O75" s="11"/>
      <c r="AE75" s="11"/>
      <c r="AF75" s="14"/>
      <c r="AG75" s="15">
        <v>1</v>
      </c>
      <c r="AH75" s="44">
        <v>18</v>
      </c>
      <c r="AI75" s="45">
        <v>25</v>
      </c>
      <c r="AJ75" s="33">
        <f>1/6*100</f>
        <v>16.666666666666664</v>
      </c>
      <c r="AK75" s="33">
        <f t="shared" si="40"/>
        <v>4.1666666666666661</v>
      </c>
      <c r="AN75" s="14"/>
      <c r="AO75" s="15">
        <v>1</v>
      </c>
      <c r="AP75" s="15">
        <v>37</v>
      </c>
      <c r="AQ75" s="16">
        <v>20</v>
      </c>
      <c r="AR75" s="33">
        <f>1/6*100</f>
        <v>16.666666666666664</v>
      </c>
      <c r="AS75" s="33">
        <f t="shared" si="48"/>
        <v>3.333333333333333</v>
      </c>
    </row>
    <row r="76" spans="1:45" ht="20" thickBot="1" x14ac:dyDescent="0.3">
      <c r="A76" t="s">
        <v>108</v>
      </c>
      <c r="B76">
        <v>41</v>
      </c>
      <c r="D76" s="86" t="s">
        <v>109</v>
      </c>
      <c r="E76" s="87">
        <v>25</v>
      </c>
      <c r="F76" s="88" t="s">
        <v>110</v>
      </c>
      <c r="G76" s="89">
        <v>66.569999999999993</v>
      </c>
      <c r="O76" s="11"/>
      <c r="W76" s="3" t="s">
        <v>111</v>
      </c>
      <c r="X76" s="4" t="s">
        <v>3</v>
      </c>
      <c r="Y76" s="4" t="s">
        <v>4</v>
      </c>
      <c r="Z76" s="4" t="s">
        <v>0</v>
      </c>
      <c r="AA76" s="4" t="s">
        <v>5</v>
      </c>
      <c r="AB76" s="5" t="s">
        <v>6</v>
      </c>
      <c r="AC76" s="6" t="s">
        <v>7</v>
      </c>
      <c r="AE76" s="11"/>
      <c r="AF76" s="30"/>
      <c r="AG76" s="31">
        <v>2</v>
      </c>
      <c r="AH76" s="41">
        <v>24</v>
      </c>
      <c r="AI76" s="42">
        <v>50</v>
      </c>
      <c r="AJ76" s="36">
        <v>20</v>
      </c>
      <c r="AK76" s="33">
        <f t="shared" si="40"/>
        <v>10</v>
      </c>
      <c r="AM76" s="11"/>
      <c r="AN76" s="14"/>
      <c r="AO76" s="15">
        <v>1</v>
      </c>
      <c r="AP76" s="44">
        <v>44</v>
      </c>
      <c r="AQ76" s="16">
        <v>20</v>
      </c>
      <c r="AR76" s="33">
        <f>1/16*100</f>
        <v>6.25</v>
      </c>
      <c r="AS76" s="33">
        <f t="shared" si="48"/>
        <v>1.25</v>
      </c>
    </row>
    <row r="77" spans="1:45" ht="20" thickBot="1" x14ac:dyDescent="0.3">
      <c r="A77" t="s">
        <v>112</v>
      </c>
      <c r="B77">
        <v>12</v>
      </c>
      <c r="D77" s="14"/>
      <c r="E77" s="90"/>
      <c r="F77" s="91" t="s">
        <v>113</v>
      </c>
      <c r="G77" s="92">
        <v>68.53</v>
      </c>
      <c r="O77" s="11"/>
      <c r="W77" s="11"/>
      <c r="X77" s="22">
        <v>1</v>
      </c>
      <c r="Y77" s="23">
        <v>1</v>
      </c>
      <c r="Z77" s="23">
        <v>5</v>
      </c>
      <c r="AA77" s="23">
        <v>50</v>
      </c>
      <c r="AB77" s="34">
        <v>20</v>
      </c>
      <c r="AC77" s="57">
        <f t="shared" ref="AC77:AC78" si="49">(AA77/100)*(AB77)</f>
        <v>10</v>
      </c>
      <c r="AE77" s="11"/>
      <c r="AF77" s="11"/>
      <c r="AG77" s="11"/>
      <c r="AH77" s="11"/>
      <c r="AI77" s="11"/>
      <c r="AJ77" s="30" t="s">
        <v>22</v>
      </c>
      <c r="AK77" s="36">
        <f>SUM(AK63:AK76)</f>
        <v>158.84746588693955</v>
      </c>
      <c r="AM77" s="11"/>
      <c r="AN77" s="22">
        <v>5</v>
      </c>
      <c r="AO77" s="23">
        <v>1</v>
      </c>
      <c r="AP77" s="39">
        <v>18</v>
      </c>
      <c r="AQ77" s="24">
        <v>50</v>
      </c>
      <c r="AR77" s="25">
        <f>1/6*100</f>
        <v>16.666666666666664</v>
      </c>
      <c r="AS77" s="25">
        <f t="shared" si="48"/>
        <v>8.3333333333333321</v>
      </c>
    </row>
    <row r="78" spans="1:45" ht="20" thickBot="1" x14ac:dyDescent="0.3">
      <c r="A78" t="s">
        <v>114</v>
      </c>
      <c r="B78">
        <v>8</v>
      </c>
      <c r="D78" s="14"/>
      <c r="E78" s="90"/>
      <c r="F78" s="91" t="s">
        <v>115</v>
      </c>
      <c r="G78" s="93" t="s">
        <v>116</v>
      </c>
      <c r="O78" s="11"/>
      <c r="W78" s="11"/>
      <c r="X78" s="14"/>
      <c r="Y78" s="15">
        <v>1</v>
      </c>
      <c r="Z78" s="15">
        <v>10</v>
      </c>
      <c r="AA78" s="15">
        <v>50</v>
      </c>
      <c r="AB78" s="38">
        <v>100</v>
      </c>
      <c r="AC78" s="17">
        <f t="shared" si="49"/>
        <v>50</v>
      </c>
      <c r="AE78" s="11"/>
      <c r="AM78" s="11"/>
      <c r="AN78" s="30"/>
      <c r="AO78" s="31">
        <v>1</v>
      </c>
      <c r="AP78" s="41">
        <v>24</v>
      </c>
      <c r="AQ78" s="32">
        <v>50</v>
      </c>
      <c r="AR78" s="36">
        <v>10</v>
      </c>
      <c r="AS78" s="36">
        <f t="shared" si="48"/>
        <v>5</v>
      </c>
    </row>
    <row r="79" spans="1:45" ht="20" thickBot="1" x14ac:dyDescent="0.3">
      <c r="A79" t="s">
        <v>117</v>
      </c>
      <c r="B79">
        <v>34</v>
      </c>
      <c r="D79" s="14"/>
      <c r="E79" s="94"/>
      <c r="F79" s="95" t="s">
        <v>118</v>
      </c>
      <c r="G79" s="96">
        <v>73.34</v>
      </c>
      <c r="W79" s="11"/>
      <c r="X79" s="22">
        <v>2</v>
      </c>
      <c r="Y79" s="23">
        <v>1</v>
      </c>
      <c r="Z79" s="23">
        <v>7</v>
      </c>
      <c r="AA79" s="24">
        <v>25</v>
      </c>
      <c r="AB79" s="25">
        <f>1/7*100</f>
        <v>14.285714285714285</v>
      </c>
      <c r="AC79" s="33">
        <f>(AA79/100)*(AB79)</f>
        <v>3.5714285714285712</v>
      </c>
      <c r="AE79" s="11"/>
      <c r="AM79" s="11"/>
      <c r="AN79" s="11"/>
      <c r="AO79" s="11"/>
      <c r="AP79" s="11"/>
      <c r="AQ79" s="11"/>
      <c r="AR79" s="30" t="s">
        <v>22</v>
      </c>
      <c r="AS79" s="36">
        <f>SUM(AS69:AS78)</f>
        <v>152.40151515151516</v>
      </c>
    </row>
    <row r="80" spans="1:45" ht="20" thickBot="1" x14ac:dyDescent="0.3">
      <c r="A80" t="s">
        <v>119</v>
      </c>
      <c r="B80">
        <v>45</v>
      </c>
      <c r="D80" s="30"/>
      <c r="E80" s="97"/>
      <c r="F80" s="98" t="s">
        <v>120</v>
      </c>
      <c r="G80" s="99">
        <v>83.03</v>
      </c>
      <c r="W80" s="11"/>
      <c r="X80" s="14"/>
      <c r="Y80" s="15">
        <v>1</v>
      </c>
      <c r="Z80" s="15">
        <v>8</v>
      </c>
      <c r="AA80" s="16">
        <v>25</v>
      </c>
      <c r="AB80" s="33">
        <f>1/11*100</f>
        <v>9.0909090909090917</v>
      </c>
      <c r="AC80" s="33">
        <f t="shared" ref="AC80:AC88" si="50">(AA80/100)*(AB80)</f>
        <v>2.2727272727272729</v>
      </c>
      <c r="AE80" s="3" t="s">
        <v>121</v>
      </c>
      <c r="AF80" s="3" t="s">
        <v>3</v>
      </c>
      <c r="AG80" s="4" t="s">
        <v>4</v>
      </c>
      <c r="AH80" s="4" t="s">
        <v>0</v>
      </c>
      <c r="AI80" s="4" t="s">
        <v>5</v>
      </c>
      <c r="AJ80" s="7" t="s">
        <v>6</v>
      </c>
      <c r="AK80" s="6" t="s">
        <v>7</v>
      </c>
      <c r="AM80" s="11"/>
    </row>
    <row r="81" spans="1:37" ht="20" thickBot="1" x14ac:dyDescent="0.3">
      <c r="A81" t="s">
        <v>122</v>
      </c>
      <c r="B81">
        <v>55</v>
      </c>
      <c r="D81" s="54"/>
      <c r="E81" s="100">
        <v>50</v>
      </c>
      <c r="F81" s="91" t="s">
        <v>110</v>
      </c>
      <c r="G81" s="92">
        <v>153.16</v>
      </c>
      <c r="W81" s="11"/>
      <c r="X81" s="14"/>
      <c r="Y81" s="15">
        <v>1</v>
      </c>
      <c r="Z81" s="15">
        <v>33</v>
      </c>
      <c r="AA81" s="16">
        <v>25</v>
      </c>
      <c r="AB81" s="33">
        <f>1/5*100</f>
        <v>20</v>
      </c>
      <c r="AC81" s="33">
        <f t="shared" si="50"/>
        <v>5</v>
      </c>
      <c r="AE81" s="48"/>
      <c r="AF81" s="22">
        <v>1</v>
      </c>
      <c r="AG81" s="23">
        <v>2</v>
      </c>
      <c r="AH81" s="23">
        <v>22</v>
      </c>
      <c r="AI81" s="23">
        <v>100</v>
      </c>
      <c r="AJ81" s="34">
        <f>2/3*100</f>
        <v>66.666666666666657</v>
      </c>
      <c r="AK81" s="57">
        <f t="shared" ref="AK81:AK82" si="51">(AI81/100)*(AJ81)</f>
        <v>66.666666666666657</v>
      </c>
    </row>
    <row r="82" spans="1:37" ht="20" thickBot="1" x14ac:dyDescent="0.3">
      <c r="A82" t="s">
        <v>123</v>
      </c>
      <c r="B82">
        <v>48</v>
      </c>
      <c r="D82" s="54"/>
      <c r="E82" s="100"/>
      <c r="F82" s="91" t="s">
        <v>113</v>
      </c>
      <c r="G82" s="92">
        <v>121.06</v>
      </c>
      <c r="W82" s="11"/>
      <c r="X82" s="30"/>
      <c r="Y82" s="31">
        <v>1</v>
      </c>
      <c r="Z82" s="31">
        <v>49</v>
      </c>
      <c r="AA82" s="32">
        <v>25</v>
      </c>
      <c r="AB82" s="36">
        <f>1/3*100</f>
        <v>33.333333333333329</v>
      </c>
      <c r="AC82" s="33">
        <f t="shared" si="50"/>
        <v>8.3333333333333321</v>
      </c>
      <c r="AE82" s="48"/>
      <c r="AF82" s="22">
        <v>2</v>
      </c>
      <c r="AG82" s="23">
        <v>1</v>
      </c>
      <c r="AH82" s="23">
        <v>18</v>
      </c>
      <c r="AI82" s="23">
        <v>50</v>
      </c>
      <c r="AJ82" s="34">
        <f>1/6*100</f>
        <v>16.666666666666664</v>
      </c>
      <c r="AK82" s="33">
        <f t="shared" si="51"/>
        <v>8.3333333333333321</v>
      </c>
    </row>
    <row r="83" spans="1:37" ht="20" thickBot="1" x14ac:dyDescent="0.3">
      <c r="A83" t="s">
        <v>124</v>
      </c>
      <c r="B83">
        <v>39</v>
      </c>
      <c r="D83" s="54"/>
      <c r="E83" s="100"/>
      <c r="F83" s="91" t="s">
        <v>115</v>
      </c>
      <c r="G83" s="92">
        <v>145.11000000000001</v>
      </c>
      <c r="W83" s="11"/>
      <c r="X83" s="18">
        <v>3</v>
      </c>
      <c r="Y83" s="19">
        <v>2</v>
      </c>
      <c r="Z83" s="19">
        <v>8</v>
      </c>
      <c r="AA83" s="20">
        <v>100</v>
      </c>
      <c r="AB83" s="21">
        <f>2/11*100</f>
        <v>18.181818181818183</v>
      </c>
      <c r="AC83" s="17">
        <f t="shared" si="50"/>
        <v>18.181818181818183</v>
      </c>
      <c r="AE83" s="48"/>
      <c r="AF83" s="30"/>
      <c r="AG83" s="31">
        <v>1</v>
      </c>
      <c r="AH83" s="31">
        <v>24</v>
      </c>
      <c r="AI83" s="32">
        <v>50</v>
      </c>
      <c r="AJ83" s="36">
        <v>10</v>
      </c>
      <c r="AK83" s="33">
        <f>(AI83/100)*(AJ83)</f>
        <v>5</v>
      </c>
    </row>
    <row r="84" spans="1:37" ht="19" x14ac:dyDescent="0.25">
      <c r="A84" t="s">
        <v>125</v>
      </c>
      <c r="B84">
        <v>37</v>
      </c>
      <c r="D84" s="54"/>
      <c r="E84" s="101"/>
      <c r="F84" s="95" t="s">
        <v>118</v>
      </c>
      <c r="G84" s="96">
        <v>99.25</v>
      </c>
      <c r="W84" s="11"/>
      <c r="X84" s="14">
        <v>4</v>
      </c>
      <c r="Y84" s="15">
        <v>1</v>
      </c>
      <c r="Z84" s="44">
        <v>9</v>
      </c>
      <c r="AA84" s="45">
        <f>1/3*100</f>
        <v>33.333333333333329</v>
      </c>
      <c r="AB84" s="33">
        <v>25</v>
      </c>
      <c r="AC84" s="17">
        <f t="shared" si="50"/>
        <v>8.3333333333333321</v>
      </c>
      <c r="AE84" s="48"/>
      <c r="AF84" s="14">
        <v>3</v>
      </c>
      <c r="AG84" s="15">
        <v>1</v>
      </c>
      <c r="AH84" s="15">
        <v>13</v>
      </c>
      <c r="AI84" s="16">
        <v>50</v>
      </c>
      <c r="AJ84" s="33">
        <v>10</v>
      </c>
      <c r="AK84" s="17">
        <f t="shared" ref="AK84:AK94" si="52">(AI84/100)*(AJ84)</f>
        <v>5</v>
      </c>
    </row>
    <row r="85" spans="1:37" ht="20" thickBot="1" x14ac:dyDescent="0.3">
      <c r="A85" t="s">
        <v>126</v>
      </c>
      <c r="B85">
        <v>24</v>
      </c>
      <c r="D85" s="60"/>
      <c r="E85" s="102"/>
      <c r="F85" s="103" t="s">
        <v>120</v>
      </c>
      <c r="G85" s="104">
        <v>84.31</v>
      </c>
      <c r="W85" s="11"/>
      <c r="X85" s="14"/>
      <c r="Y85" s="15">
        <v>2</v>
      </c>
      <c r="Z85" s="44">
        <v>34</v>
      </c>
      <c r="AA85" s="45">
        <f>2/3*100</f>
        <v>66.666666666666657</v>
      </c>
      <c r="AB85" s="33">
        <f>2/3*100</f>
        <v>66.666666666666657</v>
      </c>
      <c r="AC85" s="17">
        <f t="shared" si="50"/>
        <v>44.444444444444429</v>
      </c>
      <c r="AE85" s="48"/>
      <c r="AF85" s="14"/>
      <c r="AG85" s="15">
        <v>1</v>
      </c>
      <c r="AH85" s="15">
        <v>44</v>
      </c>
      <c r="AI85" s="16">
        <v>50</v>
      </c>
      <c r="AJ85" s="33">
        <v>16</v>
      </c>
      <c r="AK85" s="17">
        <f t="shared" si="52"/>
        <v>8</v>
      </c>
    </row>
    <row r="86" spans="1:37" ht="19" x14ac:dyDescent="0.25">
      <c r="A86" t="s">
        <v>127</v>
      </c>
      <c r="B86">
        <v>47</v>
      </c>
      <c r="D86" s="51"/>
      <c r="E86" s="105">
        <v>100</v>
      </c>
      <c r="F86" s="88" t="s">
        <v>110</v>
      </c>
      <c r="G86" s="89">
        <v>182.60613655350494</v>
      </c>
      <c r="W86" s="11"/>
      <c r="X86" s="22">
        <v>5</v>
      </c>
      <c r="Y86" s="23">
        <v>1</v>
      </c>
      <c r="Z86" s="39">
        <v>5</v>
      </c>
      <c r="AA86" s="40">
        <f>1/3*100</f>
        <v>33.333333333333329</v>
      </c>
      <c r="AB86" s="25">
        <v>20</v>
      </c>
      <c r="AC86" s="33">
        <f t="shared" si="50"/>
        <v>6.6666666666666652</v>
      </c>
      <c r="AE86" s="48"/>
      <c r="AF86" s="22">
        <v>4</v>
      </c>
      <c r="AG86" s="23">
        <v>1</v>
      </c>
      <c r="AH86" s="23">
        <v>4</v>
      </c>
      <c r="AI86" s="24">
        <v>50</v>
      </c>
      <c r="AJ86" s="25">
        <v>50</v>
      </c>
      <c r="AK86" s="33">
        <f t="shared" si="52"/>
        <v>25</v>
      </c>
    </row>
    <row r="87" spans="1:37" ht="20" thickBot="1" x14ac:dyDescent="0.3">
      <c r="A87" t="s">
        <v>128</v>
      </c>
      <c r="B87">
        <v>43</v>
      </c>
      <c r="D87" s="54"/>
      <c r="E87" s="100"/>
      <c r="F87" s="91" t="s">
        <v>113</v>
      </c>
      <c r="G87" s="92">
        <v>178.23</v>
      </c>
      <c r="W87" s="11"/>
      <c r="X87" s="14"/>
      <c r="Y87" s="15">
        <v>1</v>
      </c>
      <c r="Z87" s="44">
        <v>41</v>
      </c>
      <c r="AA87" s="45">
        <f t="shared" ref="AA87:AA88" si="53">1/3*100</f>
        <v>33.333333333333329</v>
      </c>
      <c r="AB87" s="33">
        <v>50</v>
      </c>
      <c r="AC87" s="33">
        <f t="shared" si="50"/>
        <v>16.666666666666664</v>
      </c>
      <c r="AF87" s="14"/>
      <c r="AG87" s="15">
        <v>1</v>
      </c>
      <c r="AH87" s="15">
        <v>24</v>
      </c>
      <c r="AI87" s="16">
        <v>50</v>
      </c>
      <c r="AJ87" s="33">
        <v>10</v>
      </c>
      <c r="AK87" s="33">
        <f t="shared" si="52"/>
        <v>5</v>
      </c>
    </row>
    <row r="88" spans="1:37" ht="20" thickBot="1" x14ac:dyDescent="0.3">
      <c r="A88" t="s">
        <v>129</v>
      </c>
      <c r="B88">
        <v>15</v>
      </c>
      <c r="D88" s="54"/>
      <c r="E88" s="100"/>
      <c r="F88" s="91" t="s">
        <v>115</v>
      </c>
      <c r="G88" s="92">
        <v>166.26</v>
      </c>
      <c r="W88" s="11"/>
      <c r="X88" s="30"/>
      <c r="Y88" s="31">
        <v>1</v>
      </c>
      <c r="Z88" s="41">
        <v>7</v>
      </c>
      <c r="AA88" s="42">
        <f t="shared" si="53"/>
        <v>33.333333333333329</v>
      </c>
      <c r="AB88" s="36">
        <f>1/7*100</f>
        <v>14.285714285714285</v>
      </c>
      <c r="AC88" s="33">
        <f t="shared" si="50"/>
        <v>4.7619047619047601</v>
      </c>
      <c r="AE88" s="11"/>
      <c r="AF88" s="22">
        <v>5</v>
      </c>
      <c r="AG88" s="23">
        <v>1</v>
      </c>
      <c r="AH88" s="39">
        <v>1</v>
      </c>
      <c r="AI88" s="24">
        <f>1/9*100</f>
        <v>11.111111111111111</v>
      </c>
      <c r="AJ88" s="25">
        <f>1/12*200</f>
        <v>16.666666666666664</v>
      </c>
      <c r="AK88" s="33">
        <f t="shared" si="52"/>
        <v>1.8518518518518514</v>
      </c>
    </row>
    <row r="89" spans="1:37" ht="20" thickBot="1" x14ac:dyDescent="0.3">
      <c r="A89" t="s">
        <v>130</v>
      </c>
      <c r="B89">
        <v>8</v>
      </c>
      <c r="D89" s="54"/>
      <c r="E89" s="101"/>
      <c r="F89" s="95" t="s">
        <v>118</v>
      </c>
      <c r="G89" s="96">
        <v>147.77000000000001</v>
      </c>
      <c r="W89" s="11"/>
      <c r="X89" s="11"/>
      <c r="Y89" s="11"/>
      <c r="Z89" s="11"/>
      <c r="AA89" s="11"/>
      <c r="AB89" s="30" t="s">
        <v>22</v>
      </c>
      <c r="AC89" s="36">
        <f>SUM(AC77:AC88)</f>
        <v>178.23232323232318</v>
      </c>
      <c r="AE89" s="11"/>
      <c r="AF89" s="14"/>
      <c r="AG89" s="15">
        <v>2</v>
      </c>
      <c r="AH89" s="44">
        <v>7</v>
      </c>
      <c r="AI89" s="16">
        <f t="shared" ref="AI89:AI94" si="54">1/9*100</f>
        <v>11.111111111111111</v>
      </c>
      <c r="AJ89" s="33">
        <f>2/7*100</f>
        <v>28.571428571428569</v>
      </c>
      <c r="AK89" s="33">
        <f t="shared" si="52"/>
        <v>3.174603174603174</v>
      </c>
    </row>
    <row r="90" spans="1:37" ht="20" thickBot="1" x14ac:dyDescent="0.3">
      <c r="A90" t="s">
        <v>131</v>
      </c>
      <c r="B90">
        <v>1</v>
      </c>
      <c r="D90" s="60"/>
      <c r="E90" s="106"/>
      <c r="F90" s="98" t="s">
        <v>120</v>
      </c>
      <c r="G90" s="99">
        <v>156.61000000000001</v>
      </c>
      <c r="W90" s="11"/>
      <c r="AE90" s="11"/>
      <c r="AF90" s="14"/>
      <c r="AG90" s="15">
        <v>2</v>
      </c>
      <c r="AH90" s="44">
        <v>8</v>
      </c>
      <c r="AI90" s="16">
        <f t="shared" si="54"/>
        <v>11.111111111111111</v>
      </c>
      <c r="AJ90" s="33">
        <f>2/11*100</f>
        <v>18.181818181818183</v>
      </c>
      <c r="AK90" s="33">
        <f t="shared" si="52"/>
        <v>2.0202020202020203</v>
      </c>
    </row>
    <row r="91" spans="1:37" ht="20" thickBot="1" x14ac:dyDescent="0.3">
      <c r="A91" t="s">
        <v>132</v>
      </c>
      <c r="B91">
        <v>33</v>
      </c>
      <c r="D91" s="51"/>
      <c r="E91" s="100">
        <v>150</v>
      </c>
      <c r="F91" s="91" t="s">
        <v>110</v>
      </c>
      <c r="G91" s="92">
        <v>163.56</v>
      </c>
      <c r="W91" s="11"/>
      <c r="AE91" s="11"/>
      <c r="AF91" s="14"/>
      <c r="AG91" s="15">
        <v>1</v>
      </c>
      <c r="AH91" s="44">
        <v>33</v>
      </c>
      <c r="AI91" s="16">
        <f t="shared" si="54"/>
        <v>11.111111111111111</v>
      </c>
      <c r="AJ91" s="33">
        <f>1/5*100</f>
        <v>20</v>
      </c>
      <c r="AK91" s="33">
        <f t="shared" si="52"/>
        <v>2.2222222222222223</v>
      </c>
    </row>
    <row r="92" spans="1:37" ht="20" thickBot="1" x14ac:dyDescent="0.3">
      <c r="A92" t="s">
        <v>133</v>
      </c>
      <c r="B92">
        <v>44</v>
      </c>
      <c r="D92" s="54"/>
      <c r="E92" s="100"/>
      <c r="F92" s="91" t="s">
        <v>113</v>
      </c>
      <c r="G92" s="92">
        <v>158.85</v>
      </c>
      <c r="W92" s="3" t="s">
        <v>134</v>
      </c>
      <c r="X92" s="3" t="s">
        <v>3</v>
      </c>
      <c r="Y92" s="4" t="s">
        <v>4</v>
      </c>
      <c r="Z92" s="4" t="s">
        <v>0</v>
      </c>
      <c r="AA92" s="4" t="s">
        <v>5</v>
      </c>
      <c r="AB92" s="7" t="s">
        <v>6</v>
      </c>
      <c r="AC92" s="6" t="s">
        <v>7</v>
      </c>
      <c r="AE92" s="11"/>
      <c r="AF92" s="14"/>
      <c r="AG92" s="15">
        <v>1</v>
      </c>
      <c r="AH92" s="44">
        <v>34</v>
      </c>
      <c r="AI92" s="16">
        <f t="shared" si="54"/>
        <v>11.111111111111111</v>
      </c>
      <c r="AJ92" s="33">
        <f>1/3*100</f>
        <v>33.333333333333329</v>
      </c>
      <c r="AK92" s="33">
        <f t="shared" si="52"/>
        <v>3.7037037037037028</v>
      </c>
    </row>
    <row r="93" spans="1:37" ht="19" x14ac:dyDescent="0.25">
      <c r="A93" t="s">
        <v>135</v>
      </c>
      <c r="B93">
        <v>33</v>
      </c>
      <c r="D93" s="54"/>
      <c r="E93" s="100"/>
      <c r="F93" s="91" t="s">
        <v>115</v>
      </c>
      <c r="G93" s="92">
        <v>143.38</v>
      </c>
      <c r="W93" s="48"/>
      <c r="X93" s="22">
        <v>1</v>
      </c>
      <c r="Y93" s="23">
        <v>1</v>
      </c>
      <c r="Z93" s="23">
        <v>5</v>
      </c>
      <c r="AA93" s="23">
        <v>50</v>
      </c>
      <c r="AB93" s="34">
        <v>20</v>
      </c>
      <c r="AC93" s="57">
        <f t="shared" ref="AC93:AC94" si="55">(AA93/100)*(AB93)</f>
        <v>10</v>
      </c>
      <c r="AE93" s="11"/>
      <c r="AF93" s="14"/>
      <c r="AG93" s="15">
        <v>1</v>
      </c>
      <c r="AH93" s="44">
        <v>49</v>
      </c>
      <c r="AI93" s="16">
        <f t="shared" si="54"/>
        <v>11.111111111111111</v>
      </c>
      <c r="AJ93" s="33">
        <f>1/3*100</f>
        <v>33.333333333333329</v>
      </c>
      <c r="AK93" s="33">
        <f t="shared" si="52"/>
        <v>3.7037037037037028</v>
      </c>
    </row>
    <row r="94" spans="1:37" ht="20" thickBot="1" x14ac:dyDescent="0.3">
      <c r="A94" t="s">
        <v>136</v>
      </c>
      <c r="B94">
        <v>28</v>
      </c>
      <c r="D94" s="54"/>
      <c r="E94" s="101"/>
      <c r="F94" s="95" t="s">
        <v>118</v>
      </c>
      <c r="G94" s="96">
        <v>147.12150750000001</v>
      </c>
      <c r="W94" s="48"/>
      <c r="X94" s="30"/>
      <c r="Y94" s="31">
        <v>1</v>
      </c>
      <c r="Z94" s="31">
        <v>10</v>
      </c>
      <c r="AA94" s="31">
        <v>50</v>
      </c>
      <c r="AB94" s="37">
        <v>100</v>
      </c>
      <c r="AC94" s="17">
        <f t="shared" si="55"/>
        <v>50</v>
      </c>
      <c r="AE94" s="11"/>
      <c r="AF94" s="30"/>
      <c r="AG94" s="31">
        <v>1</v>
      </c>
      <c r="AH94" s="41">
        <v>54</v>
      </c>
      <c r="AI94" s="32">
        <f t="shared" si="54"/>
        <v>11.111111111111111</v>
      </c>
      <c r="AJ94" s="36">
        <f>1/3*100</f>
        <v>33.333333333333329</v>
      </c>
      <c r="AK94" s="33">
        <f t="shared" si="52"/>
        <v>3.7037037037037028</v>
      </c>
    </row>
    <row r="95" spans="1:37" ht="20" thickBot="1" x14ac:dyDescent="0.3">
      <c r="A95" t="s">
        <v>137</v>
      </c>
      <c r="B95">
        <v>15</v>
      </c>
      <c r="D95" s="60"/>
      <c r="E95" s="106"/>
      <c r="F95" s="98" t="s">
        <v>120</v>
      </c>
      <c r="G95" s="99">
        <v>103.6932941</v>
      </c>
      <c r="W95" s="48"/>
      <c r="X95" s="14">
        <v>2</v>
      </c>
      <c r="Y95" s="15">
        <v>1</v>
      </c>
      <c r="Z95" s="15">
        <v>1</v>
      </c>
      <c r="AA95" s="16">
        <v>25</v>
      </c>
      <c r="AB95" s="33">
        <f>1/12*100</f>
        <v>8.3333333333333321</v>
      </c>
      <c r="AC95" s="17">
        <f>(AA95/100)*(AB95)</f>
        <v>2.083333333333333</v>
      </c>
      <c r="AE95" s="11"/>
      <c r="AF95" s="11"/>
      <c r="AG95" s="11"/>
      <c r="AH95" s="11"/>
      <c r="AI95" s="11"/>
      <c r="AJ95" s="30" t="s">
        <v>22</v>
      </c>
      <c r="AK95" s="36">
        <f>SUM(AK81:AK94)</f>
        <v>143.37999037999035</v>
      </c>
    </row>
    <row r="96" spans="1:37" ht="19" x14ac:dyDescent="0.25">
      <c r="A96" t="s">
        <v>138</v>
      </c>
      <c r="B96">
        <v>49</v>
      </c>
      <c r="D96" s="51"/>
      <c r="E96" s="105">
        <v>200</v>
      </c>
      <c r="F96" s="88" t="s">
        <v>110</v>
      </c>
      <c r="G96" s="89">
        <v>162.43096170000001</v>
      </c>
      <c r="W96" s="48"/>
      <c r="X96" s="14"/>
      <c r="Y96" s="15">
        <v>1</v>
      </c>
      <c r="Z96" s="15">
        <v>9</v>
      </c>
      <c r="AA96" s="16">
        <v>25</v>
      </c>
      <c r="AB96" s="33">
        <v>25</v>
      </c>
      <c r="AC96" s="17">
        <f t="shared" ref="AC96:AC111" si="56">(AA96/100)*(AB96)</f>
        <v>6.25</v>
      </c>
    </row>
    <row r="97" spans="1:29" ht="20" thickBot="1" x14ac:dyDescent="0.3">
      <c r="A97" t="s">
        <v>139</v>
      </c>
      <c r="B97">
        <v>49</v>
      </c>
      <c r="D97" s="54"/>
      <c r="E97" s="100"/>
      <c r="F97" s="91" t="s">
        <v>113</v>
      </c>
      <c r="G97" s="92">
        <v>164.57</v>
      </c>
      <c r="W97" s="48"/>
      <c r="X97" s="14"/>
      <c r="Y97" s="15">
        <v>2</v>
      </c>
      <c r="Z97" s="15">
        <v>55</v>
      </c>
      <c r="AA97" s="16">
        <v>50</v>
      </c>
      <c r="AB97" s="33">
        <f>2/38*100</f>
        <v>5.2631578947368416</v>
      </c>
      <c r="AC97" s="17">
        <f t="shared" si="56"/>
        <v>2.6315789473684208</v>
      </c>
    </row>
    <row r="98" spans="1:29" ht="19" x14ac:dyDescent="0.25">
      <c r="A98" t="s">
        <v>140</v>
      </c>
      <c r="B98">
        <v>52</v>
      </c>
      <c r="D98" s="54"/>
      <c r="E98" s="100"/>
      <c r="F98" s="91" t="s">
        <v>115</v>
      </c>
      <c r="G98" s="92">
        <v>152.4</v>
      </c>
      <c r="W98" s="48"/>
      <c r="X98" s="22">
        <v>3</v>
      </c>
      <c r="Y98" s="23">
        <v>1</v>
      </c>
      <c r="Z98" s="23">
        <v>7</v>
      </c>
      <c r="AA98" s="24">
        <v>20</v>
      </c>
      <c r="AB98" s="25">
        <f>1/7*100</f>
        <v>14.285714285714285</v>
      </c>
      <c r="AC98" s="17">
        <f t="shared" si="56"/>
        <v>2.8571428571428572</v>
      </c>
    </row>
    <row r="99" spans="1:29" ht="19" x14ac:dyDescent="0.25">
      <c r="A99" t="s">
        <v>141</v>
      </c>
      <c r="B99">
        <v>5</v>
      </c>
      <c r="D99" s="54"/>
      <c r="E99" s="101"/>
      <c r="F99" s="95" t="s">
        <v>118</v>
      </c>
      <c r="G99" s="96">
        <v>144.56</v>
      </c>
      <c r="X99" s="14"/>
      <c r="Y99" s="15">
        <v>2</v>
      </c>
      <c r="Z99" s="15">
        <v>8</v>
      </c>
      <c r="AA99" s="16">
        <v>40</v>
      </c>
      <c r="AB99" s="33">
        <f>1/11*100</f>
        <v>9.0909090909090917</v>
      </c>
      <c r="AC99" s="17">
        <f t="shared" si="56"/>
        <v>3.6363636363636367</v>
      </c>
    </row>
    <row r="100" spans="1:29" ht="20" thickBot="1" x14ac:dyDescent="0.3">
      <c r="A100" t="s">
        <v>142</v>
      </c>
      <c r="B100">
        <v>55</v>
      </c>
      <c r="D100" s="60"/>
      <c r="E100" s="106"/>
      <c r="F100" s="98" t="s">
        <v>120</v>
      </c>
      <c r="G100" s="99">
        <v>120.41</v>
      </c>
      <c r="W100" s="11"/>
      <c r="X100" s="14"/>
      <c r="Y100" s="15">
        <v>1</v>
      </c>
      <c r="Z100" s="44">
        <v>33</v>
      </c>
      <c r="AA100" s="45">
        <v>20</v>
      </c>
      <c r="AB100" s="33">
        <v>20</v>
      </c>
      <c r="AC100" s="17">
        <f t="shared" si="56"/>
        <v>4</v>
      </c>
    </row>
    <row r="101" spans="1:29" ht="20" thickBot="1" x14ac:dyDescent="0.3">
      <c r="A101" t="s">
        <v>143</v>
      </c>
      <c r="B101">
        <v>55</v>
      </c>
      <c r="W101" s="11"/>
      <c r="X101" s="30"/>
      <c r="Y101" s="31">
        <v>1</v>
      </c>
      <c r="Z101" s="41">
        <v>49</v>
      </c>
      <c r="AA101" s="42">
        <v>20</v>
      </c>
      <c r="AB101" s="36">
        <f>1/3*100</f>
        <v>33.333333333333329</v>
      </c>
      <c r="AC101" s="17">
        <f t="shared" si="56"/>
        <v>6.6666666666666661</v>
      </c>
    </row>
    <row r="102" spans="1:29" ht="19" x14ac:dyDescent="0.25">
      <c r="A102" t="s">
        <v>144</v>
      </c>
      <c r="B102">
        <v>22</v>
      </c>
      <c r="W102" s="11"/>
      <c r="X102" s="14">
        <v>4</v>
      </c>
      <c r="Y102" s="15">
        <v>1</v>
      </c>
      <c r="Z102" s="44">
        <v>16</v>
      </c>
      <c r="AA102" s="45">
        <f>1/3*100</f>
        <v>33.333333333333329</v>
      </c>
      <c r="AB102" s="33">
        <f>1/9*100</f>
        <v>11.111111111111111</v>
      </c>
      <c r="AC102" s="17">
        <f t="shared" si="56"/>
        <v>3.7037037037037028</v>
      </c>
    </row>
    <row r="103" spans="1:29" ht="19" x14ac:dyDescent="0.25">
      <c r="A103" t="s">
        <v>145</v>
      </c>
      <c r="B103">
        <v>44</v>
      </c>
      <c r="W103" s="11"/>
      <c r="X103" s="14"/>
      <c r="Y103" s="15">
        <v>1</v>
      </c>
      <c r="Z103" s="44">
        <v>18</v>
      </c>
      <c r="AA103" s="45">
        <f t="shared" ref="AA103:AA104" si="57">1/3*100</f>
        <v>33.333333333333329</v>
      </c>
      <c r="AB103" s="33">
        <f>1/6*100</f>
        <v>16.666666666666664</v>
      </c>
      <c r="AC103" s="17">
        <f t="shared" si="56"/>
        <v>5.5555555555555536</v>
      </c>
    </row>
    <row r="104" spans="1:29" ht="20" thickBot="1" x14ac:dyDescent="0.3">
      <c r="A104" t="s">
        <v>146</v>
      </c>
      <c r="B104">
        <v>8</v>
      </c>
      <c r="W104" s="11"/>
      <c r="X104" s="30"/>
      <c r="Y104" s="31">
        <v>1</v>
      </c>
      <c r="Z104" s="41">
        <v>27</v>
      </c>
      <c r="AA104" s="45">
        <f t="shared" si="57"/>
        <v>33.333333333333329</v>
      </c>
      <c r="AB104" s="36">
        <v>100</v>
      </c>
      <c r="AC104" s="17">
        <f t="shared" si="56"/>
        <v>33.333333333333329</v>
      </c>
    </row>
    <row r="105" spans="1:29" ht="19" x14ac:dyDescent="0.25">
      <c r="A105" t="s">
        <v>147</v>
      </c>
      <c r="B105">
        <v>18</v>
      </c>
      <c r="W105" s="11"/>
      <c r="X105" s="22">
        <v>5</v>
      </c>
      <c r="Y105" s="23">
        <v>3</v>
      </c>
      <c r="Z105" s="39">
        <v>37</v>
      </c>
      <c r="AA105" s="40">
        <v>30</v>
      </c>
      <c r="AB105" s="25">
        <f>3/6*100</f>
        <v>50</v>
      </c>
      <c r="AC105" s="17">
        <f t="shared" si="56"/>
        <v>15</v>
      </c>
    </row>
    <row r="106" spans="1:29" ht="19" x14ac:dyDescent="0.25">
      <c r="A106" t="s">
        <v>148</v>
      </c>
      <c r="B106">
        <v>50</v>
      </c>
      <c r="W106" s="11"/>
      <c r="X106" s="14"/>
      <c r="Y106" s="15">
        <v>2</v>
      </c>
      <c r="Z106" s="44">
        <v>44</v>
      </c>
      <c r="AA106" s="45">
        <v>20</v>
      </c>
      <c r="AB106" s="33">
        <f>2/16*100</f>
        <v>12.5</v>
      </c>
      <c r="AC106" s="17">
        <f t="shared" si="56"/>
        <v>2.5</v>
      </c>
    </row>
    <row r="107" spans="1:29" ht="19" x14ac:dyDescent="0.25">
      <c r="A107" t="s">
        <v>149</v>
      </c>
      <c r="B107">
        <v>44</v>
      </c>
      <c r="W107" s="11"/>
      <c r="X107" s="14"/>
      <c r="Y107" s="15">
        <v>1</v>
      </c>
      <c r="Z107" s="44">
        <v>46</v>
      </c>
      <c r="AA107" s="45">
        <v>10</v>
      </c>
      <c r="AB107" s="33">
        <v>50</v>
      </c>
      <c r="AC107" s="17">
        <f t="shared" si="56"/>
        <v>5</v>
      </c>
    </row>
    <row r="108" spans="1:29" ht="19" x14ac:dyDescent="0.25">
      <c r="A108" t="s">
        <v>150</v>
      </c>
      <c r="B108">
        <v>55</v>
      </c>
      <c r="W108" s="11"/>
      <c r="X108" s="14"/>
      <c r="Y108" s="15">
        <v>1</v>
      </c>
      <c r="Z108" s="44">
        <v>16</v>
      </c>
      <c r="AA108" s="45">
        <v>10</v>
      </c>
      <c r="AB108" s="33">
        <f>1/9*100</f>
        <v>11.111111111111111</v>
      </c>
      <c r="AC108" s="17">
        <f t="shared" si="56"/>
        <v>1.1111111111111112</v>
      </c>
    </row>
    <row r="109" spans="1:29" ht="19" x14ac:dyDescent="0.25">
      <c r="A109" t="s">
        <v>151</v>
      </c>
      <c r="B109">
        <v>55</v>
      </c>
      <c r="W109" s="11"/>
      <c r="X109" s="14"/>
      <c r="Y109" s="15">
        <v>1</v>
      </c>
      <c r="Z109" s="44">
        <v>18</v>
      </c>
      <c r="AA109" s="45">
        <v>10</v>
      </c>
      <c r="AB109" s="33">
        <f>1/6*100</f>
        <v>16.666666666666664</v>
      </c>
      <c r="AC109" s="17">
        <f t="shared" si="56"/>
        <v>1.6666666666666665</v>
      </c>
    </row>
    <row r="110" spans="1:29" ht="19" x14ac:dyDescent="0.25">
      <c r="A110" t="s">
        <v>152</v>
      </c>
      <c r="B110">
        <v>55</v>
      </c>
      <c r="W110" s="11"/>
      <c r="X110" s="14"/>
      <c r="Y110" s="15">
        <v>1</v>
      </c>
      <c r="Z110" s="44">
        <v>27</v>
      </c>
      <c r="AA110" s="45">
        <v>10</v>
      </c>
      <c r="AB110" s="33">
        <v>100</v>
      </c>
      <c r="AC110" s="17">
        <f t="shared" si="56"/>
        <v>10</v>
      </c>
    </row>
    <row r="111" spans="1:29" ht="20" thickBot="1" x14ac:dyDescent="0.3">
      <c r="A111" t="s">
        <v>153</v>
      </c>
      <c r="B111">
        <v>53</v>
      </c>
      <c r="W111" s="11"/>
      <c r="X111" s="30"/>
      <c r="Y111" s="31">
        <v>1</v>
      </c>
      <c r="Z111" s="41">
        <v>55</v>
      </c>
      <c r="AA111" s="42">
        <v>10</v>
      </c>
      <c r="AB111" s="36">
        <f>1/38*100</f>
        <v>2.6315789473684208</v>
      </c>
      <c r="AC111" s="43">
        <f t="shared" si="56"/>
        <v>0.26315789473684209</v>
      </c>
    </row>
    <row r="112" spans="1:29" ht="20" thickBot="1" x14ac:dyDescent="0.3">
      <c r="A112" t="s">
        <v>154</v>
      </c>
      <c r="B112">
        <v>14</v>
      </c>
      <c r="W112" s="11"/>
      <c r="X112" s="11"/>
      <c r="Y112" s="11"/>
      <c r="Z112" s="11"/>
      <c r="AA112" s="11"/>
      <c r="AB112" s="30" t="s">
        <v>22</v>
      </c>
      <c r="AC112" s="36">
        <f>SUM(AC93:AC111)</f>
        <v>166.25861370598216</v>
      </c>
    </row>
    <row r="113" spans="1:31" x14ac:dyDescent="0.2">
      <c r="A113" t="s">
        <v>155</v>
      </c>
      <c r="B113">
        <v>14</v>
      </c>
    </row>
    <row r="114" spans="1:31" x14ac:dyDescent="0.2">
      <c r="A114" t="s">
        <v>156</v>
      </c>
      <c r="B114">
        <v>50</v>
      </c>
    </row>
    <row r="115" spans="1:31" x14ac:dyDescent="0.2">
      <c r="A115" t="s">
        <v>157</v>
      </c>
      <c r="B115">
        <v>13</v>
      </c>
    </row>
    <row r="116" spans="1:31" x14ac:dyDescent="0.2">
      <c r="A116" t="s">
        <v>158</v>
      </c>
      <c r="B116">
        <v>55</v>
      </c>
    </row>
    <row r="117" spans="1:31" x14ac:dyDescent="0.2">
      <c r="A117" t="s">
        <v>159</v>
      </c>
      <c r="B117">
        <v>15</v>
      </c>
    </row>
    <row r="118" spans="1:31" x14ac:dyDescent="0.2">
      <c r="A118" t="s">
        <v>160</v>
      </c>
      <c r="B118">
        <v>7</v>
      </c>
      <c r="W118" s="48"/>
    </row>
    <row r="119" spans="1:31" x14ac:dyDescent="0.2">
      <c r="A119" t="s">
        <v>161</v>
      </c>
      <c r="B119">
        <v>5</v>
      </c>
      <c r="W119" s="48"/>
    </row>
    <row r="120" spans="1:31" x14ac:dyDescent="0.2">
      <c r="A120" t="s">
        <v>162</v>
      </c>
      <c r="B120">
        <v>1</v>
      </c>
      <c r="W120" s="48"/>
    </row>
    <row r="121" spans="1:31" x14ac:dyDescent="0.2">
      <c r="A121" t="s">
        <v>163</v>
      </c>
      <c r="B121">
        <v>55</v>
      </c>
      <c r="W121" s="48"/>
    </row>
    <row r="122" spans="1:31" x14ac:dyDescent="0.2">
      <c r="A122" t="s">
        <v>164</v>
      </c>
      <c r="B122">
        <v>32</v>
      </c>
      <c r="W122" s="48"/>
    </row>
    <row r="123" spans="1:31" x14ac:dyDescent="0.2">
      <c r="A123" t="s">
        <v>165</v>
      </c>
      <c r="B123">
        <v>1</v>
      </c>
      <c r="W123" s="48"/>
    </row>
    <row r="124" spans="1:31" x14ac:dyDescent="0.2">
      <c r="A124" t="s">
        <v>166</v>
      </c>
      <c r="B124">
        <v>1</v>
      </c>
      <c r="W124" s="48"/>
      <c r="AE124" s="48"/>
    </row>
    <row r="125" spans="1:31" x14ac:dyDescent="0.2">
      <c r="A125" t="s">
        <v>167</v>
      </c>
      <c r="B125">
        <v>16</v>
      </c>
      <c r="W125" s="48"/>
      <c r="AE125" s="48"/>
    </row>
    <row r="126" spans="1:31" x14ac:dyDescent="0.2">
      <c r="A126" t="s">
        <v>168</v>
      </c>
      <c r="B126">
        <v>40</v>
      </c>
      <c r="W126" s="48"/>
      <c r="AE126" s="48"/>
    </row>
    <row r="127" spans="1:31" x14ac:dyDescent="0.2">
      <c r="A127" t="s">
        <v>169</v>
      </c>
      <c r="B127">
        <v>8</v>
      </c>
      <c r="W127" s="48"/>
      <c r="AE127" s="48"/>
    </row>
    <row r="128" spans="1:31" x14ac:dyDescent="0.2">
      <c r="A128" t="s">
        <v>170</v>
      </c>
      <c r="B128">
        <v>13</v>
      </c>
      <c r="W128" s="48"/>
      <c r="AE128" s="48"/>
    </row>
    <row r="129" spans="1:31" x14ac:dyDescent="0.2">
      <c r="A129" t="s">
        <v>171</v>
      </c>
      <c r="B129">
        <v>55</v>
      </c>
      <c r="W129" s="48"/>
      <c r="AE129" s="48"/>
    </row>
    <row r="130" spans="1:31" x14ac:dyDescent="0.2">
      <c r="A130" t="s">
        <v>172</v>
      </c>
      <c r="B130">
        <v>55</v>
      </c>
      <c r="W130" s="48"/>
      <c r="AE130" s="48"/>
    </row>
    <row r="131" spans="1:31" x14ac:dyDescent="0.2">
      <c r="A131" t="s">
        <v>173</v>
      </c>
      <c r="B131">
        <v>46</v>
      </c>
      <c r="W131" s="48"/>
      <c r="AE131" s="48"/>
    </row>
    <row r="132" spans="1:31" x14ac:dyDescent="0.2">
      <c r="A132" t="s">
        <v>174</v>
      </c>
      <c r="B132">
        <v>28</v>
      </c>
      <c r="W132" s="48"/>
      <c r="AE132" s="48"/>
    </row>
    <row r="133" spans="1:31" x14ac:dyDescent="0.2">
      <c r="A133" t="s">
        <v>175</v>
      </c>
      <c r="B133">
        <v>55</v>
      </c>
      <c r="W133" s="48"/>
      <c r="AE133" s="48"/>
    </row>
    <row r="134" spans="1:31" x14ac:dyDescent="0.2">
      <c r="A134" t="s">
        <v>176</v>
      </c>
      <c r="B134">
        <v>44</v>
      </c>
      <c r="W134" s="48"/>
      <c r="AE134" s="48"/>
    </row>
    <row r="135" spans="1:31" x14ac:dyDescent="0.2">
      <c r="A135" t="s">
        <v>177</v>
      </c>
      <c r="B135">
        <v>3</v>
      </c>
      <c r="W135" s="48"/>
      <c r="AE135" s="48"/>
    </row>
    <row r="136" spans="1:31" x14ac:dyDescent="0.2">
      <c r="A136" t="s">
        <v>178</v>
      </c>
      <c r="B136">
        <v>30</v>
      </c>
      <c r="W136" s="48"/>
      <c r="AE136" s="48"/>
    </row>
    <row r="137" spans="1:31" x14ac:dyDescent="0.2">
      <c r="A137" t="s">
        <v>179</v>
      </c>
      <c r="B137">
        <v>44</v>
      </c>
      <c r="W137" s="48"/>
      <c r="AE137" s="48"/>
    </row>
    <row r="138" spans="1:31" x14ac:dyDescent="0.2">
      <c r="A138" t="s">
        <v>180</v>
      </c>
      <c r="B138">
        <v>25</v>
      </c>
      <c r="AE138" s="48"/>
    </row>
    <row r="139" spans="1:31" x14ac:dyDescent="0.2">
      <c r="A139" t="s">
        <v>181</v>
      </c>
      <c r="B139">
        <v>5</v>
      </c>
      <c r="AE139" s="48"/>
    </row>
    <row r="140" spans="1:31" x14ac:dyDescent="0.2">
      <c r="A140" t="s">
        <v>182</v>
      </c>
      <c r="B140">
        <v>55</v>
      </c>
      <c r="AE140" s="48"/>
    </row>
    <row r="141" spans="1:31" x14ac:dyDescent="0.2">
      <c r="A141" t="s">
        <v>183</v>
      </c>
      <c r="B141">
        <v>44</v>
      </c>
      <c r="AE141" s="48"/>
    </row>
    <row r="142" spans="1:31" x14ac:dyDescent="0.2">
      <c r="A142" t="s">
        <v>184</v>
      </c>
      <c r="B142">
        <v>55</v>
      </c>
      <c r="AE142" s="48"/>
    </row>
    <row r="143" spans="1:31" x14ac:dyDescent="0.2">
      <c r="A143" t="s">
        <v>185</v>
      </c>
      <c r="B143">
        <v>13</v>
      </c>
      <c r="AE143" s="48"/>
    </row>
    <row r="144" spans="1:31" x14ac:dyDescent="0.2">
      <c r="A144" t="s">
        <v>186</v>
      </c>
      <c r="B144">
        <v>51</v>
      </c>
      <c r="AE144" s="48"/>
    </row>
    <row r="145" spans="1:31" x14ac:dyDescent="0.2">
      <c r="A145" t="s">
        <v>187</v>
      </c>
      <c r="B145">
        <v>1</v>
      </c>
      <c r="AE145" s="48"/>
    </row>
    <row r="146" spans="1:31" x14ac:dyDescent="0.2">
      <c r="A146" t="s">
        <v>188</v>
      </c>
      <c r="B146">
        <v>44</v>
      </c>
      <c r="AE146" s="48"/>
    </row>
    <row r="147" spans="1:31" x14ac:dyDescent="0.2">
      <c r="A147" t="s">
        <v>189</v>
      </c>
      <c r="B147">
        <v>22</v>
      </c>
      <c r="AE147" s="48"/>
    </row>
    <row r="148" spans="1:31" x14ac:dyDescent="0.2">
      <c r="A148" t="s">
        <v>190</v>
      </c>
      <c r="B148">
        <v>53</v>
      </c>
      <c r="AE148" s="48"/>
    </row>
    <row r="149" spans="1:31" x14ac:dyDescent="0.2">
      <c r="A149" t="s">
        <v>191</v>
      </c>
      <c r="B149">
        <v>55</v>
      </c>
      <c r="AE149" s="48"/>
    </row>
    <row r="150" spans="1:31" x14ac:dyDescent="0.2">
      <c r="A150" t="s">
        <v>192</v>
      </c>
      <c r="B150">
        <v>15</v>
      </c>
      <c r="AE150" s="48"/>
    </row>
    <row r="151" spans="1:31" x14ac:dyDescent="0.2">
      <c r="A151" t="s">
        <v>193</v>
      </c>
      <c r="B151">
        <v>53</v>
      </c>
      <c r="AE151" s="48"/>
    </row>
    <row r="152" spans="1:31" x14ac:dyDescent="0.2">
      <c r="A152" t="s">
        <v>194</v>
      </c>
      <c r="B152">
        <v>51</v>
      </c>
      <c r="AE152" s="48"/>
    </row>
    <row r="153" spans="1:31" x14ac:dyDescent="0.2">
      <c r="A153" t="s">
        <v>195</v>
      </c>
      <c r="B153">
        <v>9</v>
      </c>
      <c r="AE153" s="48"/>
    </row>
    <row r="154" spans="1:31" x14ac:dyDescent="0.2">
      <c r="A154" t="s">
        <v>196</v>
      </c>
      <c r="B154">
        <v>15</v>
      </c>
      <c r="AE154" s="48"/>
    </row>
    <row r="155" spans="1:31" x14ac:dyDescent="0.2">
      <c r="A155" t="s">
        <v>197</v>
      </c>
      <c r="B155">
        <v>44</v>
      </c>
      <c r="AE155" s="48"/>
    </row>
    <row r="156" spans="1:31" x14ac:dyDescent="0.2">
      <c r="A156" t="s">
        <v>198</v>
      </c>
      <c r="B156">
        <v>32</v>
      </c>
      <c r="AE156" s="48"/>
    </row>
    <row r="157" spans="1:31" x14ac:dyDescent="0.2">
      <c r="A157" t="s">
        <v>199</v>
      </c>
      <c r="B157">
        <v>55</v>
      </c>
      <c r="AE157" s="48"/>
    </row>
    <row r="158" spans="1:31" x14ac:dyDescent="0.2">
      <c r="A158" t="s">
        <v>200</v>
      </c>
      <c r="B158">
        <v>12</v>
      </c>
      <c r="AE158" s="48"/>
    </row>
    <row r="159" spans="1:31" x14ac:dyDescent="0.2">
      <c r="A159" t="s">
        <v>201</v>
      </c>
      <c r="B159">
        <v>1</v>
      </c>
      <c r="AE159" s="48"/>
    </row>
    <row r="160" spans="1:31" x14ac:dyDescent="0.2">
      <c r="A160" t="s">
        <v>202</v>
      </c>
      <c r="B160">
        <v>8</v>
      </c>
      <c r="AE160" s="48"/>
    </row>
    <row r="161" spans="1:31" x14ac:dyDescent="0.2">
      <c r="A161" t="s">
        <v>203</v>
      </c>
      <c r="B161">
        <v>24</v>
      </c>
      <c r="AE161" s="48"/>
    </row>
    <row r="162" spans="1:31" x14ac:dyDescent="0.2">
      <c r="A162" t="s">
        <v>204</v>
      </c>
      <c r="B162">
        <v>16</v>
      </c>
      <c r="AE162" s="48"/>
    </row>
    <row r="163" spans="1:31" x14ac:dyDescent="0.2">
      <c r="A163" t="s">
        <v>205</v>
      </c>
      <c r="B163">
        <v>55</v>
      </c>
      <c r="AE163" s="48"/>
    </row>
    <row r="164" spans="1:31" x14ac:dyDescent="0.2">
      <c r="A164" t="s">
        <v>206</v>
      </c>
      <c r="B164">
        <v>55</v>
      </c>
      <c r="AE164" s="48"/>
    </row>
    <row r="165" spans="1:31" x14ac:dyDescent="0.2">
      <c r="A165" t="s">
        <v>207</v>
      </c>
      <c r="B165">
        <v>55</v>
      </c>
      <c r="AE165" s="48"/>
    </row>
    <row r="166" spans="1:31" x14ac:dyDescent="0.2">
      <c r="A166" t="s">
        <v>208</v>
      </c>
      <c r="B166">
        <v>50</v>
      </c>
      <c r="AE166" s="48"/>
    </row>
    <row r="167" spans="1:31" x14ac:dyDescent="0.2">
      <c r="A167" t="s">
        <v>209</v>
      </c>
      <c r="B167">
        <v>37</v>
      </c>
      <c r="AE167" s="48"/>
    </row>
    <row r="168" spans="1:31" x14ac:dyDescent="0.2">
      <c r="A168" t="s">
        <v>210</v>
      </c>
      <c r="B168">
        <v>7</v>
      </c>
      <c r="AE168" s="48"/>
    </row>
    <row r="169" spans="1:31" x14ac:dyDescent="0.2">
      <c r="A169" t="s">
        <v>211</v>
      </c>
      <c r="B169">
        <v>15</v>
      </c>
      <c r="AE169" s="48"/>
    </row>
    <row r="170" spans="1:31" x14ac:dyDescent="0.2">
      <c r="A170" t="s">
        <v>212</v>
      </c>
      <c r="B170">
        <v>15</v>
      </c>
      <c r="AE170" s="48"/>
    </row>
    <row r="171" spans="1:31" x14ac:dyDescent="0.2">
      <c r="A171" t="s">
        <v>213</v>
      </c>
      <c r="B171">
        <v>15</v>
      </c>
      <c r="AE171" s="48"/>
    </row>
    <row r="172" spans="1:31" x14ac:dyDescent="0.2">
      <c r="A172" t="s">
        <v>214</v>
      </c>
      <c r="B172">
        <v>55</v>
      </c>
      <c r="AE172" s="48"/>
    </row>
    <row r="173" spans="1:31" x14ac:dyDescent="0.2">
      <c r="A173" t="s">
        <v>215</v>
      </c>
      <c r="B173">
        <v>18</v>
      </c>
      <c r="AE173" s="48"/>
    </row>
    <row r="174" spans="1:31" x14ac:dyDescent="0.2">
      <c r="A174" t="s">
        <v>216</v>
      </c>
      <c r="B174">
        <v>3</v>
      </c>
      <c r="AE174" s="48"/>
    </row>
    <row r="175" spans="1:31" x14ac:dyDescent="0.2">
      <c r="A175" t="s">
        <v>217</v>
      </c>
      <c r="B175">
        <v>15</v>
      </c>
      <c r="AE175" s="48"/>
    </row>
    <row r="176" spans="1:31" x14ac:dyDescent="0.2">
      <c r="A176" t="s">
        <v>218</v>
      </c>
      <c r="B176">
        <v>15</v>
      </c>
      <c r="AE176" s="48"/>
    </row>
    <row r="177" spans="1:31" x14ac:dyDescent="0.2">
      <c r="A177" t="s">
        <v>219</v>
      </c>
      <c r="B177">
        <v>55</v>
      </c>
      <c r="AE177" s="48"/>
    </row>
    <row r="178" spans="1:31" x14ac:dyDescent="0.2">
      <c r="A178" t="s">
        <v>220</v>
      </c>
      <c r="B178">
        <v>54</v>
      </c>
      <c r="AE178" s="48"/>
    </row>
    <row r="179" spans="1:31" x14ac:dyDescent="0.2">
      <c r="A179" t="s">
        <v>221</v>
      </c>
      <c r="B179">
        <v>54</v>
      </c>
      <c r="AE179" s="48"/>
    </row>
    <row r="180" spans="1:31" x14ac:dyDescent="0.2">
      <c r="A180" t="s">
        <v>222</v>
      </c>
      <c r="B180">
        <v>55</v>
      </c>
      <c r="AE180" s="48"/>
    </row>
    <row r="181" spans="1:31" x14ac:dyDescent="0.2">
      <c r="A181" t="s">
        <v>223</v>
      </c>
      <c r="B181">
        <v>15</v>
      </c>
      <c r="AE181" s="48"/>
    </row>
    <row r="182" spans="1:31" x14ac:dyDescent="0.2">
      <c r="A182" t="s">
        <v>224</v>
      </c>
      <c r="B182">
        <v>24</v>
      </c>
      <c r="AE182" s="48"/>
    </row>
    <row r="183" spans="1:31" x14ac:dyDescent="0.2">
      <c r="A183" t="s">
        <v>225</v>
      </c>
      <c r="B183">
        <v>16</v>
      </c>
      <c r="AE183" s="48"/>
    </row>
    <row r="184" spans="1:31" x14ac:dyDescent="0.2">
      <c r="A184" t="s">
        <v>226</v>
      </c>
      <c r="B184">
        <v>16</v>
      </c>
      <c r="AE184" s="48"/>
    </row>
    <row r="185" spans="1:31" x14ac:dyDescent="0.2">
      <c r="A185" t="s">
        <v>227</v>
      </c>
      <c r="B185">
        <v>55</v>
      </c>
      <c r="AE185" s="48"/>
    </row>
    <row r="186" spans="1:31" x14ac:dyDescent="0.2">
      <c r="A186" t="s">
        <v>228</v>
      </c>
      <c r="B186">
        <v>7</v>
      </c>
      <c r="AE186" s="48"/>
    </row>
    <row r="187" spans="1:31" x14ac:dyDescent="0.2">
      <c r="A187" t="s">
        <v>229</v>
      </c>
      <c r="B187">
        <v>55</v>
      </c>
      <c r="AE187" s="48"/>
    </row>
    <row r="188" spans="1:31" x14ac:dyDescent="0.2">
      <c r="A188" t="s">
        <v>230</v>
      </c>
      <c r="B188">
        <v>44</v>
      </c>
      <c r="AE188" s="48"/>
    </row>
    <row r="189" spans="1:31" x14ac:dyDescent="0.2">
      <c r="A189" t="s">
        <v>231</v>
      </c>
      <c r="B189">
        <v>38</v>
      </c>
      <c r="AE189" s="48"/>
    </row>
    <row r="190" spans="1:31" x14ac:dyDescent="0.2">
      <c r="A190" t="s">
        <v>232</v>
      </c>
      <c r="B190">
        <v>37</v>
      </c>
      <c r="AE190" s="48"/>
    </row>
    <row r="191" spans="1:31" x14ac:dyDescent="0.2">
      <c r="A191" t="s">
        <v>233</v>
      </c>
      <c r="B191">
        <v>46</v>
      </c>
      <c r="AE191" s="48"/>
    </row>
    <row r="192" spans="1:31" x14ac:dyDescent="0.2">
      <c r="A192" t="s">
        <v>234</v>
      </c>
      <c r="B192">
        <v>18</v>
      </c>
      <c r="AE192" s="48"/>
    </row>
    <row r="193" spans="1:31" x14ac:dyDescent="0.2">
      <c r="A193" t="s">
        <v>235</v>
      </c>
      <c r="B193">
        <v>24</v>
      </c>
      <c r="AE193" s="48"/>
    </row>
    <row r="194" spans="1:31" x14ac:dyDescent="0.2">
      <c r="A194" t="s">
        <v>236</v>
      </c>
      <c r="B194">
        <v>55</v>
      </c>
      <c r="AE194" s="48"/>
    </row>
    <row r="195" spans="1:31" x14ac:dyDescent="0.2">
      <c r="A195" t="s">
        <v>237</v>
      </c>
      <c r="B195">
        <v>55</v>
      </c>
      <c r="AE195" s="48"/>
    </row>
    <row r="196" spans="1:31" x14ac:dyDescent="0.2">
      <c r="A196" t="s">
        <v>238</v>
      </c>
      <c r="B196">
        <v>39</v>
      </c>
      <c r="AE196" s="48"/>
    </row>
    <row r="197" spans="1:31" x14ac:dyDescent="0.2">
      <c r="A197" t="s">
        <v>239</v>
      </c>
      <c r="B197">
        <v>34</v>
      </c>
      <c r="AE197" s="48"/>
    </row>
    <row r="198" spans="1:31" x14ac:dyDescent="0.2">
      <c r="A198" t="s">
        <v>240</v>
      </c>
      <c r="B198">
        <v>2</v>
      </c>
      <c r="AE198" s="48"/>
    </row>
    <row r="199" spans="1:31" x14ac:dyDescent="0.2">
      <c r="A199" t="s">
        <v>241</v>
      </c>
      <c r="B199">
        <v>44</v>
      </c>
      <c r="AE199" s="48"/>
    </row>
    <row r="200" spans="1:31" x14ac:dyDescent="0.2">
      <c r="A200" t="s">
        <v>242</v>
      </c>
      <c r="B200">
        <v>55</v>
      </c>
      <c r="AE200" s="48"/>
    </row>
    <row r="201" spans="1:31" x14ac:dyDescent="0.2">
      <c r="A201" t="s">
        <v>243</v>
      </c>
      <c r="B201">
        <v>55</v>
      </c>
      <c r="AE201" s="48"/>
    </row>
    <row r="202" spans="1:31" x14ac:dyDescent="0.2">
      <c r="A202" t="s">
        <v>244</v>
      </c>
      <c r="B202">
        <v>44</v>
      </c>
      <c r="AE202" s="48"/>
    </row>
    <row r="203" spans="1:31" x14ac:dyDescent="0.2">
      <c r="A203" t="s">
        <v>245</v>
      </c>
      <c r="B203">
        <v>55</v>
      </c>
      <c r="AE203" s="48"/>
    </row>
    <row r="204" spans="1:31" x14ac:dyDescent="0.2">
      <c r="A204" t="s">
        <v>246</v>
      </c>
      <c r="B204">
        <v>37</v>
      </c>
      <c r="AE204" s="48"/>
    </row>
    <row r="205" spans="1:31" x14ac:dyDescent="0.2">
      <c r="A205" t="s">
        <v>247</v>
      </c>
      <c r="B205">
        <v>1</v>
      </c>
      <c r="AE205" s="48"/>
    </row>
    <row r="206" spans="1:31" x14ac:dyDescent="0.2">
      <c r="A206" t="s">
        <v>248</v>
      </c>
      <c r="B206">
        <v>9</v>
      </c>
      <c r="AE206" s="48"/>
    </row>
    <row r="207" spans="1:31" x14ac:dyDescent="0.2">
      <c r="A207" t="s">
        <v>249</v>
      </c>
      <c r="B207">
        <v>55</v>
      </c>
      <c r="AE207" s="48"/>
    </row>
    <row r="208" spans="1:31" x14ac:dyDescent="0.2">
      <c r="A208" t="s">
        <v>250</v>
      </c>
      <c r="B208">
        <v>25</v>
      </c>
      <c r="AE208" s="48"/>
    </row>
    <row r="209" spans="1:31" x14ac:dyDescent="0.2">
      <c r="A209" t="s">
        <v>251</v>
      </c>
      <c r="B209">
        <v>15</v>
      </c>
      <c r="AE209" s="48"/>
    </row>
    <row r="210" spans="1:31" x14ac:dyDescent="0.2">
      <c r="A210" t="s">
        <v>252</v>
      </c>
      <c r="B210">
        <v>7</v>
      </c>
      <c r="AE210" s="48"/>
    </row>
    <row r="211" spans="1:31" x14ac:dyDescent="0.2">
      <c r="A211" t="s">
        <v>253</v>
      </c>
      <c r="B211">
        <v>15</v>
      </c>
      <c r="AE211" s="48"/>
    </row>
    <row r="212" spans="1:31" x14ac:dyDescent="0.2">
      <c r="A212" t="s">
        <v>254</v>
      </c>
      <c r="B212">
        <v>55</v>
      </c>
      <c r="AE212" s="48"/>
    </row>
    <row r="213" spans="1:31" x14ac:dyDescent="0.2">
      <c r="A213" t="s">
        <v>255</v>
      </c>
      <c r="B213">
        <v>16</v>
      </c>
      <c r="AE213" s="48"/>
    </row>
    <row r="214" spans="1:31" x14ac:dyDescent="0.2">
      <c r="A214" t="s">
        <v>256</v>
      </c>
      <c r="B214">
        <v>16</v>
      </c>
      <c r="AE214" s="48"/>
    </row>
    <row r="215" spans="1:31" x14ac:dyDescent="0.2">
      <c r="A215" t="s">
        <v>257</v>
      </c>
      <c r="B215">
        <v>47</v>
      </c>
      <c r="AE215" s="48"/>
    </row>
    <row r="216" spans="1:31" x14ac:dyDescent="0.2">
      <c r="A216" t="s">
        <v>258</v>
      </c>
      <c r="B216">
        <v>8</v>
      </c>
      <c r="AE216" s="48"/>
    </row>
    <row r="217" spans="1:31" x14ac:dyDescent="0.2">
      <c r="A217" t="s">
        <v>259</v>
      </c>
      <c r="B217">
        <v>1</v>
      </c>
      <c r="AE217" s="48"/>
    </row>
    <row r="218" spans="1:31" x14ac:dyDescent="0.2">
      <c r="A218" t="s">
        <v>260</v>
      </c>
      <c r="B218">
        <v>18</v>
      </c>
      <c r="AE218" s="48"/>
    </row>
    <row r="219" spans="1:31" x14ac:dyDescent="0.2">
      <c r="A219" t="s">
        <v>261</v>
      </c>
      <c r="B219">
        <v>1</v>
      </c>
      <c r="AE219" s="48"/>
    </row>
    <row r="220" spans="1:31" x14ac:dyDescent="0.2">
      <c r="A220" t="s">
        <v>262</v>
      </c>
      <c r="B220">
        <v>24</v>
      </c>
      <c r="AE220" s="48"/>
    </row>
    <row r="221" spans="1:31" x14ac:dyDescent="0.2">
      <c r="A221" t="s">
        <v>263</v>
      </c>
      <c r="B221">
        <v>13</v>
      </c>
      <c r="AE221" s="48"/>
    </row>
    <row r="222" spans="1:31" x14ac:dyDescent="0.2">
      <c r="A222" t="s">
        <v>264</v>
      </c>
      <c r="B222">
        <v>51</v>
      </c>
      <c r="AE222" s="48"/>
    </row>
    <row r="223" spans="1:31" x14ac:dyDescent="0.2">
      <c r="A223" t="s">
        <v>265</v>
      </c>
      <c r="B223">
        <v>55</v>
      </c>
      <c r="AE223" s="48"/>
    </row>
    <row r="224" spans="1:31" x14ac:dyDescent="0.2">
      <c r="A224" t="s">
        <v>266</v>
      </c>
      <c r="B224">
        <v>55</v>
      </c>
      <c r="AE224" s="48"/>
    </row>
    <row r="225" spans="1:31" x14ac:dyDescent="0.2">
      <c r="A225" t="s">
        <v>267</v>
      </c>
      <c r="B225">
        <v>9</v>
      </c>
      <c r="AE225" s="48"/>
    </row>
    <row r="226" spans="1:31" x14ac:dyDescent="0.2">
      <c r="A226" t="s">
        <v>268</v>
      </c>
      <c r="B226">
        <v>12</v>
      </c>
      <c r="AE226" s="48"/>
    </row>
    <row r="227" spans="1:31" x14ac:dyDescent="0.2">
      <c r="A227" t="s">
        <v>269</v>
      </c>
      <c r="B227">
        <v>12</v>
      </c>
      <c r="AE227" s="48"/>
    </row>
    <row r="228" spans="1:31" x14ac:dyDescent="0.2">
      <c r="A228" t="s">
        <v>270</v>
      </c>
      <c r="B228">
        <v>13</v>
      </c>
      <c r="AE228" s="48"/>
    </row>
    <row r="229" spans="1:31" x14ac:dyDescent="0.2">
      <c r="A229" t="s">
        <v>271</v>
      </c>
      <c r="B229">
        <v>13</v>
      </c>
      <c r="AE229" s="48"/>
    </row>
    <row r="230" spans="1:31" x14ac:dyDescent="0.2">
      <c r="A230" t="s">
        <v>272</v>
      </c>
      <c r="B230">
        <v>24</v>
      </c>
      <c r="AE230" s="48"/>
    </row>
    <row r="231" spans="1:31" x14ac:dyDescent="0.2">
      <c r="A231" t="s">
        <v>273</v>
      </c>
      <c r="B231">
        <v>33</v>
      </c>
      <c r="AE231" s="48"/>
    </row>
    <row r="232" spans="1:31" x14ac:dyDescent="0.2">
      <c r="A232" t="s">
        <v>274</v>
      </c>
      <c r="B232">
        <v>1</v>
      </c>
      <c r="AE232" s="48"/>
    </row>
    <row r="233" spans="1:31" x14ac:dyDescent="0.2">
      <c r="A233" t="s">
        <v>275</v>
      </c>
      <c r="B233">
        <v>6</v>
      </c>
      <c r="AE233" s="48"/>
    </row>
    <row r="234" spans="1:31" x14ac:dyDescent="0.2">
      <c r="A234" t="s">
        <v>276</v>
      </c>
      <c r="B234">
        <v>54</v>
      </c>
      <c r="AE234" s="48"/>
    </row>
    <row r="235" spans="1:31" x14ac:dyDescent="0.2">
      <c r="A235" t="s">
        <v>277</v>
      </c>
      <c r="B235">
        <v>7</v>
      </c>
      <c r="AE235" s="48"/>
    </row>
    <row r="236" spans="1:31" x14ac:dyDescent="0.2">
      <c r="A236" t="s">
        <v>278</v>
      </c>
      <c r="B236">
        <v>55</v>
      </c>
      <c r="AE236" s="48"/>
    </row>
    <row r="237" spans="1:31" x14ac:dyDescent="0.2">
      <c r="A237" t="s">
        <v>279</v>
      </c>
      <c r="B237">
        <v>8</v>
      </c>
      <c r="AE237" s="48"/>
    </row>
    <row r="238" spans="1:31" x14ac:dyDescent="0.2">
      <c r="A238" t="s">
        <v>280</v>
      </c>
      <c r="B238">
        <v>39</v>
      </c>
      <c r="AE238" s="48"/>
    </row>
    <row r="239" spans="1:31" x14ac:dyDescent="0.2">
      <c r="A239" t="s">
        <v>281</v>
      </c>
      <c r="B239">
        <v>55</v>
      </c>
      <c r="AE239" s="48"/>
    </row>
    <row r="240" spans="1:31" x14ac:dyDescent="0.2">
      <c r="A240" t="s">
        <v>282</v>
      </c>
      <c r="B240">
        <v>26</v>
      </c>
      <c r="AE240" s="48"/>
    </row>
    <row r="241" spans="1:31" x14ac:dyDescent="0.2">
      <c r="A241" t="s">
        <v>283</v>
      </c>
      <c r="B241">
        <v>26</v>
      </c>
      <c r="AE241" s="48"/>
    </row>
    <row r="242" spans="1:31" x14ac:dyDescent="0.2">
      <c r="A242" t="s">
        <v>284</v>
      </c>
      <c r="B242">
        <v>24</v>
      </c>
      <c r="AE242" s="48"/>
    </row>
    <row r="243" spans="1:31" x14ac:dyDescent="0.2">
      <c r="A243" t="s">
        <v>285</v>
      </c>
      <c r="B243">
        <v>24</v>
      </c>
      <c r="AE243" s="48"/>
    </row>
    <row r="244" spans="1:31" x14ac:dyDescent="0.2">
      <c r="A244" t="s">
        <v>286</v>
      </c>
      <c r="B244">
        <v>49</v>
      </c>
      <c r="AE244" s="48"/>
    </row>
    <row r="245" spans="1:31" x14ac:dyDescent="0.2">
      <c r="A245" t="s">
        <v>287</v>
      </c>
      <c r="B245">
        <v>55</v>
      </c>
      <c r="AE245" s="48"/>
    </row>
    <row r="246" spans="1:31" x14ac:dyDescent="0.2">
      <c r="A246" t="s">
        <v>288</v>
      </c>
      <c r="B246">
        <v>41</v>
      </c>
      <c r="AE246" s="48"/>
    </row>
    <row r="247" spans="1:31" x14ac:dyDescent="0.2">
      <c r="A247" t="s">
        <v>289</v>
      </c>
      <c r="B247">
        <v>55</v>
      </c>
      <c r="AE247" s="48"/>
    </row>
    <row r="248" spans="1:31" x14ac:dyDescent="0.2">
      <c r="A248" t="s">
        <v>290</v>
      </c>
      <c r="B248">
        <v>55</v>
      </c>
      <c r="AE248" s="48"/>
    </row>
    <row r="249" spans="1:31" x14ac:dyDescent="0.2">
      <c r="A249" t="s">
        <v>291</v>
      </c>
      <c r="B249">
        <v>55</v>
      </c>
      <c r="AE249" s="48"/>
    </row>
    <row r="250" spans="1:31" x14ac:dyDescent="0.2">
      <c r="A250" t="s">
        <v>292</v>
      </c>
      <c r="B250">
        <v>29</v>
      </c>
      <c r="AE250" s="48"/>
    </row>
    <row r="251" spans="1:31" x14ac:dyDescent="0.2">
      <c r="A251" t="s">
        <v>293</v>
      </c>
      <c r="B251">
        <v>33</v>
      </c>
      <c r="AE251" s="48"/>
    </row>
    <row r="252" spans="1:31" x14ac:dyDescent="0.2">
      <c r="A252" t="s">
        <v>294</v>
      </c>
      <c r="B252">
        <v>15</v>
      </c>
      <c r="AE252" s="48"/>
    </row>
    <row r="253" spans="1:31" x14ac:dyDescent="0.2">
      <c r="AE253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steliostheophanous93@gmail.com</dc:creator>
  <cp:lastModifiedBy>steliostheophanous93@gmail.com</cp:lastModifiedBy>
  <dcterms:created xsi:type="dcterms:W3CDTF">2018-04-28T15:47:04Z</dcterms:created>
  <dcterms:modified xsi:type="dcterms:W3CDTF">2018-04-28T15:49:44Z</dcterms:modified>
</cp:coreProperties>
</file>