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gcomercial\Fideicomisos\Moni Online\Serie XII\"/>
    </mc:Choice>
  </mc:AlternateContent>
  <xr:revisionPtr revIDLastSave="0" documentId="8_{56987CB4-1495-4CAD-9FFE-9C9EC8697623}" xr6:coauthVersionLast="47" xr6:coauthVersionMax="47" xr10:uidLastSave="{00000000-0000-0000-0000-000000000000}"/>
  <bookViews>
    <workbookView xWindow="-110" yWindow="-16310" windowWidth="29020" windowHeight="15820" xr2:uid="{00000000-000D-0000-FFFF-FFFF00000000}"/>
  </bookViews>
  <sheets>
    <sheet name="Calculadora" sheetId="4" r:id="rId1"/>
    <sheet name="VDF A" sheetId="5" state="hidden" r:id="rId2"/>
    <sheet name="VDF B" sheetId="6" state="hidden" r:id="rId3"/>
    <sheet name="VDF C" sheetId="7" state="hidden" r:id="rId4"/>
    <sheet name="Hoja4" sheetId="8" state="hidden" r:id="rId5"/>
  </sheets>
  <externalReferences>
    <externalReference r:id="rId6"/>
    <externalReference r:id="rId7"/>
    <externalReference r:id="rId8"/>
  </externalReferences>
  <definedNames>
    <definedName name="a" localSheetId="3">#REF!</definedName>
    <definedName name="a">#REF!</definedName>
    <definedName name="aa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aaa" hidden="1">{"Estado de Cobranzas pag 1",#N/A,FALSE,"RESUMEN";"Estado de Cobranzas pag 2",#N/A,FALSE,"RESUMEN";"Estado de Cobranzas pag 3",#N/A,FALSE,"RESUMEN"}</definedName>
    <definedName name="akjdf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ala" hidden="1">{"Estado de Cobranzas pag 1",#N/A,FALSE,"RESUMEN";"Estado de Cobranzas pag 2",#N/A,FALSE,"RESUMEN";"Estado de Cobranzas pag 3",#N/A,FALSE,"RESUMEN"}</definedName>
    <definedName name="ALL" localSheetId="3">#REF!</definedName>
    <definedName name="ALL">#REF!</definedName>
    <definedName name="atr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ATRASOS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awawaee" hidden="1">{"Estado de Cobranzas pag 1",#N/A,FALSE,"RESUMEN";"Estado de Cobranzas pag 2",#N/A,FALSE,"RESUMEN";"Estado de Cobranzas pag 3",#N/A,FALSE,"RESUMEN"}</definedName>
    <definedName name="awywyw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BANKS" localSheetId="3">#REF!</definedName>
    <definedName name="BANKS">#REF!</definedName>
    <definedName name="_xlnm.Database" localSheetId="3">#REF!</definedName>
    <definedName name="_xlnm.Database">#REF!</definedName>
    <definedName name="bb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bn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bnnbn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bon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bonos_suplemento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cc" hidden="1">{"Estado de Cobranzas pag 1",#N/A,FALSE,"RESUMEN";"Estado de Cobranzas pag 2",#N/A,FALSE,"RESUMEN";"Estado de Cobranzas pag 3",#N/A,FALSE,"RESUMEN"}</definedName>
    <definedName name="cfccfcfc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cxcxc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cxzcxz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D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DATOS">[1]BASE!$B$5:$HF$68</definedName>
    <definedName name="datosh">[1]BASE!$A$5:$HF$68</definedName>
    <definedName name="dd" localSheetId="3">#REF!</definedName>
    <definedName name="dd">#REF!</definedName>
    <definedName name="ddd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DFSADF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drdrdrr" hidden="1">{#N/A,#N/A,FALSE,"INDICE";#N/A,#N/A,FALSE,"Anexo I";#N/A,#N/A,FALSE,"Anexo II";#N/A,#N/A,FALSE,"Anexo II descr";#N/A,#N/A,FALSE,"Anexo III";#N/A,#N/A,FALSE,"Anexo III descr"}</definedName>
    <definedName name="dsadsad" hidden="1">{#N/A,#N/A,FALSE,"INDICE";#N/A,#N/A,FALSE,"Anexo I";#N/A,#N/A,FALSE,"Anexo II";#N/A,#N/A,FALSE,"Anexo II descr";#N/A,#N/A,FALSE,"Anexo III";#N/A,#N/A,FALSE,"Anexo III descr"}</definedName>
    <definedName name="dsdsdsd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e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ee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eeeeeeeeee" hidden="1">{#N/A,#N/A,FALSE,"INDICE";#N/A,#N/A,FALSE,"Anexo I";#N/A,#N/A,FALSE,"Anexo II";#N/A,#N/A,FALSE,"Anexo II descr";#N/A,#N/A,FALSE,"Anexo III";#N/A,#N/A,FALSE,"Anexo III descr"}</definedName>
    <definedName name="ewewewew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ewqeq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ewqewq" hidden="1">{"Estado de Cobranzas pag 1",#N/A,FALSE,"RESUMEN";"Estado de Cobranzas pag 2",#N/A,FALSE,"RESUMEN";"Estado de Cobranzas pag 3",#N/A,FALSE,"RESUMEN"}</definedName>
    <definedName name="EXHIBIT_1" localSheetId="2">#REF!</definedName>
    <definedName name="EXHIBIT_1" localSheetId="3">#REF!</definedName>
    <definedName name="EXHIBIT_1">#REF!</definedName>
    <definedName name="EXHIBIT_2" localSheetId="2">#REF!</definedName>
    <definedName name="EXHIBIT_2" localSheetId="3">#REF!</definedName>
    <definedName name="EXHIBIT_2">#REF!</definedName>
    <definedName name="fdfdfdf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fdsfd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FREGRTG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g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ga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gabry" hidden="1">{"Estado de Cobranzas pag 1",#N/A,FALSE,"RESUMEN";"Estado de Cobranzas pag 2",#N/A,FALSE,"RESUMEN";"Estado de Cobranzas pag 3",#N/A,FALSE,"RESUMEN"}</definedName>
    <definedName name="GBRTG" hidden="1">{"Estado de Cobranzas pag 1",#N/A,FALSE,"RESUMEN";"Estado de Cobranzas pag 2",#N/A,FALSE,"RESUMEN";"Estado de Cobranzas pag 3",#N/A,FALSE,"RESUMEN"}</definedName>
    <definedName name="gfhy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GG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GGGGGGGG" hidden="1">{"Estado de Cobranzas pag 1",#N/A,FALSE,"RESUMEN";"Estado de Cobranzas pag 2",#N/A,FALSE,"RESUMEN";"Estado de Cobranzas pag 3",#N/A,FALSE,"RESUMEN"}</definedName>
    <definedName name="ghghfnh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graf" hidden="1">{"Gráfico s i pag 1",#N/A,FALSE,"Distrib Cobros s i";"Gráfico s i pag 2",#N/A,FALSE,"Distrib Cobros s i";"Gráfico s ii pag 1",#N/A,FALSE,"Distrib Cobros s ii";"Gráfico s ii pag 2",#N/A,FALSE,"Distrib Cobros s ii"}</definedName>
    <definedName name="hgfhgf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hgfhgfhgf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hghghgh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hjjkk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hyfnhf" hidden="1">{"Estado de Cobranzas pag 1",#N/A,FALSE,"RESUMEN";"Estado de Cobranzas pag 2",#N/A,FALSE,"RESUMEN";"Estado de Cobranzas pag 3",#N/A,FALSE,"RESUMEN"}</definedName>
    <definedName name="hyhh" hidden="1">{#N/A,#N/A,FALSE,"INDICE";#N/A,#N/A,FALSE,"Anexo I";#N/A,#N/A,FALSE,"Anexo II";#N/A,#N/A,FALSE,"Anexo II descr";#N/A,#N/A,FALSE,"Anexo III";#N/A,#N/A,FALSE,"Anexo III descr"}</definedName>
    <definedName name="hyrhyr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i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iiiuui" hidden="1">{"Gráfico s i pag 1",#N/A,FALSE,"Distrib Cobros s i";"Gráfico s i pag 2",#N/A,FALSE,"Distrib Cobros s i";"Gráfico s ii pag 1",#N/A,FALSE,"Distrib Cobros s ii";"Gráfico s ii pag 2",#N/A,FALSE,"Distrib Cobros s ii"}</definedName>
    <definedName name="in" hidden="1">{#N/A,#N/A,FALSE,"INDICE";#N/A,#N/A,FALSE,"Anexo I";#N/A,#N/A,FALSE,"Anexo II";#N/A,#N/A,FALSE,"Anexo II descr";#N/A,#N/A,FALSE,"Anexo III";#N/A,#N/A,FALSE,"Anexo III descr"}</definedName>
    <definedName name="j" hidden="1">{#N/A,#N/A,TRUE,"Portada";#N/A,#N/A,TRUE,"Resumen";"Grafico de Colocaciones",#N/A,TRUE,"Colocac";"Grafico Coloc rel con Tasa",#N/A,TRUE,"Coloc Tasas";"Grafico Coloc por Plazo",#N/A,TRUE,"Coloc Plazos";#N/A,#N/A,TRUE,"Coloc x plazo (Caps)";#N/A,#N/A,TRUE,"Coloc x plazo (Caps) Garba";#N/A,#N/A,TRUE,"Coloc x plazo (Caps) Compu";#N/A,#N/A,TRUE,"Compras";"Gráfico Compras 1",#N/A,TRUE,"Compras_gr1";"Grafico Compras 2",#N/A,TRUE,"Compras_gr2";"Grafico Compras 3",#N/A,TRUE,"Compras_gr3";#N/A,#N/A,TRUE,"Atrasos";#N/A,#N/A,TRUE,"Atr_ptf";#N/A,#N/A,TRUE,"Atr Rel LPD";#N/A,#N/A,TRUE,"Mora x Casa";#N/A,#N/A,TRUE,"Mora x Segmento";#N/A,#N/A,TRUE,"Incob";#N/A,#N/A,TRUE,"Incob_res";#N/A,#N/A,TRUE,"Incob_suc1";#N/A,#N/A,TRUE,"Incob_seg1";#N/A,#N/A,TRUE,"Flujos";#N/A,#N/A,TRUE,"Flujo S Mes de Pago";#N/A,#N/A,TRUE,"Cob_MesOrig";#N/A,#N/A,TRUE,"Evoluc Mora";#N/A,#N/A,TRUE,"Mora_suc";#N/A,#N/A,TRUE,"Mora_seg"}</definedName>
    <definedName name="jhgjhg" hidden="1">{"Estado de Cobranzas pag 1",#N/A,FALSE,"RESUMEN";"Estado de Cobranzas pag 2",#N/A,FALSE,"RESUMEN";"Estado de Cobranzas pag 3",#N/A,FALSE,"RESUMEN"}</definedName>
    <definedName name="jhjh" hidden="1">{#N/A,#N/A,FALSE,"INDICE";#N/A,#N/A,FALSE,"Anexo I";#N/A,#N/A,FALSE,"Anexo II";#N/A,#N/A,FALSE,"Anexo II descr";#N/A,#N/A,FALSE,"Anexo III";#N/A,#N/A,FALSE,"Anexo III descr"}</definedName>
    <definedName name="jjj" hidden="1">{"Gráfico s i pag 1",#N/A,FALSE,"Distrib Cobros s i";"Gráfico s i pag 2",#N/A,FALSE,"Distrib Cobros s i";"Gráfico s ii pag 1",#N/A,FALSE,"Distrib Cobros s ii";"Gráfico s ii pag 2",#N/A,FALSE,"Distrib Cobros s ii"}</definedName>
    <definedName name="jjjjj" hidden="1">{#N/A,#N/A,TRUE,"Portada";#N/A,#N/A,TRUE,"Resumen";"Grafico de Colocaciones",#N/A,TRUE,"Colocac";"Grafico Coloc rel con Tasa",#N/A,TRUE,"Coloc Tasas";"Grafico Coloc por Plazo",#N/A,TRUE,"Coloc Plazos";#N/A,#N/A,TRUE,"Coloc x plazo (Caps)";#N/A,#N/A,TRUE,"Coloc x plazo (Caps) Garba";#N/A,#N/A,TRUE,"Coloc x plazo (Caps) Compu";#N/A,#N/A,TRUE,"Compras";"Gráfico Compras 1",#N/A,TRUE,"Compras_gr1";"Grafico Compras 2",#N/A,TRUE,"Compras_gr2";"Grafico Compras 3",#N/A,TRUE,"Compras_gr3";#N/A,#N/A,TRUE,"Atrasos";#N/A,#N/A,TRUE,"Atr_ptf";#N/A,#N/A,TRUE,"Atr Rel LPD";#N/A,#N/A,TRUE,"Mora x Casa";#N/A,#N/A,TRUE,"Mora x Segmento";#N/A,#N/A,TRUE,"Incob";#N/A,#N/A,TRUE,"Incob_res";#N/A,#N/A,TRUE,"Incob_suc1";#N/A,#N/A,TRUE,"Incob_seg1";#N/A,#N/A,TRUE,"Flujos";#N/A,#N/A,TRUE,"Flujo S Mes de Pago";#N/A,#N/A,TRUE,"Cob_MesOrig";#N/A,#N/A,TRUE,"Evoluc Mora";#N/A,#N/A,TRUE,"Mora_suc";#N/A,#N/A,TRUE,"Mora_seg"}</definedName>
    <definedName name="jyrr" hidden="1">{#N/A,#N/A,TRUE,"Portada";#N/A,#N/A,TRUE,"Resumen";"Grafico de Colocaciones",#N/A,TRUE,"Colocac";"Grafico Coloc rel con Tasa",#N/A,TRUE,"Coloc Tasas";"Grafico Coloc por Plazo",#N/A,TRUE,"Coloc Plazos";#N/A,#N/A,TRUE,"Coloc x plazo (Caps)";#N/A,#N/A,TRUE,"Coloc x plazo (Caps) Garba";#N/A,#N/A,TRUE,"Coloc x plazo (Caps) Compu";#N/A,#N/A,TRUE,"Compras";"Gráfico Compras 1",#N/A,TRUE,"Compras_gr1";"Grafico Compras 2",#N/A,TRUE,"Compras_gr2";"Grafico Compras 3",#N/A,TRUE,"Compras_gr3";#N/A,#N/A,TRUE,"Atrasos";#N/A,#N/A,TRUE,"Atr_ptf";#N/A,#N/A,TRUE,"Atr Rel LPD";#N/A,#N/A,TRUE,"Mora x Casa";#N/A,#N/A,TRUE,"Mora x Segmento";#N/A,#N/A,TRUE,"Incob";#N/A,#N/A,TRUE,"Incob_res";#N/A,#N/A,TRUE,"Incob_suc1";#N/A,#N/A,TRUE,"Incob_seg1";#N/A,#N/A,TRUE,"Flujos";#N/A,#N/A,TRUE,"Flujo S Mes de Pago";#N/A,#N/A,TRUE,"Cob_MesOrig";#N/A,#N/A,TRUE,"Evoluc Mora";#N/A,#N/A,TRUE,"Mora_suc";#N/A,#N/A,TRUE,"Mora_seg"}</definedName>
    <definedName name="kjkjkj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kjkjkjkjkj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kjkjkjkjkjkj" hidden="1">{"Estado de Cobranzas pag 1",#N/A,FALSE,"RESUMEN";"Estado de Cobranzas pag 2",#N/A,FALSE,"RESUMEN";"Estado de Cobranzas pag 3",#N/A,FALSE,"RESUMEN"}</definedName>
    <definedName name="kkiii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klkl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L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lklklk" hidden="1">{#N/A,#N/A,FALSE,"INDICE";#N/A,#N/A,FALSE,"Anexo I";#N/A,#N/A,FALSE,"Anexo II";#N/A,#N/A,FALSE,"Anexo II descr";#N/A,#N/A,FALSE,"Anexo III";#N/A,#N/A,FALSE,"Anexo III descr"}</definedName>
    <definedName name="lklklklkl" hidden="1">{"Estado de Cobranzas pag 1",#N/A,FALSE,"RESUMEN";"Estado de Cobranzas pag 2",#N/A,FALSE,"RESUMEN";"Estado de Cobranzas pag 3",#N/A,FALSE,"RESUMEN"}</definedName>
    <definedName name="lklklklklkl" hidden="1">{#N/A,#N/A,TRUE,"Portada";#N/A,#N/A,TRUE,"Resumen";"Grafico de Colocaciones",#N/A,TRUE,"Colocac";"Grafico Coloc rel con Tasa",#N/A,TRUE,"Coloc Tasas";"Grafico Coloc por Plazo",#N/A,TRUE,"Coloc Plazos";#N/A,#N/A,TRUE,"Coloc x plazo (Caps)";#N/A,#N/A,TRUE,"Coloc x plazo (Caps) Garba";#N/A,#N/A,TRUE,"Coloc x plazo (Caps) Compu";#N/A,#N/A,TRUE,"Compras";"Gráfico Compras 1",#N/A,TRUE,"Compras_gr1";"Grafico Compras 2",#N/A,TRUE,"Compras_gr2";"Grafico Compras 3",#N/A,TRUE,"Compras_gr3";#N/A,#N/A,TRUE,"Atrasos";#N/A,#N/A,TRUE,"Atr_ptf";#N/A,#N/A,TRUE,"Atr Rel LPD";#N/A,#N/A,TRUE,"Mora x Casa";#N/A,#N/A,TRUE,"Mora x Segmento";#N/A,#N/A,TRUE,"Incob";#N/A,#N/A,TRUE,"Incob_res";#N/A,#N/A,TRUE,"Incob_suc1";#N/A,#N/A,TRUE,"Incob_seg1";#N/A,#N/A,TRUE,"Flujos";#N/A,#N/A,TRUE,"Flujo S Mes de Pago";#N/A,#N/A,TRUE,"Cob_MesOrig";#N/A,#N/A,TRUE,"Evoluc Mora";#N/A,#N/A,TRUE,"Mora_suc";#N/A,#N/A,TRUE,"Mora_seg"}</definedName>
    <definedName name="ll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lm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Marcelo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mcs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mmm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N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ndnia" hidden="1">{#N/A,#N/A,FALSE,"INDICE";#N/A,#N/A,FALSE,"Anexo I";#N/A,#N/A,FALSE,"Anexo II";#N/A,#N/A,FALSE,"Anexo II descr";#N/A,#N/A,FALSE,"Anexo III";#N/A,#N/A,FALSE,"Anexo III descr"}</definedName>
    <definedName name="nyrtnyrtyt" hidden="1">{"Gráfico s i pag 1",#N/A,FALSE,"Distrib Cobros s i";"Gráfico s i pag 2",#N/A,FALSE,"Distrib Cobros s i";"Gráfico s ii pag 1",#N/A,FALSE,"Distrib Cobros s ii";"Gráfico s ii pag 2",#N/A,FALSE,"Distrib Cobros s ii"}</definedName>
    <definedName name="oioioio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oioioioio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pp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PTF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qq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qqq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qqqqqqqqq" hidden="1">{"Estado de Cobranzas pag 1",#N/A,FALSE,"RESUMEN";"Estado de Cobranzas pag 2",#N/A,FALSE,"RESUMEN";"Estado de Cobranzas pag 3",#N/A,FALSE,"RESUMEN"}</definedName>
    <definedName name="qqqqqqqqqqqqqqq" hidden="1">{"Gráfico s i pag 1",#N/A,FALSE,"Distrib Cobros s i";"Gráfico s i pag 2",#N/A,FALSE,"Distrib Cobros s i";"Gráfico s ii pag 1",#N/A,FALSE,"Distrib Cobros s ii";"Gráfico s ii pag 2",#N/A,FALSE,"Distrib Cobros s ii"}</definedName>
    <definedName name="re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rr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rtgrny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s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sasasas" hidden="1">{"Gráfico s i pag 1",#N/A,FALSE,"Distrib Cobros s i";"Gráfico s i pag 2",#N/A,FALSE,"Distrib Cobros s i";"Gráfico s ii pag 1",#N/A,FALSE,"Distrib Cobros s ii";"Gráfico s ii pag 2",#N/A,FALSE,"Distrib Cobros s ii"}</definedName>
    <definedName name="seguros">'[2]Dist. seguros total'!$A$3:$O$107</definedName>
    <definedName name="sesese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ss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sucseguros">'[2]Dist. seguros total'!$A$3:$A$107</definedName>
    <definedName name="sum" localSheetId="3">#REF!</definedName>
    <definedName name="sum">#REF!</definedName>
    <definedName name="szszsz" hidden="1">{#N/A,#N/A,TRUE,"Portada";#N/A,#N/A,TRUE,"Resumen";"Grafico de Colocaciones",#N/A,TRUE,"Colocac";"Grafico Coloc rel con Tasa",#N/A,TRUE,"Coloc Tasas";"Grafico Coloc por Plazo",#N/A,TRUE,"Coloc Plazos";#N/A,#N/A,TRUE,"Coloc x plazo (Caps)";#N/A,#N/A,TRUE,"Coloc x plazo (Caps) Garba";#N/A,#N/A,TRUE,"Coloc x plazo (Caps) Compu";#N/A,#N/A,TRUE,"Compras";"Gráfico Compras 1",#N/A,TRUE,"Compras_gr1";"Grafico Compras 2",#N/A,TRUE,"Compras_gr2";"Grafico Compras 3",#N/A,TRUE,"Compras_gr3";#N/A,#N/A,TRUE,"Atrasos";#N/A,#N/A,TRUE,"Atr_ptf";#N/A,#N/A,TRUE,"Atr Rel LPD";#N/A,#N/A,TRUE,"Mora x Casa";#N/A,#N/A,TRUE,"Mora x Segmento";#N/A,#N/A,TRUE,"Incob";#N/A,#N/A,TRUE,"Incob_res";#N/A,#N/A,TRUE,"Incob_suc1";#N/A,#N/A,TRUE,"Incob_seg1";#N/A,#N/A,TRUE,"Flujos";#N/A,#N/A,TRUE,"Flujo S Mes de Pago";#N/A,#N/A,TRUE,"Cob_MesOrig";#N/A,#N/A,TRUE,"Evoluc Mora";#N/A,#N/A,TRUE,"Mora_suc";#N/A,#N/A,TRUE,"Mora_seg"}</definedName>
    <definedName name="t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ta" hidden="1">{"Estado de Cobranzas pag 1",#N/A,FALSE,"RESUMEN";"Estado de Cobranzas pag 2",#N/A,FALSE,"RESUMEN";"Estado de Cobranzas pag 3",#N/A,FALSE,"RESUMEN"}</definedName>
    <definedName name="TABLE_A" localSheetId="3">#REF!</definedName>
    <definedName name="TABLE_A">#REF!</definedName>
    <definedName name="TABLE_B" localSheetId="3">#REF!</definedName>
    <definedName name="TABLE_B">#REF!</definedName>
    <definedName name="TABLE_C" localSheetId="2">#REF!</definedName>
    <definedName name="TABLE_C" localSheetId="3">#REF!</definedName>
    <definedName name="TABLE_C">#REF!</definedName>
    <definedName name="TAXES">#N/A</definedName>
    <definedName name="teterhtr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tjutmhg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tretre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tt" hidden="1">{#N/A,#N/A,FALSE,"INDICE";#N/A,#N/A,FALSE,"Anexo I";#N/A,#N/A,FALSE,"Anexo II";#N/A,#N/A,FALSE,"Anexo II descr";#N/A,#N/A,FALSE,"Anexo III";#N/A,#N/A,FALSE,"Anexo III descr"}</definedName>
    <definedName name="ttthh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tttt" hidden="1">{"Estado de Cobranzas pag 1",#N/A,FALSE,"RESUMEN";"Estado de Cobranzas pag 2",#N/A,FALSE,"RESUMEN";"Estado de Cobranzas pag 3",#N/A,FALSE,"RESUMEN"}</definedName>
    <definedName name="u" hidden="1">{"Estado de Cobranzas pag 1",#N/A,FALSE,"RESUMEN";"Estado de Cobranzas pag 2",#N/A,FALSE,"RESUMEN";"Estado de Cobranzas pag 3",#N/A,FALSE,"RESUMEN"}</definedName>
    <definedName name="uyy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vgtr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vgvgvgcg" hidden="1">{"Gráfico s i pag 1",#N/A,FALSE,"Distrib Cobros s i";"Gráfico s i pag 2",#N/A,FALSE,"Distrib Cobros s i";"Gráfico s ii pag 1",#N/A,FALSE,"Distrib Cobros s ii";"Gráfico s ii pag 2",#N/A,FALSE,"Distrib Cobros s ii"}</definedName>
    <definedName name="VIEW_1" localSheetId="3">#REF!</definedName>
    <definedName name="VIEW_1">#REF!</definedName>
    <definedName name="VIEW_2" localSheetId="3">#REF!</definedName>
    <definedName name="VIEW_2">#REF!</definedName>
    <definedName name="VIEW_3" localSheetId="3">#REF!</definedName>
    <definedName name="VIEW_3">#REF!</definedName>
    <definedName name="VIEW_4" localSheetId="3">#REF!</definedName>
    <definedName name="VIEW_4">#REF!</definedName>
    <definedName name="vnvnbvn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vvbvb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wqewq" hidden="1">{"Estado de Cobranzas pag 1",#N/A,FALSE,"RESUMEN";"Estado de Cobranzas pag 2",#N/A,FALSE,"RESUMEN";"Estado de Cobranzas pag 3",#N/A,FALSE,"RESUMEN"}</definedName>
    <definedName name="wqwq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wqwqwqwq" hidden="1">{#N/A,#N/A,TRUE,"Portada";#N/A,#N/A,TRUE,"Resumen";"Grafico de Colocaciones",#N/A,TRUE,"Colocac";"Grafico Coloc rel con Tasa",#N/A,TRUE,"Coloc Tasas";"Grafico Coloc por Plazo",#N/A,TRUE,"Coloc Plazos";#N/A,#N/A,TRUE,"Coloc x plazo (Caps)";#N/A,#N/A,TRUE,"Coloc x plazo (Caps) Garba";#N/A,#N/A,TRUE,"Coloc x plazo (Caps) Compu";#N/A,#N/A,TRUE,"Compras";"Gráfico Compras 1",#N/A,TRUE,"Compras_gr1";"Grafico Compras 2",#N/A,TRUE,"Compras_gr2";"Grafico Compras 3",#N/A,TRUE,"Compras_gr3";#N/A,#N/A,TRUE,"Atrasos";#N/A,#N/A,TRUE,"Atr_ptf";#N/A,#N/A,TRUE,"Atr Rel LPD";#N/A,#N/A,TRUE,"Mora x Casa";#N/A,#N/A,TRUE,"Mora x Segmento";#N/A,#N/A,TRUE,"Incob";#N/A,#N/A,TRUE,"Incob_res";#N/A,#N/A,TRUE,"Incob_suc1";#N/A,#N/A,TRUE,"Incob_seg1";#N/A,#N/A,TRUE,"Flujos";#N/A,#N/A,TRUE,"Flujo S Mes de Pago";#N/A,#N/A,TRUE,"Cob_MesOrig";#N/A,#N/A,TRUE,"Evoluc Mora";#N/A,#N/A,TRUE,"Mora_suc";#N/A,#N/A,TRUE,"Mora_seg"}</definedName>
    <definedName name="wrn.AQC." hidden="1">{#N/A,#N/A,TRUE,"Portada";#N/A,#N/A,TRUE,"Resumen";"Grafico de Colocaciones",#N/A,TRUE,"Colocac";"Grafico Coloc rel con Tasa",#N/A,TRUE,"Coloc Tasas";"Grafico Coloc por Plazo",#N/A,TRUE,"Coloc Plazos";#N/A,#N/A,TRUE,"Coloc x plazo (Caps)";#N/A,#N/A,TRUE,"Coloc x plazo (Caps) Garba";#N/A,#N/A,TRUE,"Coloc x plazo (Caps) Compu";#N/A,#N/A,TRUE,"Compras";"Gráfico Compras 1",#N/A,TRUE,"Compras_gr1";"Grafico Compras 2",#N/A,TRUE,"Compras_gr2";"Grafico Compras 3",#N/A,TRUE,"Compras_gr3";#N/A,#N/A,TRUE,"Atrasos";#N/A,#N/A,TRUE,"Atr_ptf";#N/A,#N/A,TRUE,"Atr Rel LPD";#N/A,#N/A,TRUE,"Mora x Casa";#N/A,#N/A,TRUE,"Mora x Segmento";#N/A,#N/A,TRUE,"Incob";#N/A,#N/A,TRUE,"Incob_res";#N/A,#N/A,TRUE,"Incob_suc1";#N/A,#N/A,TRUE,"Incob_seg1";#N/A,#N/A,TRUE,"Flujos";#N/A,#N/A,TRUE,"Flujo S Mes de Pago";#N/A,#N/A,TRUE,"Cob_MesOrig";#N/A,#N/A,TRUE,"Evoluc Mora";#N/A,#N/A,TRUE,"Mora_suc";#N/A,#N/A,TRUE,"Mora_seg"}</definedName>
    <definedName name="wrn.AQC._.Mensual." hidden="1">{"prom_mutu",#N/A,FALSE,"graf_prom_coloc";"prom_colu",#N/A,FALSE,"graf_prom_coloc"}</definedName>
    <definedName name="wrn.ESTRATIFICACIONES.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wrn.Gráficos." hidden="1">{"Gráfico s i pag 1",#N/A,FALSE,"Distrib Cobros s i";"Gráfico s i pag 2",#N/A,FALSE,"Distrib Cobros s i";"Gráfico s ii pag 1",#N/A,FALSE,"Distrib Cobros s ii";"Gráfico s ii pag 2",#N/A,FALSE,"Distrib Cobros s ii"}</definedName>
    <definedName name="wrn.Indices._.y._.Separadores." hidden="1">{#N/A,#N/A,FALSE,"INDICE";#N/A,#N/A,FALSE,"Anexo I";#N/A,#N/A,FALSE,"Anexo II";#N/A,#N/A,FALSE,"Anexo II descr";#N/A,#N/A,FALSE,"Anexo III";#N/A,#N/A,FALSE,"Anexo III descr"}</definedName>
    <definedName name="wrn.Informe._.Tablasy._.y._.Cuadros." hidden="1">{"Estado de Cobranzas pag 1",#N/A,FALSE,"RESUMEN";"Estado de Cobranzas pag 2",#N/A,FALSE,"RESUMEN";"Estado de Cobranzas pag 3",#N/A,FALSE,"RESUMEN"}</definedName>
    <definedName name="wrn.reporte.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wwwwwww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xdxdxdxd" hidden="1">{"prom_mutu",#N/A,FALSE,"graf_prom_coloc";"prom_colu",#N/A,FALSE,"graf_prom_coloc"}</definedName>
    <definedName name="xzxzxz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xzxzxzx" hidden="1">{#N/A,#N/A,TRUE,"Portada";#N/A,#N/A,TRUE,"Resumen";"Grafico de Colocaciones",#N/A,TRUE,"Colocac";"Grafico Coloc rel con Tasa",#N/A,TRUE,"Coloc Tasas";"Grafico Coloc por Plazo",#N/A,TRUE,"Coloc Plazos";#N/A,#N/A,TRUE,"Coloc x plazo (Caps)";#N/A,#N/A,TRUE,"Coloc x plazo (Caps) Garba";#N/A,#N/A,TRUE,"Coloc x plazo (Caps) Compu";#N/A,#N/A,TRUE,"Compras";"Gráfico Compras 1",#N/A,TRUE,"Compras_gr1";"Grafico Compras 2",#N/A,TRUE,"Compras_gr2";"Grafico Compras 3",#N/A,TRUE,"Compras_gr3";#N/A,#N/A,TRUE,"Atrasos";#N/A,#N/A,TRUE,"Atr_ptf";#N/A,#N/A,TRUE,"Atr Rel LPD";#N/A,#N/A,TRUE,"Mora x Casa";#N/A,#N/A,TRUE,"Mora x Segmento";#N/A,#N/A,TRUE,"Incob";#N/A,#N/A,TRUE,"Incob_res";#N/A,#N/A,TRUE,"Incob_suc1";#N/A,#N/A,TRUE,"Incob_seg1";#N/A,#N/A,TRUE,"Flujos";#N/A,#N/A,TRUE,"Flujo S Mes de Pago";#N/A,#N/A,TRUE,"Cob_MesOrig";#N/A,#N/A,TRUE,"Evoluc Mora";#N/A,#N/A,TRUE,"Mora_suc";#N/A,#N/A,TRUE,"Mora_seg"}</definedName>
    <definedName name="y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yrtyt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yryr" hidden="1">{"prom_mutu",#N/A,FALSE,"graf_prom_coloc";"prom_colu",#N/A,FALSE,"graf_prom_coloc"}</definedName>
    <definedName name="yryryruty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ytnyt" hidden="1">{#N/A,#N/A,FALSE,"INDICE";#N/A,#N/A,FALSE,"Anexo I";#N/A,#N/A,FALSE,"Anexo II";#N/A,#N/A,FALSE,"Anexo II descr";#N/A,#N/A,FALSE,"Anexo III";#N/A,#N/A,FALSE,"Anexo III descr"}</definedName>
    <definedName name="ytryryry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ytrytr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ytyryr" hidden="1">{#N/A,#N/A,TRUE,"Portada";#N/A,#N/A,TRUE,"Resumen";"Grafico de Colocaciones",#N/A,TRUE,"Colocac";"Grafico Coloc rel con Tasa",#N/A,TRUE,"Coloc Tasas";"Grafico Coloc por Plazo",#N/A,TRUE,"Coloc Plazos";#N/A,#N/A,TRUE,"Coloc x plazo (Caps)";#N/A,#N/A,TRUE,"Coloc x plazo (Caps) Garba";#N/A,#N/A,TRUE,"Coloc x plazo (Caps) Compu";#N/A,#N/A,TRUE,"Compras";"Gráfico Compras 1",#N/A,TRUE,"Compras_gr1";"Grafico Compras 2",#N/A,TRUE,"Compras_gr2";"Grafico Compras 3",#N/A,TRUE,"Compras_gr3";#N/A,#N/A,TRUE,"Atrasos";#N/A,#N/A,TRUE,"Atr_ptf";#N/A,#N/A,TRUE,"Atr Rel LPD";#N/A,#N/A,TRUE,"Mora x Casa";#N/A,#N/A,TRUE,"Mora x Segmento";#N/A,#N/A,TRUE,"Incob";#N/A,#N/A,TRUE,"Incob_res";#N/A,#N/A,TRUE,"Incob_suc1";#N/A,#N/A,TRUE,"Incob_seg1";#N/A,#N/A,TRUE,"Flujos";#N/A,#N/A,TRUE,"Flujo S Mes de Pago";#N/A,#N/A,TRUE,"Cob_MesOrig";#N/A,#N/A,TRUE,"Evoluc Mora";#N/A,#N/A,TRUE,"Mora_suc";#N/A,#N/A,TRUE,"Mora_seg"}</definedName>
    <definedName name="ytytyrty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ytytytyt" hidden="1">{"Gráfico s i pag 1",#N/A,FALSE,"Distrib Cobros s i";"Gráfico s i pag 2",#N/A,FALSE,"Distrib Cobros s i";"Gráfico s ii pag 1",#N/A,FALSE,"Distrib Cobros s ii";"Gráfico s ii pag 2",#N/A,FALSE,"Distrib Cobros s ii"}</definedName>
    <definedName name="yy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yyy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yyyy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yyyyy" hidden="1">{"bancard",#N/A,FALSE,"ATRASO AL 31-7";"bancard",#N/A,FALSE,"X MONTO DEUDA";"cart total",#N/A,FALSE,"X MONTO DEUDA";"credipaz",#N/A,FALSE,"X MONTO DEUDA";"credipaz",#N/A,FALSE,"X CAP ORIG";"crediventas",#N/A,FALSE,"X CAP ORIG";"total",#N/A,FALSE,"X CAP ORIG";"bancard",#N/A,FALSE,"X CANT CUO";"credipaz",#N/A,FALSE,"X MONTO CUOT";"cart total",#N/A,FALSE,"X CANT CUO";"credipaz",#N/A,FALSE,"X CANT CUO";"bancard",#N/A,FALSE,"X MONTO CUOT";"total",#N/A,FALSE,"X MONTO CUOT";"credipaz",#N/A,FALSE,"X  T.D.M.";"bancard",#N/A,FALSE,"X  T.D.M.";"total",#N/A,FALSE,"X  T.D.M.";"bancard",#N/A,FALSE,"ANTIG";"credipaz",#N/A,FALSE,"ANTIG";"total",#N/A,FALSE,"ANTIG";"bancard",#N/A,FALSE,"VIDA REM";"credipaz",#N/A,FALSE,"VIDA REM";"total",#N/A,FALSE,"VIDA REM";"credipaz",#N/A,FALSE,"ATRASO AL 31-7";"total",#N/A,FALSE,"ATRASO AL 31-7";"bancard",#N/A,FALSE,"ATRASOS S HIST";"credipaz",#N/A,FALSE,"ATRASOS S HIST";"total",#N/A,FALSE,"ATRASOS S HIST"}</definedName>
    <definedName name="yyyyyy" hidden="1">{"Estado de Cobranzas pag 1",#N/A,FALSE,"RESUMEN";"Estado de Cobranzas pag 2",#N/A,FALSE,"RESUMEN";"Estado de Cobranzas pag 3",#N/A,FALSE,"RESUMEN"}</definedName>
    <definedName name="yyyyyyy" hidden="1">{"Estado de Cobranzas pag 1",#N/A,FALSE,"RESUMEN";"Estado de Cobranzas pag 2",#N/A,FALSE,"RESUMEN";"Estado de Cobranzas pag 3",#N/A,FALSE,"RESUMEN"}</definedName>
    <definedName name="z">'[3]Dist. seguros total'!$A$3:$A$107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4" l="1"/>
  <c r="B19" i="5"/>
  <c r="B20" i="5"/>
  <c r="B21" i="5"/>
  <c r="B22" i="5"/>
  <c r="B23" i="5"/>
  <c r="B24" i="5"/>
  <c r="B25" i="5"/>
  <c r="B26" i="5"/>
  <c r="J58" i="4" l="1"/>
  <c r="J59" i="4"/>
  <c r="H37" i="4" l="1"/>
  <c r="J30" i="4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I8" i="6" l="1"/>
  <c r="I9" i="6" l="1"/>
  <c r="D19" i="6"/>
  <c r="I8" i="5" l="1"/>
  <c r="I8" i="7" l="1"/>
  <c r="C55" i="7" l="1"/>
  <c r="D55" i="7"/>
  <c r="H55" i="7"/>
  <c r="C56" i="7"/>
  <c r="D56" i="7"/>
  <c r="H56" i="7"/>
  <c r="B56" i="7" s="1"/>
  <c r="C57" i="7"/>
  <c r="D57" i="7"/>
  <c r="H57" i="7"/>
  <c r="B57" i="7" s="1"/>
  <c r="C58" i="7"/>
  <c r="D58" i="7"/>
  <c r="H58" i="7"/>
  <c r="B58" i="7" s="1"/>
  <c r="AQ60" i="6"/>
  <c r="AR60" i="6" s="1"/>
  <c r="AQ61" i="6"/>
  <c r="AR61" i="6" s="1"/>
  <c r="C58" i="6"/>
  <c r="D58" i="6"/>
  <c r="H58" i="6"/>
  <c r="B58" i="6" s="1"/>
  <c r="C55" i="6"/>
  <c r="D55" i="6"/>
  <c r="H55" i="6"/>
  <c r="B55" i="6" s="1"/>
  <c r="C56" i="6"/>
  <c r="D56" i="6"/>
  <c r="H56" i="6"/>
  <c r="B56" i="6" s="1"/>
  <c r="C57" i="6"/>
  <c r="D57" i="6"/>
  <c r="H57" i="6"/>
  <c r="B57" i="6" s="1"/>
  <c r="B55" i="7" l="1"/>
  <c r="K20" i="4"/>
  <c r="K21" i="4" l="1"/>
  <c r="P27" i="4"/>
  <c r="P26" i="4"/>
  <c r="P25" i="4"/>
  <c r="P24" i="4"/>
  <c r="P23" i="4"/>
  <c r="P30" i="4"/>
  <c r="P22" i="4"/>
  <c r="P29" i="4"/>
  <c r="P21" i="4"/>
  <c r="P28" i="4"/>
  <c r="L63" i="4"/>
  <c r="L59" i="4"/>
  <c r="L58" i="4"/>
  <c r="Q21" i="4" l="1"/>
  <c r="Q22" i="4" s="1"/>
  <c r="Q23" i="4" s="1"/>
  <c r="Q24" i="4" s="1"/>
  <c r="Q25" i="4" s="1"/>
  <c r="Q26" i="4" s="1"/>
  <c r="Q27" i="4" s="1"/>
  <c r="Q28" i="4" s="1"/>
  <c r="Q29" i="4" s="1"/>
  <c r="P31" i="4"/>
  <c r="L60" i="4"/>
  <c r="M60" i="4" s="1"/>
  <c r="L61" i="4"/>
  <c r="M61" i="4" s="1"/>
  <c r="L45" i="4"/>
  <c r="K22" i="4"/>
  <c r="J21" i="4"/>
  <c r="I62" i="4" l="1"/>
  <c r="H62" i="4"/>
  <c r="I52" i="4"/>
  <c r="H52" i="4"/>
  <c r="L31" i="4"/>
  <c r="L30" i="4"/>
  <c r="L29" i="4"/>
  <c r="L28" i="4"/>
  <c r="L27" i="4"/>
  <c r="L26" i="4"/>
  <c r="L25" i="4"/>
  <c r="L24" i="4"/>
  <c r="L23" i="4"/>
  <c r="L22" i="4"/>
  <c r="L21" i="4"/>
  <c r="M21" i="4" s="1"/>
  <c r="I37" i="4"/>
  <c r="L44" i="4" l="1"/>
  <c r="L43" i="4" l="1"/>
  <c r="M33" i="4"/>
  <c r="M31" i="4" l="1"/>
  <c r="L32" i="4" l="1"/>
  <c r="M32" i="4" s="1"/>
  <c r="L56" i="4" l="1"/>
  <c r="O10" i="6" l="1"/>
  <c r="O10" i="5"/>
  <c r="O9" i="5" l="1"/>
  <c r="O9" i="6"/>
  <c r="O9" i="7" s="1"/>
  <c r="O8" i="6"/>
  <c r="O8" i="7" s="1"/>
  <c r="O10" i="7"/>
  <c r="M59" i="4"/>
  <c r="M56" i="4"/>
  <c r="K57" i="4"/>
  <c r="K58" i="4" s="1"/>
  <c r="K59" i="4" s="1"/>
  <c r="Q9" i="5" l="1"/>
  <c r="O8" i="5"/>
  <c r="M58" i="4"/>
  <c r="J62" i="4"/>
  <c r="K42" i="4" l="1"/>
  <c r="K43" i="4" s="1"/>
  <c r="K44" i="4" s="1"/>
  <c r="J43" i="4"/>
  <c r="J44" i="4"/>
  <c r="M44" i="4" s="1"/>
  <c r="M48" i="4"/>
  <c r="M49" i="4"/>
  <c r="J22" i="4"/>
  <c r="J23" i="4"/>
  <c r="J24" i="4"/>
  <c r="J25" i="4"/>
  <c r="J26" i="4"/>
  <c r="J27" i="4"/>
  <c r="J28" i="4"/>
  <c r="J29" i="4"/>
  <c r="M29" i="4" s="1"/>
  <c r="D21" i="4"/>
  <c r="D24" i="4" s="1"/>
  <c r="M50" i="4"/>
  <c r="D32" i="4"/>
  <c r="AP57" i="5"/>
  <c r="AP58" i="5"/>
  <c r="AP59" i="5"/>
  <c r="AP60" i="5"/>
  <c r="AU58" i="5"/>
  <c r="AD58" i="6" s="1"/>
  <c r="AU57" i="5"/>
  <c r="AD57" i="6" s="1"/>
  <c r="D57" i="5"/>
  <c r="D58" i="5"/>
  <c r="I12" i="5"/>
  <c r="I12" i="7" s="1"/>
  <c r="H18" i="7" s="1"/>
  <c r="B18" i="7" s="1"/>
  <c r="C31" i="4"/>
  <c r="I9" i="7"/>
  <c r="I9" i="5"/>
  <c r="H20" i="6"/>
  <c r="B20" i="6" s="1"/>
  <c r="H21" i="6"/>
  <c r="B21" i="6" s="1"/>
  <c r="H22" i="6"/>
  <c r="B22" i="6" s="1"/>
  <c r="H23" i="6"/>
  <c r="B23" i="6" s="1"/>
  <c r="H24" i="6"/>
  <c r="B24" i="6" s="1"/>
  <c r="H25" i="6"/>
  <c r="B25" i="6" s="1"/>
  <c r="H26" i="6"/>
  <c r="B26" i="6" s="1"/>
  <c r="H27" i="6"/>
  <c r="B27" i="6" s="1"/>
  <c r="H28" i="6"/>
  <c r="B28" i="6" s="1"/>
  <c r="H29" i="6"/>
  <c r="B29" i="6" s="1"/>
  <c r="H30" i="6"/>
  <c r="B30" i="6" s="1"/>
  <c r="H31" i="6"/>
  <c r="B31" i="6" s="1"/>
  <c r="H32" i="6"/>
  <c r="B32" i="6" s="1"/>
  <c r="H33" i="6"/>
  <c r="B33" i="6" s="1"/>
  <c r="H34" i="6"/>
  <c r="B34" i="6" s="1"/>
  <c r="H35" i="6"/>
  <c r="B35" i="6" s="1"/>
  <c r="H36" i="6"/>
  <c r="B36" i="6" s="1"/>
  <c r="H37" i="6"/>
  <c r="B37" i="6" s="1"/>
  <c r="H38" i="6"/>
  <c r="B38" i="6" s="1"/>
  <c r="H39" i="6"/>
  <c r="B39" i="6" s="1"/>
  <c r="H40" i="6"/>
  <c r="B40" i="6" s="1"/>
  <c r="H41" i="6"/>
  <c r="B41" i="6" s="1"/>
  <c r="H42" i="6"/>
  <c r="B42" i="6" s="1"/>
  <c r="H43" i="6"/>
  <c r="B43" i="6" s="1"/>
  <c r="H44" i="6"/>
  <c r="B44" i="6" s="1"/>
  <c r="H45" i="6"/>
  <c r="B45" i="6" s="1"/>
  <c r="H46" i="6"/>
  <c r="B46" i="6" s="1"/>
  <c r="H47" i="6"/>
  <c r="B47" i="6" s="1"/>
  <c r="H48" i="6"/>
  <c r="B48" i="6" s="1"/>
  <c r="H49" i="6"/>
  <c r="B49" i="6" s="1"/>
  <c r="H50" i="6"/>
  <c r="B50" i="6" s="1"/>
  <c r="H51" i="6"/>
  <c r="B51" i="6" s="1"/>
  <c r="H52" i="6"/>
  <c r="B52" i="6" s="1"/>
  <c r="H53" i="6"/>
  <c r="B53" i="6" s="1"/>
  <c r="H54" i="6"/>
  <c r="B54" i="6" s="1"/>
  <c r="H19" i="6"/>
  <c r="B19" i="6" s="1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K23" i="4"/>
  <c r="K24" i="4" s="1"/>
  <c r="K25" i="4" s="1"/>
  <c r="K26" i="4" s="1"/>
  <c r="K27" i="4" s="1"/>
  <c r="K28" i="4" s="1"/>
  <c r="K29" i="4" s="1"/>
  <c r="K30" i="4" s="1"/>
  <c r="H34" i="7"/>
  <c r="B34" i="7" s="1"/>
  <c r="H35" i="7"/>
  <c r="B35" i="7" s="1"/>
  <c r="H36" i="7"/>
  <c r="B36" i="7" s="1"/>
  <c r="H37" i="7"/>
  <c r="B37" i="7" s="1"/>
  <c r="H38" i="7"/>
  <c r="B38" i="7" s="1"/>
  <c r="H39" i="7"/>
  <c r="B39" i="7" s="1"/>
  <c r="H40" i="7"/>
  <c r="B40" i="7" s="1"/>
  <c r="H41" i="7"/>
  <c r="B41" i="7" s="1"/>
  <c r="H42" i="7"/>
  <c r="B42" i="7" s="1"/>
  <c r="H43" i="7"/>
  <c r="B43" i="7" s="1"/>
  <c r="H44" i="7"/>
  <c r="B44" i="7" s="1"/>
  <c r="H45" i="7"/>
  <c r="B45" i="7" s="1"/>
  <c r="H46" i="7"/>
  <c r="B46" i="7" s="1"/>
  <c r="H47" i="7"/>
  <c r="B47" i="7" s="1"/>
  <c r="H48" i="7"/>
  <c r="B48" i="7" s="1"/>
  <c r="H49" i="7"/>
  <c r="B49" i="7" s="1"/>
  <c r="H50" i="7"/>
  <c r="B50" i="7" s="1"/>
  <c r="H51" i="7"/>
  <c r="B51" i="7" s="1"/>
  <c r="H52" i="7"/>
  <c r="B52" i="7" s="1"/>
  <c r="H53" i="7"/>
  <c r="B53" i="7" s="1"/>
  <c r="H54" i="7"/>
  <c r="B54" i="7" s="1"/>
  <c r="H28" i="7"/>
  <c r="B28" i="7" s="1"/>
  <c r="H29" i="7"/>
  <c r="B29" i="7" s="1"/>
  <c r="H30" i="7"/>
  <c r="B30" i="7" s="1"/>
  <c r="H31" i="7"/>
  <c r="B31" i="7" s="1"/>
  <c r="H32" i="7"/>
  <c r="B32" i="7" s="1"/>
  <c r="H33" i="7"/>
  <c r="B33" i="7" s="1"/>
  <c r="R17" i="7"/>
  <c r="I5" i="7"/>
  <c r="L18" i="7" s="1"/>
  <c r="D54" i="7"/>
  <c r="D53" i="7"/>
  <c r="D52" i="7"/>
  <c r="D51" i="7"/>
  <c r="C51" i="7"/>
  <c r="D50" i="7"/>
  <c r="D49" i="7"/>
  <c r="D48" i="7"/>
  <c r="D47" i="7"/>
  <c r="D46" i="7"/>
  <c r="D45" i="7"/>
  <c r="D44" i="7"/>
  <c r="D43" i="7"/>
  <c r="D42" i="7"/>
  <c r="D41" i="7"/>
  <c r="D40" i="7"/>
  <c r="D39" i="7"/>
  <c r="C39" i="7"/>
  <c r="D38" i="7"/>
  <c r="D37" i="7"/>
  <c r="D36" i="7"/>
  <c r="D35" i="7"/>
  <c r="D34" i="7"/>
  <c r="D33" i="7"/>
  <c r="D32" i="7"/>
  <c r="D31" i="7"/>
  <c r="D30" i="7"/>
  <c r="D29" i="7"/>
  <c r="D28" i="7"/>
  <c r="H27" i="7"/>
  <c r="B27" i="7" s="1"/>
  <c r="D27" i="7"/>
  <c r="C27" i="7"/>
  <c r="H26" i="7"/>
  <c r="B26" i="7" s="1"/>
  <c r="D26" i="7"/>
  <c r="H25" i="7"/>
  <c r="B25" i="7" s="1"/>
  <c r="D25" i="7"/>
  <c r="H24" i="7"/>
  <c r="B24" i="7" s="1"/>
  <c r="D24" i="7"/>
  <c r="H23" i="7"/>
  <c r="B23" i="7" s="1"/>
  <c r="D23" i="7"/>
  <c r="H22" i="7"/>
  <c r="B22" i="7" s="1"/>
  <c r="D22" i="7"/>
  <c r="H21" i="7"/>
  <c r="B21" i="7" s="1"/>
  <c r="D21" i="7"/>
  <c r="H20" i="7"/>
  <c r="B20" i="7" s="1"/>
  <c r="D20" i="7"/>
  <c r="H19" i="7"/>
  <c r="B19" i="7" s="1"/>
  <c r="D19" i="7"/>
  <c r="R17" i="6"/>
  <c r="I5" i="6"/>
  <c r="L18" i="6" s="1"/>
  <c r="R17" i="5"/>
  <c r="I5" i="5"/>
  <c r="L18" i="5" s="1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I13" i="6"/>
  <c r="I13" i="7" s="1"/>
  <c r="C51" i="6"/>
  <c r="C39" i="6"/>
  <c r="D30" i="5"/>
  <c r="D29" i="5"/>
  <c r="D28" i="5"/>
  <c r="D27" i="5"/>
  <c r="C27" i="6"/>
  <c r="D26" i="5"/>
  <c r="D25" i="5"/>
  <c r="D24" i="5"/>
  <c r="D23" i="5"/>
  <c r="D22" i="5"/>
  <c r="D21" i="5"/>
  <c r="D20" i="5"/>
  <c r="D19" i="5"/>
  <c r="C22" i="6"/>
  <c r="C22" i="7"/>
  <c r="C25" i="6"/>
  <c r="C25" i="7"/>
  <c r="C26" i="6"/>
  <c r="C26" i="7"/>
  <c r="C30" i="6"/>
  <c r="C30" i="7"/>
  <c r="C31" i="6"/>
  <c r="C31" i="7"/>
  <c r="C33" i="6"/>
  <c r="C33" i="7"/>
  <c r="C34" i="6"/>
  <c r="C34" i="7"/>
  <c r="C37" i="6"/>
  <c r="C37" i="7"/>
  <c r="C38" i="6"/>
  <c r="C38" i="7"/>
  <c r="C41" i="6"/>
  <c r="C41" i="7"/>
  <c r="C42" i="6"/>
  <c r="C42" i="7"/>
  <c r="C45" i="6"/>
  <c r="C45" i="7"/>
  <c r="C46" i="6"/>
  <c r="C46" i="7"/>
  <c r="C49" i="6"/>
  <c r="C49" i="7"/>
  <c r="C50" i="6"/>
  <c r="C50" i="7"/>
  <c r="C53" i="6"/>
  <c r="C53" i="7"/>
  <c r="C54" i="6"/>
  <c r="C54" i="7"/>
  <c r="C23" i="6"/>
  <c r="C23" i="7"/>
  <c r="C24" i="6"/>
  <c r="C24" i="7"/>
  <c r="C28" i="6"/>
  <c r="C28" i="7"/>
  <c r="C29" i="6"/>
  <c r="C29" i="7"/>
  <c r="C32" i="6"/>
  <c r="C32" i="7"/>
  <c r="C35" i="6"/>
  <c r="C35" i="7"/>
  <c r="C36" i="6"/>
  <c r="C36" i="7"/>
  <c r="C40" i="6"/>
  <c r="C40" i="7"/>
  <c r="C43" i="6"/>
  <c r="C43" i="7"/>
  <c r="C44" i="6"/>
  <c r="C44" i="7"/>
  <c r="C47" i="6"/>
  <c r="C47" i="7"/>
  <c r="C48" i="6"/>
  <c r="C48" i="7"/>
  <c r="C52" i="6"/>
  <c r="C52" i="7"/>
  <c r="C21" i="6"/>
  <c r="C21" i="7"/>
  <c r="C20" i="6"/>
  <c r="C20" i="7"/>
  <c r="C19" i="7"/>
  <c r="C19" i="6"/>
  <c r="AX18" i="7" l="1"/>
  <c r="AU19" i="7" s="1"/>
  <c r="AT19" i="7" s="1"/>
  <c r="AK18" i="5"/>
  <c r="D31" i="4"/>
  <c r="E20" i="7"/>
  <c r="E39" i="7"/>
  <c r="E45" i="7"/>
  <c r="E27" i="7"/>
  <c r="E57" i="7"/>
  <c r="E33" i="7"/>
  <c r="E48" i="7"/>
  <c r="E28" i="7"/>
  <c r="E55" i="7"/>
  <c r="E53" i="7"/>
  <c r="E51" i="7"/>
  <c r="E26" i="7"/>
  <c r="E58" i="7"/>
  <c r="E49" i="7"/>
  <c r="E36" i="7"/>
  <c r="E40" i="7"/>
  <c r="E30" i="7"/>
  <c r="E22" i="7"/>
  <c r="E34" i="7"/>
  <c r="E47" i="7"/>
  <c r="E44" i="7"/>
  <c r="E56" i="7"/>
  <c r="E46" i="7"/>
  <c r="E24" i="7"/>
  <c r="E42" i="7"/>
  <c r="E21" i="7"/>
  <c r="E52" i="7"/>
  <c r="E43" i="7"/>
  <c r="E31" i="7"/>
  <c r="E25" i="7"/>
  <c r="E50" i="7"/>
  <c r="E38" i="7"/>
  <c r="E35" i="7"/>
  <c r="E54" i="7"/>
  <c r="E29" i="7"/>
  <c r="E32" i="7"/>
  <c r="E41" i="7"/>
  <c r="E19" i="7"/>
  <c r="F19" i="7" s="1"/>
  <c r="E23" i="7"/>
  <c r="L10" i="7" s="1"/>
  <c r="E37" i="7"/>
  <c r="E28" i="6"/>
  <c r="E29" i="6"/>
  <c r="A59" i="5"/>
  <c r="AD59" i="6" s="1"/>
  <c r="E56" i="6"/>
  <c r="E55" i="6"/>
  <c r="E57" i="6"/>
  <c r="E58" i="6"/>
  <c r="AU61" i="6"/>
  <c r="M63" i="4"/>
  <c r="J52" i="4"/>
  <c r="J37" i="4"/>
  <c r="E58" i="5"/>
  <c r="E23" i="5"/>
  <c r="E52" i="5"/>
  <c r="E40" i="5"/>
  <c r="E48" i="5"/>
  <c r="E54" i="6"/>
  <c r="M43" i="4"/>
  <c r="E31" i="4"/>
  <c r="E30" i="6"/>
  <c r="E34" i="5"/>
  <c r="M45" i="4"/>
  <c r="E46" i="6"/>
  <c r="E25" i="5"/>
  <c r="E30" i="5"/>
  <c r="E37" i="5"/>
  <c r="E41" i="5"/>
  <c r="E49" i="5"/>
  <c r="E55" i="5"/>
  <c r="E28" i="5"/>
  <c r="E38" i="5"/>
  <c r="E44" i="5"/>
  <c r="E56" i="5"/>
  <c r="E49" i="6"/>
  <c r="E20" i="5"/>
  <c r="E19" i="5"/>
  <c r="F19" i="5" s="1"/>
  <c r="E21" i="5"/>
  <c r="E33" i="5"/>
  <c r="E45" i="5"/>
  <c r="E51" i="5"/>
  <c r="M26" i="4"/>
  <c r="M22" i="4"/>
  <c r="E38" i="6"/>
  <c r="E36" i="6"/>
  <c r="E44" i="6"/>
  <c r="E52" i="6"/>
  <c r="E26" i="6"/>
  <c r="E34" i="6"/>
  <c r="E42" i="6"/>
  <c r="E50" i="6"/>
  <c r="E24" i="6"/>
  <c r="E32" i="6"/>
  <c r="E40" i="6"/>
  <c r="E48" i="6"/>
  <c r="E27" i="5"/>
  <c r="E29" i="5"/>
  <c r="E31" i="5"/>
  <c r="E35" i="5"/>
  <c r="E42" i="5"/>
  <c r="E46" i="5"/>
  <c r="E50" i="5"/>
  <c r="E53" i="5"/>
  <c r="E57" i="5"/>
  <c r="E22" i="5"/>
  <c r="L10" i="5" s="1"/>
  <c r="E24" i="5"/>
  <c r="E26" i="5"/>
  <c r="E32" i="5"/>
  <c r="E36" i="5"/>
  <c r="E39" i="5"/>
  <c r="E43" i="5"/>
  <c r="E47" i="5"/>
  <c r="E54" i="5"/>
  <c r="H18" i="5"/>
  <c r="I12" i="6"/>
  <c r="H18" i="6" s="1"/>
  <c r="B18" i="6" s="1"/>
  <c r="AM15" i="7"/>
  <c r="M47" i="4"/>
  <c r="M46" i="4"/>
  <c r="M25" i="4"/>
  <c r="M23" i="4"/>
  <c r="M30" i="4"/>
  <c r="M28" i="4"/>
  <c r="M27" i="4"/>
  <c r="M24" i="4"/>
  <c r="E21" i="6"/>
  <c r="E23" i="6"/>
  <c r="L10" i="6" s="1"/>
  <c r="E25" i="6"/>
  <c r="E27" i="6"/>
  <c r="E31" i="6"/>
  <c r="E33" i="6"/>
  <c r="E35" i="6"/>
  <c r="E37" i="6"/>
  <c r="E39" i="6"/>
  <c r="E41" i="6"/>
  <c r="E43" i="6"/>
  <c r="E45" i="6"/>
  <c r="E47" i="6"/>
  <c r="E51" i="6"/>
  <c r="E53" i="6"/>
  <c r="E20" i="6"/>
  <c r="E22" i="6"/>
  <c r="AM18" i="7"/>
  <c r="AJ19" i="7" s="1"/>
  <c r="AM18" i="6"/>
  <c r="AX18" i="6"/>
  <c r="AT18" i="5"/>
  <c r="AS19" i="5" s="1"/>
  <c r="B18" i="5" l="1"/>
  <c r="AJ19" i="5"/>
  <c r="AL19" i="5" s="1"/>
  <c r="AK19" i="5"/>
  <c r="AJ20" i="5" s="1"/>
  <c r="M38" i="4"/>
  <c r="C29" i="4" s="1"/>
  <c r="N61" i="4"/>
  <c r="N60" i="4"/>
  <c r="M52" i="4"/>
  <c r="D29" i="4" s="1"/>
  <c r="T19" i="6" s="1"/>
  <c r="AY18" i="6" s="1"/>
  <c r="AX20" i="5"/>
  <c r="AX21" i="5" s="1"/>
  <c r="AU19" i="6"/>
  <c r="AT19" i="6" s="1"/>
  <c r="AJ19" i="6"/>
  <c r="AI19" i="6" s="1"/>
  <c r="AL15" i="7"/>
  <c r="AL16" i="7" s="1"/>
  <c r="AI19" i="7"/>
  <c r="J19" i="5"/>
  <c r="AX22" i="5" l="1"/>
  <c r="N31" i="4"/>
  <c r="N30" i="4"/>
  <c r="N21" i="4"/>
  <c r="AU19" i="5"/>
  <c r="AD19" i="6" s="1"/>
  <c r="AK20" i="5"/>
  <c r="AJ21" i="5" s="1"/>
  <c r="N58" i="4"/>
  <c r="N56" i="4"/>
  <c r="T18" i="5"/>
  <c r="AU18" i="5" s="1"/>
  <c r="N25" i="4"/>
  <c r="G19" i="5"/>
  <c r="N59" i="4"/>
  <c r="T19" i="7"/>
  <c r="AY18" i="7" s="1"/>
  <c r="N44" i="4"/>
  <c r="N46" i="4"/>
  <c r="N45" i="4"/>
  <c r="N50" i="4"/>
  <c r="N48" i="4"/>
  <c r="N43" i="4"/>
  <c r="N49" i="4"/>
  <c r="N47" i="4"/>
  <c r="N27" i="4"/>
  <c r="N26" i="4"/>
  <c r="N33" i="4"/>
  <c r="N23" i="4"/>
  <c r="N32" i="4"/>
  <c r="N29" i="4"/>
  <c r="N24" i="4"/>
  <c r="N28" i="4"/>
  <c r="N22" i="4"/>
  <c r="K19" i="5"/>
  <c r="AO19" i="5" s="1"/>
  <c r="AL18" i="5" l="1"/>
  <c r="N63" i="4"/>
  <c r="N52" i="4"/>
  <c r="D25" i="4" s="1"/>
  <c r="N38" i="4"/>
  <c r="C25" i="4" s="1"/>
  <c r="AT19" i="5"/>
  <c r="AS20" i="5" s="1"/>
  <c r="AL20" i="5"/>
  <c r="AX19" i="6"/>
  <c r="AP19" i="5"/>
  <c r="AF19" i="5"/>
  <c r="AG19" i="5" s="1"/>
  <c r="A19" i="6"/>
  <c r="L19" i="5"/>
  <c r="F20" i="5" l="1"/>
  <c r="AU20" i="5"/>
  <c r="AL21" i="5"/>
  <c r="AY19" i="6"/>
  <c r="AM19" i="6"/>
  <c r="AU20" i="6" s="1"/>
  <c r="AD20" i="6" l="1"/>
  <c r="AT20" i="5"/>
  <c r="AS21" i="5" s="1"/>
  <c r="AJ20" i="6"/>
  <c r="AK21" i="5"/>
  <c r="AJ22" i="5" s="1"/>
  <c r="AD19" i="7"/>
  <c r="AL14" i="6"/>
  <c r="J20" i="5"/>
  <c r="AN19" i="6"/>
  <c r="AU21" i="5" l="1"/>
  <c r="AL22" i="5"/>
  <c r="G20" i="5"/>
  <c r="AM19" i="7"/>
  <c r="AU20" i="7" s="1"/>
  <c r="AT20" i="7" s="1"/>
  <c r="AX19" i="7"/>
  <c r="AI20" i="6"/>
  <c r="AD21" i="6" l="1"/>
  <c r="AT21" i="5"/>
  <c r="AS22" i="5" s="1"/>
  <c r="AJ20" i="7"/>
  <c r="AK22" i="5"/>
  <c r="AJ23" i="5" s="1"/>
  <c r="L20" i="5"/>
  <c r="AM20" i="6"/>
  <c r="AY19" i="7"/>
  <c r="AX20" i="6"/>
  <c r="AL14" i="7"/>
  <c r="K20" i="5"/>
  <c r="AT20" i="6"/>
  <c r="AN19" i="7"/>
  <c r="AU21" i="6" l="1"/>
  <c r="AU22" i="5"/>
  <c r="AJ21" i="6"/>
  <c r="AL15" i="6"/>
  <c r="AM15" i="6" s="1"/>
  <c r="AL16" i="6" s="1"/>
  <c r="AY20" i="6"/>
  <c r="AN20" i="6"/>
  <c r="AO20" i="5"/>
  <c r="AP20" i="5" s="1"/>
  <c r="AF20" i="5"/>
  <c r="AG20" i="5" s="1"/>
  <c r="A20" i="6"/>
  <c r="F21" i="5"/>
  <c r="J21" i="5" s="1"/>
  <c r="AD22" i="6" l="1"/>
  <c r="L21" i="5"/>
  <c r="AT22" i="5"/>
  <c r="AS23" i="5" s="1"/>
  <c r="AL23" i="5"/>
  <c r="AK23" i="5"/>
  <c r="AT21" i="6"/>
  <c r="AD20" i="7"/>
  <c r="AX21" i="6"/>
  <c r="AU23" i="5" l="1"/>
  <c r="AJ24" i="5"/>
  <c r="AL24" i="5" s="1"/>
  <c r="K21" i="5"/>
  <c r="G21" i="5"/>
  <c r="AM21" i="6"/>
  <c r="AM20" i="7"/>
  <c r="AU21" i="7" s="1"/>
  <c r="AT21" i="7" s="1"/>
  <c r="AY21" i="6"/>
  <c r="AI21" i="6"/>
  <c r="AU22" i="6" l="1"/>
  <c r="AT22" i="6" s="1"/>
  <c r="AX22" i="6"/>
  <c r="AK24" i="5"/>
  <c r="AT23" i="5"/>
  <c r="AS24" i="5" s="1"/>
  <c r="AJ21" i="7"/>
  <c r="AJ22" i="6"/>
  <c r="AD23" i="6"/>
  <c r="A21" i="6"/>
  <c r="AF21" i="5"/>
  <c r="AG21" i="5" s="1"/>
  <c r="AO21" i="5"/>
  <c r="AP21" i="5" s="1"/>
  <c r="AN20" i="7"/>
  <c r="AI20" i="7"/>
  <c r="AN21" i="6"/>
  <c r="AD21" i="7"/>
  <c r="AX20" i="7"/>
  <c r="AY22" i="6" l="1"/>
  <c r="AJ25" i="5"/>
  <c r="AL25" i="5" s="1"/>
  <c r="AM22" i="6"/>
  <c r="AI22" i="6"/>
  <c r="AI21" i="7"/>
  <c r="AX21" i="7"/>
  <c r="F22" i="5"/>
  <c r="J22" i="5" s="1"/>
  <c r="AY20" i="7"/>
  <c r="AU23" i="6" l="1"/>
  <c r="AT23" i="6" s="1"/>
  <c r="AU24" i="5"/>
  <c r="AD24" i="6" s="1"/>
  <c r="AX23" i="6"/>
  <c r="AK25" i="5"/>
  <c r="AT24" i="5"/>
  <c r="L22" i="5"/>
  <c r="AJ23" i="6"/>
  <c r="AY21" i="7"/>
  <c r="AN22" i="6"/>
  <c r="AM21" i="7"/>
  <c r="AU22" i="7" s="1"/>
  <c r="AT22" i="7" s="1"/>
  <c r="AY23" i="6" l="1"/>
  <c r="AD23" i="7" s="1"/>
  <c r="AS25" i="5"/>
  <c r="AJ26" i="5"/>
  <c r="AL26" i="5" s="1"/>
  <c r="K22" i="5"/>
  <c r="AJ22" i="7"/>
  <c r="AI23" i="6"/>
  <c r="AN21" i="7"/>
  <c r="G22" i="5"/>
  <c r="AU25" i="5" l="1"/>
  <c r="AD25" i="6" s="1"/>
  <c r="AK26" i="5"/>
  <c r="AD22" i="7"/>
  <c r="AM23" i="6"/>
  <c r="AU24" i="6" l="1"/>
  <c r="AT24" i="6" s="1"/>
  <c r="AT25" i="5"/>
  <c r="AS26" i="5" s="1"/>
  <c r="AJ27" i="5"/>
  <c r="AJ24" i="6"/>
  <c r="AN23" i="6"/>
  <c r="AI22" i="7"/>
  <c r="AM22" i="7"/>
  <c r="AU23" i="7" s="1"/>
  <c r="AT23" i="7" s="1"/>
  <c r="AO22" i="5"/>
  <c r="AP22" i="5" s="1"/>
  <c r="A22" i="6"/>
  <c r="AF22" i="5"/>
  <c r="AG22" i="5" s="1"/>
  <c r="F23" i="5"/>
  <c r="J23" i="5" s="1"/>
  <c r="AX22" i="7"/>
  <c r="AL27" i="5" l="1"/>
  <c r="AX24" i="6"/>
  <c r="AU26" i="5"/>
  <c r="AD26" i="6" s="1"/>
  <c r="AT26" i="5"/>
  <c r="L23" i="5"/>
  <c r="AJ23" i="7"/>
  <c r="AY22" i="7"/>
  <c r="AN22" i="7"/>
  <c r="AI24" i="6"/>
  <c r="AK27" i="5" l="1"/>
  <c r="AY24" i="6"/>
  <c r="AS27" i="5"/>
  <c r="AJ28" i="5"/>
  <c r="K23" i="5"/>
  <c r="AM24" i="6"/>
  <c r="AI23" i="7"/>
  <c r="G23" i="5"/>
  <c r="AL28" i="5" l="1"/>
  <c r="AU25" i="6"/>
  <c r="AT25" i="6" s="1"/>
  <c r="AU27" i="5"/>
  <c r="AD27" i="6" s="1"/>
  <c r="AK28" i="5"/>
  <c r="AT27" i="5"/>
  <c r="AJ25" i="6"/>
  <c r="AN24" i="6"/>
  <c r="AD24" i="7"/>
  <c r="AM23" i="7"/>
  <c r="AU24" i="7" s="1"/>
  <c r="AT24" i="7" s="1"/>
  <c r="AX23" i="7"/>
  <c r="AX25" i="6" l="1"/>
  <c r="AS28" i="5"/>
  <c r="AJ29" i="5"/>
  <c r="AI29" i="5" s="1"/>
  <c r="AK29" i="5" s="1"/>
  <c r="AJ24" i="7"/>
  <c r="AN23" i="7"/>
  <c r="AY23" i="7"/>
  <c r="F24" i="5"/>
  <c r="J24" i="5" s="1"/>
  <c r="A23" i="6"/>
  <c r="AO23" i="5"/>
  <c r="AP23" i="5" s="1"/>
  <c r="AF23" i="5"/>
  <c r="AG23" i="5" s="1"/>
  <c r="AI25" i="6"/>
  <c r="AY25" i="6" l="1"/>
  <c r="AT28" i="5"/>
  <c r="AS29" i="5" s="1"/>
  <c r="AU28" i="5"/>
  <c r="AD28" i="6" s="1"/>
  <c r="AJ30" i="5"/>
  <c r="AI30" i="5" s="1"/>
  <c r="AL29" i="5"/>
  <c r="L24" i="5"/>
  <c r="G24" i="5"/>
  <c r="AM25" i="6"/>
  <c r="AU26" i="6" l="1"/>
  <c r="AT26" i="6" s="1"/>
  <c r="AR29" i="5"/>
  <c r="AT29" i="5" s="1"/>
  <c r="AL30" i="5"/>
  <c r="AK30" i="5"/>
  <c r="K24" i="5"/>
  <c r="AJ26" i="6"/>
  <c r="AM24" i="7"/>
  <c r="AU25" i="7" s="1"/>
  <c r="AT25" i="7" s="1"/>
  <c r="AX24" i="7"/>
  <c r="AI24" i="7"/>
  <c r="AN25" i="6"/>
  <c r="AD25" i="7"/>
  <c r="AX26" i="6" l="1"/>
  <c r="AU29" i="5"/>
  <c r="AD29" i="6" s="1"/>
  <c r="AF24" i="5"/>
  <c r="AG24" i="5" s="1"/>
  <c r="AO24" i="5"/>
  <c r="AP24" i="5" s="1"/>
  <c r="AJ31" i="5"/>
  <c r="AI31" i="5" s="1"/>
  <c r="AK31" i="5" s="1"/>
  <c r="AS30" i="5"/>
  <c r="AR30" i="5" s="1"/>
  <c r="AJ25" i="7"/>
  <c r="F25" i="5"/>
  <c r="J25" i="5" s="1"/>
  <c r="AY24" i="7"/>
  <c r="AN24" i="7"/>
  <c r="AI26" i="6"/>
  <c r="AY26" i="6" l="1"/>
  <c r="AD26" i="7" s="1"/>
  <c r="AU30" i="5"/>
  <c r="AT30" i="5"/>
  <c r="AL31" i="5"/>
  <c r="L25" i="5"/>
  <c r="AI25" i="7"/>
  <c r="A24" i="6"/>
  <c r="AM26" i="6"/>
  <c r="AU27" i="6" s="1"/>
  <c r="AV27" i="6" s="1"/>
  <c r="G25" i="5"/>
  <c r="AM25" i="7"/>
  <c r="AU26" i="7" s="1"/>
  <c r="AT26" i="7" s="1"/>
  <c r="AT27" i="6" l="1"/>
  <c r="AS31" i="5"/>
  <c r="AR31" i="5" s="1"/>
  <c r="AT31" i="5" s="1"/>
  <c r="AS32" i="5" s="1"/>
  <c r="K25" i="5"/>
  <c r="AJ32" i="5"/>
  <c r="AI32" i="5" s="1"/>
  <c r="AJ26" i="7"/>
  <c r="AJ27" i="6"/>
  <c r="AK27" i="6" s="1"/>
  <c r="AN26" i="6"/>
  <c r="AN25" i="7"/>
  <c r="AX25" i="7"/>
  <c r="AD30" i="6"/>
  <c r="AX27" i="6" l="1"/>
  <c r="AF25" i="5"/>
  <c r="AG25" i="5" s="1"/>
  <c r="AO25" i="5"/>
  <c r="AP25" i="5" s="1"/>
  <c r="AU31" i="5"/>
  <c r="AD31" i="6" s="1"/>
  <c r="AK32" i="5"/>
  <c r="AL32" i="5"/>
  <c r="AY26" i="7"/>
  <c r="AI26" i="7"/>
  <c r="AR32" i="5"/>
  <c r="AY25" i="7"/>
  <c r="F26" i="5"/>
  <c r="J26" i="5" s="1"/>
  <c r="AY27" i="6" l="1"/>
  <c r="L26" i="5"/>
  <c r="AJ33" i="5"/>
  <c r="AI33" i="5" s="1"/>
  <c r="AX26" i="7"/>
  <c r="AM27" i="6"/>
  <c r="AU28" i="6" s="1"/>
  <c r="AV28" i="6" s="1"/>
  <c r="AU32" i="5"/>
  <c r="A25" i="6"/>
  <c r="G26" i="5"/>
  <c r="AM26" i="7"/>
  <c r="AU27" i="7" s="1"/>
  <c r="AT27" i="7" s="1"/>
  <c r="AI27" i="6"/>
  <c r="AT32" i="5"/>
  <c r="AS33" i="5" s="1"/>
  <c r="AT28" i="6" l="1"/>
  <c r="AX28" i="6"/>
  <c r="K26" i="5"/>
  <c r="AK33" i="5"/>
  <c r="AL33" i="5"/>
  <c r="AJ28" i="6"/>
  <c r="AK28" i="6" s="1"/>
  <c r="AJ27" i="7"/>
  <c r="AD27" i="7"/>
  <c r="AN26" i="7"/>
  <c r="AN27" i="6"/>
  <c r="AR33" i="5"/>
  <c r="AT33" i="5" s="1"/>
  <c r="AS34" i="5" s="1"/>
  <c r="AD32" i="6"/>
  <c r="AY28" i="6" l="1"/>
  <c r="AF26" i="5"/>
  <c r="AG26" i="5" s="1"/>
  <c r="AO26" i="5"/>
  <c r="AP26" i="5" s="1"/>
  <c r="AJ34" i="5"/>
  <c r="AI34" i="5" s="1"/>
  <c r="AK34" i="5" s="1"/>
  <c r="AI28" i="6"/>
  <c r="F27" i="5"/>
  <c r="J27" i="5" s="1"/>
  <c r="AR34" i="5"/>
  <c r="AU33" i="5"/>
  <c r="L27" i="5" l="1"/>
  <c r="AL34" i="5"/>
  <c r="AJ35" i="5"/>
  <c r="AI35" i="5" s="1"/>
  <c r="AL35" i="5" s="1"/>
  <c r="AM28" i="6"/>
  <c r="AU29" i="6" s="1"/>
  <c r="AU34" i="5"/>
  <c r="AD34" i="6" s="1"/>
  <c r="A26" i="6"/>
  <c r="AM27" i="7"/>
  <c r="AU28" i="7" s="1"/>
  <c r="AT28" i="7" s="1"/>
  <c r="AT34" i="5"/>
  <c r="AS35" i="5" s="1"/>
  <c r="G27" i="5"/>
  <c r="AD33" i="6"/>
  <c r="AX27" i="7"/>
  <c r="AI27" i="7"/>
  <c r="F28" i="5" l="1"/>
  <c r="J28" i="5" s="1"/>
  <c r="G28" i="5" s="1"/>
  <c r="AT29" i="6"/>
  <c r="K27" i="5"/>
  <c r="AK35" i="5"/>
  <c r="AJ36" i="5" s="1"/>
  <c r="AI36" i="5" s="1"/>
  <c r="AL36" i="5" s="1"/>
  <c r="AJ28" i="7"/>
  <c r="AJ29" i="6"/>
  <c r="AN28" i="6"/>
  <c r="AN27" i="7"/>
  <c r="AD28" i="7"/>
  <c r="AR35" i="5"/>
  <c r="AY27" i="7"/>
  <c r="AK29" i="6" l="1"/>
  <c r="AL29" i="6" s="1"/>
  <c r="AM29" i="6" s="1"/>
  <c r="AX29" i="6"/>
  <c r="AO27" i="5"/>
  <c r="AP27" i="5" s="1"/>
  <c r="AF27" i="5"/>
  <c r="AG27" i="5" s="1"/>
  <c r="AK36" i="5"/>
  <c r="AJ37" i="5" s="1"/>
  <c r="AI37" i="5" s="1"/>
  <c r="AL37" i="5" s="1"/>
  <c r="AM28" i="7"/>
  <c r="AU29" i="7" s="1"/>
  <c r="AT29" i="7" s="1"/>
  <c r="AU35" i="5"/>
  <c r="AD35" i="6" s="1"/>
  <c r="AT35" i="5"/>
  <c r="AS36" i="5" s="1"/>
  <c r="AI29" i="6" l="1"/>
  <c r="AU30" i="6"/>
  <c r="AV30" i="6" s="1"/>
  <c r="AX30" i="6"/>
  <c r="AY29" i="6"/>
  <c r="AD29" i="7" s="1"/>
  <c r="L28" i="5"/>
  <c r="A27" i="6"/>
  <c r="AK37" i="5"/>
  <c r="AJ38" i="5" s="1"/>
  <c r="AI38" i="5" s="1"/>
  <c r="AL38" i="5" s="1"/>
  <c r="AJ29" i="7"/>
  <c r="AJ30" i="6"/>
  <c r="AI28" i="7"/>
  <c r="AN28" i="7"/>
  <c r="AR36" i="5"/>
  <c r="AX28" i="7"/>
  <c r="AN29" i="6"/>
  <c r="AK30" i="6" l="1"/>
  <c r="AT30" i="6"/>
  <c r="AY30" i="6"/>
  <c r="K28" i="5"/>
  <c r="AK38" i="5"/>
  <c r="AJ39" i="5" s="1"/>
  <c r="AI39" i="5" s="1"/>
  <c r="AK39" i="5" s="1"/>
  <c r="AI29" i="7"/>
  <c r="AU36" i="5"/>
  <c r="AY28" i="7"/>
  <c r="AT36" i="5"/>
  <c r="AI30" i="6" l="1"/>
  <c r="AL30" i="6"/>
  <c r="AM30" i="6" s="1"/>
  <c r="AF28" i="5"/>
  <c r="AG28" i="5" s="1"/>
  <c r="AO28" i="5"/>
  <c r="AP28" i="5" s="1"/>
  <c r="AM29" i="7"/>
  <c r="AU30" i="7" s="1"/>
  <c r="AT30" i="7" s="1"/>
  <c r="AD36" i="6"/>
  <c r="AJ40" i="5"/>
  <c r="AI40" i="5" s="1"/>
  <c r="AK40" i="5" s="1"/>
  <c r="AX29" i="7"/>
  <c r="F29" i="5"/>
  <c r="AS37" i="5"/>
  <c r="AR37" i="5" s="1"/>
  <c r="AT37" i="5" s="1"/>
  <c r="AL39" i="5"/>
  <c r="AU31" i="6" l="1"/>
  <c r="AV31" i="6" s="1"/>
  <c r="AX31" i="6" s="1"/>
  <c r="AJ30" i="7"/>
  <c r="AJ31" i="6"/>
  <c r="AK31" i="6" s="1"/>
  <c r="AN29" i="7"/>
  <c r="AL40" i="5"/>
  <c r="AS38" i="5"/>
  <c r="AR38" i="5" s="1"/>
  <c r="AT38" i="5" s="1"/>
  <c r="AY29" i="7"/>
  <c r="A28" i="6"/>
  <c r="AN30" i="6"/>
  <c r="AU37" i="5"/>
  <c r="J29" i="5"/>
  <c r="G29" i="5" s="1"/>
  <c r="AJ41" i="5"/>
  <c r="AI41" i="5" s="1"/>
  <c r="AK41" i="5" s="1"/>
  <c r="AD30" i="7"/>
  <c r="AT31" i="6" l="1"/>
  <c r="AY31" i="6"/>
  <c r="AU38" i="5"/>
  <c r="AD38" i="6" s="1"/>
  <c r="AD37" i="6"/>
  <c r="AS39" i="5"/>
  <c r="AR39" i="5" s="1"/>
  <c r="AM30" i="7"/>
  <c r="AU31" i="7" s="1"/>
  <c r="AJ42" i="5"/>
  <c r="AI42" i="5" s="1"/>
  <c r="AL31" i="6"/>
  <c r="AX30" i="7"/>
  <c r="AL41" i="5"/>
  <c r="I29" i="5"/>
  <c r="L29" i="5" s="1"/>
  <c r="AJ31" i="7" l="1"/>
  <c r="AL42" i="5"/>
  <c r="F30" i="5"/>
  <c r="AU39" i="5"/>
  <c r="AM31" i="6"/>
  <c r="AY30" i="7"/>
  <c r="AK42" i="5"/>
  <c r="K29" i="5"/>
  <c r="AI31" i="6"/>
  <c r="AN30" i="7"/>
  <c r="AI30" i="7"/>
  <c r="AT39" i="5"/>
  <c r="AF29" i="5" l="1"/>
  <c r="AG29" i="5" s="1"/>
  <c r="AO29" i="5"/>
  <c r="AP29" i="5" s="1"/>
  <c r="AJ32" i="6"/>
  <c r="AU32" i="6"/>
  <c r="AD39" i="6"/>
  <c r="AS40" i="5"/>
  <c r="AR40" i="5" s="1"/>
  <c r="AT40" i="5" s="1"/>
  <c r="AJ43" i="5"/>
  <c r="AI43" i="5" s="1"/>
  <c r="A29" i="6"/>
  <c r="AD31" i="7"/>
  <c r="AV31" i="7" s="1"/>
  <c r="AT31" i="7" s="1"/>
  <c r="AN31" i="6"/>
  <c r="J30" i="5"/>
  <c r="G30" i="5" s="1"/>
  <c r="AK32" i="6" l="1"/>
  <c r="AL32" i="6" s="1"/>
  <c r="AM32" i="6" s="1"/>
  <c r="AL43" i="5"/>
  <c r="AK31" i="7"/>
  <c r="AS41" i="5"/>
  <c r="AR41" i="5" s="1"/>
  <c r="AT41" i="5" s="1"/>
  <c r="AV32" i="6"/>
  <c r="AT32" i="6" s="1"/>
  <c r="I30" i="5"/>
  <c r="L30" i="5" s="1"/>
  <c r="AX31" i="7"/>
  <c r="AK43" i="5"/>
  <c r="AU40" i="5"/>
  <c r="AI32" i="6" l="1"/>
  <c r="AJ33" i="6"/>
  <c r="AU33" i="6"/>
  <c r="AV33" i="6" s="1"/>
  <c r="AN32" i="6"/>
  <c r="AI31" i="7"/>
  <c r="AS42" i="5"/>
  <c r="AR42" i="5" s="1"/>
  <c r="AT42" i="5" s="1"/>
  <c r="AD40" i="6"/>
  <c r="F31" i="5"/>
  <c r="AM31" i="7"/>
  <c r="AJ44" i="5"/>
  <c r="AI44" i="5" s="1"/>
  <c r="AK44" i="5" s="1"/>
  <c r="K30" i="5"/>
  <c r="AW32" i="6"/>
  <c r="AX32" i="6" s="1"/>
  <c r="AU41" i="5"/>
  <c r="AY31" i="7"/>
  <c r="AK33" i="6" l="1"/>
  <c r="AI33" i="6" s="1"/>
  <c r="AF30" i="5"/>
  <c r="AG30" i="5" s="1"/>
  <c r="AO30" i="5"/>
  <c r="AP30" i="5" s="1"/>
  <c r="AJ32" i="7"/>
  <c r="AU32" i="7"/>
  <c r="AJ45" i="5"/>
  <c r="AI45" i="5" s="1"/>
  <c r="AS43" i="5"/>
  <c r="AR43" i="5" s="1"/>
  <c r="AT33" i="6"/>
  <c r="AW33" i="6"/>
  <c r="AY33" i="6" s="1"/>
  <c r="AD33" i="7" s="1"/>
  <c r="AL44" i="5"/>
  <c r="J31" i="5"/>
  <c r="A30" i="6"/>
  <c r="AD41" i="6"/>
  <c r="AY32" i="6"/>
  <c r="AD32" i="7" s="1"/>
  <c r="AU42" i="5"/>
  <c r="AN31" i="7"/>
  <c r="AL33" i="6" l="1"/>
  <c r="AM33" i="6" s="1"/>
  <c r="AJ34" i="6" s="1"/>
  <c r="AK34" i="6" s="1"/>
  <c r="I31" i="5"/>
  <c r="L31" i="5" s="1"/>
  <c r="G31" i="5"/>
  <c r="AK32" i="7"/>
  <c r="AU43" i="5"/>
  <c r="AD43" i="6" s="1"/>
  <c r="AX33" i="6"/>
  <c r="AL45" i="5"/>
  <c r="AD42" i="6"/>
  <c r="AK45" i="5"/>
  <c r="AV32" i="7"/>
  <c r="AX32" i="7" s="1"/>
  <c r="AT43" i="5"/>
  <c r="AN33" i="6" l="1"/>
  <c r="AU34" i="6"/>
  <c r="AV34" i="6" s="1"/>
  <c r="AT34" i="6" s="1"/>
  <c r="F32" i="5"/>
  <c r="J32" i="5" s="1"/>
  <c r="K31" i="5"/>
  <c r="AI32" i="7"/>
  <c r="AT32" i="7"/>
  <c r="AL34" i="6"/>
  <c r="AM34" i="6" s="1"/>
  <c r="AJ35" i="6" s="1"/>
  <c r="AJ46" i="5"/>
  <c r="AI46" i="5" s="1"/>
  <c r="AS44" i="5"/>
  <c r="AR44" i="5" s="1"/>
  <c r="AM32" i="7"/>
  <c r="AI34" i="6"/>
  <c r="AY32" i="7"/>
  <c r="AN32" i="7"/>
  <c r="AF31" i="5" l="1"/>
  <c r="AG31" i="5" s="1"/>
  <c r="AO31" i="5"/>
  <c r="AP31" i="5" s="1"/>
  <c r="AJ33" i="7"/>
  <c r="AU33" i="7"/>
  <c r="I32" i="5"/>
  <c r="L32" i="5" s="1"/>
  <c r="G32" i="5"/>
  <c r="A31" i="6"/>
  <c r="AU44" i="5"/>
  <c r="AD44" i="6" s="1"/>
  <c r="AT44" i="5"/>
  <c r="AL46" i="5"/>
  <c r="AU35" i="6"/>
  <c r="AK35" i="6"/>
  <c r="AL35" i="6" s="1"/>
  <c r="AM35" i="6" s="1"/>
  <c r="AJ36" i="6" s="1"/>
  <c r="AW34" i="6"/>
  <c r="AX34" i="6" s="1"/>
  <c r="AK46" i="5"/>
  <c r="AN34" i="6"/>
  <c r="F33" i="5" l="1"/>
  <c r="K32" i="5"/>
  <c r="AS45" i="5"/>
  <c r="AU36" i="6"/>
  <c r="AK33" i="7"/>
  <c r="AV35" i="6"/>
  <c r="AN35" i="6"/>
  <c r="AI35" i="6"/>
  <c r="AJ47" i="5"/>
  <c r="AI47" i="5" s="1"/>
  <c r="AK47" i="5" s="1"/>
  <c r="AY34" i="6"/>
  <c r="AD34" i="7" s="1"/>
  <c r="AV33" i="7"/>
  <c r="AT33" i="7" s="1"/>
  <c r="A32" i="6" l="1"/>
  <c r="AO32" i="5"/>
  <c r="AP32" i="5" s="1"/>
  <c r="AF32" i="5"/>
  <c r="AG32" i="5" s="1"/>
  <c r="J33" i="5"/>
  <c r="AR45" i="5"/>
  <c r="AT45" i="5" s="1"/>
  <c r="AJ48" i="5"/>
  <c r="AI48" i="5" s="1"/>
  <c r="AL47" i="5"/>
  <c r="AX33" i="7"/>
  <c r="AK36" i="6"/>
  <c r="AW35" i="6"/>
  <c r="AX35" i="6" s="1"/>
  <c r="AI33" i="7"/>
  <c r="AT35" i="6"/>
  <c r="AS46" i="5" l="1"/>
  <c r="AR46" i="5" s="1"/>
  <c r="I33" i="5"/>
  <c r="L33" i="5" s="1"/>
  <c r="AU45" i="5"/>
  <c r="AD45" i="6" s="1"/>
  <c r="G33" i="5"/>
  <c r="AL48" i="5"/>
  <c r="AK48" i="5"/>
  <c r="AM33" i="7"/>
  <c r="AY35" i="6"/>
  <c r="AD35" i="7" s="1"/>
  <c r="AV36" i="6"/>
  <c r="AL36" i="6"/>
  <c r="AM36" i="6" s="1"/>
  <c r="AJ37" i="6" s="1"/>
  <c r="AY33" i="7"/>
  <c r="AN33" i="7"/>
  <c r="AI36" i="6"/>
  <c r="AJ34" i="7" l="1"/>
  <c r="AU34" i="7"/>
  <c r="AU46" i="5"/>
  <c r="K33" i="5"/>
  <c r="F34" i="5"/>
  <c r="AT46" i="5"/>
  <c r="AJ49" i="5"/>
  <c r="AU37" i="6"/>
  <c r="AW36" i="6"/>
  <c r="AX36" i="6" s="1"/>
  <c r="AT36" i="6"/>
  <c r="AN36" i="6"/>
  <c r="AO33" i="5" l="1"/>
  <c r="AP33" i="5" s="1"/>
  <c r="AD46" i="6"/>
  <c r="A33" i="6"/>
  <c r="AF33" i="5"/>
  <c r="AG33" i="5" s="1"/>
  <c r="J34" i="5"/>
  <c r="AI49" i="5"/>
  <c r="AK49" i="5" s="1"/>
  <c r="AJ50" i="5" s="1"/>
  <c r="AI50" i="5" s="1"/>
  <c r="AK50" i="5" s="1"/>
  <c r="AS47" i="5"/>
  <c r="AR47" i="5" s="1"/>
  <c r="AK34" i="7"/>
  <c r="AK37" i="6"/>
  <c r="AI37" i="6" s="1"/>
  <c r="AY36" i="6"/>
  <c r="AD36" i="7" s="1"/>
  <c r="AV34" i="7"/>
  <c r="AV37" i="6"/>
  <c r="AW37" i="6" s="1"/>
  <c r="AX37" i="6" s="1"/>
  <c r="AU47" i="5" l="1"/>
  <c r="AD47" i="6" s="1"/>
  <c r="AT47" i="5"/>
  <c r="AL49" i="5"/>
  <c r="I34" i="5"/>
  <c r="L34" i="5" s="1"/>
  <c r="G34" i="5"/>
  <c r="AW34" i="7"/>
  <c r="AX34" i="7" s="1"/>
  <c r="AL34" i="7"/>
  <c r="AJ51" i="5"/>
  <c r="AI51" i="5" s="1"/>
  <c r="AT34" i="7"/>
  <c r="AL37" i="6"/>
  <c r="AM37" i="6" s="1"/>
  <c r="AJ38" i="6" s="1"/>
  <c r="AY37" i="6"/>
  <c r="AD37" i="7" s="1"/>
  <c r="AL50" i="5"/>
  <c r="AT37" i="6"/>
  <c r="AI34" i="7"/>
  <c r="K34" i="5" l="1"/>
  <c r="AO34" i="5" s="1"/>
  <c r="AP34" i="5" s="1"/>
  <c r="AS48" i="5"/>
  <c r="AR48" i="5" s="1"/>
  <c r="F35" i="5"/>
  <c r="AL51" i="5"/>
  <c r="AK51" i="5"/>
  <c r="AY34" i="7"/>
  <c r="AM34" i="7"/>
  <c r="AU38" i="6"/>
  <c r="AV38" i="6" s="1"/>
  <c r="AN34" i="7"/>
  <c r="AN37" i="6"/>
  <c r="AJ35" i="7" l="1"/>
  <c r="AU35" i="7"/>
  <c r="A34" i="6"/>
  <c r="AF34" i="5"/>
  <c r="AG34" i="5" s="1"/>
  <c r="J35" i="5"/>
  <c r="I35" i="5" s="1"/>
  <c r="L35" i="5" s="1"/>
  <c r="F36" i="5" s="1"/>
  <c r="AT48" i="5"/>
  <c r="AU48" i="5"/>
  <c r="AD48" i="6" s="1"/>
  <c r="AJ52" i="5"/>
  <c r="AW38" i="6"/>
  <c r="AX38" i="6" s="1"/>
  <c r="AT38" i="6"/>
  <c r="AK38" i="6"/>
  <c r="K35" i="5" l="1"/>
  <c r="A35" i="6" s="1"/>
  <c r="G35" i="5"/>
  <c r="J36" i="5" s="1"/>
  <c r="AS49" i="5"/>
  <c r="AR49" i="5" s="1"/>
  <c r="AI52" i="5"/>
  <c r="AK52" i="5" s="1"/>
  <c r="AL38" i="6"/>
  <c r="AM38" i="6" s="1"/>
  <c r="AJ39" i="6" s="1"/>
  <c r="AK35" i="7"/>
  <c r="AV35" i="7"/>
  <c r="AI38" i="6"/>
  <c r="AY38" i="6"/>
  <c r="AD38" i="7" s="1"/>
  <c r="AO35" i="5" l="1"/>
  <c r="AP35" i="5" s="1"/>
  <c r="AF35" i="5"/>
  <c r="AG35" i="5" s="1"/>
  <c r="I36" i="5"/>
  <c r="L36" i="5" s="1"/>
  <c r="F37" i="5" s="1"/>
  <c r="G36" i="5"/>
  <c r="AT49" i="5"/>
  <c r="AU49" i="5"/>
  <c r="AD49" i="6" s="1"/>
  <c r="AJ53" i="5"/>
  <c r="AI53" i="5" s="1"/>
  <c r="AL52" i="5"/>
  <c r="AN38" i="6"/>
  <c r="AW35" i="7"/>
  <c r="AX35" i="7" s="1"/>
  <c r="AT35" i="7"/>
  <c r="AL35" i="7"/>
  <c r="AM35" i="7" s="1"/>
  <c r="AJ36" i="7" s="1"/>
  <c r="AI35" i="7"/>
  <c r="AK39" i="6"/>
  <c r="AU39" i="6"/>
  <c r="J37" i="5" l="1"/>
  <c r="G37" i="5" s="1"/>
  <c r="K36" i="5"/>
  <c r="AK53" i="5"/>
  <c r="AL53" i="5"/>
  <c r="AS50" i="5"/>
  <c r="AR50" i="5" s="1"/>
  <c r="AY35" i="7"/>
  <c r="AI39" i="6"/>
  <c r="AV39" i="6"/>
  <c r="AT39" i="6" s="1"/>
  <c r="AU36" i="7"/>
  <c r="AV36" i="7" s="1"/>
  <c r="AN35" i="7"/>
  <c r="AL39" i="6"/>
  <c r="AM39" i="6" s="1"/>
  <c r="AJ40" i="6" s="1"/>
  <c r="I37" i="5" l="1"/>
  <c r="L37" i="5" s="1"/>
  <c r="F38" i="5" s="1"/>
  <c r="J38" i="5" s="1"/>
  <c r="I38" i="5" s="1"/>
  <c r="L38" i="5" s="1"/>
  <c r="AO36" i="5"/>
  <c r="AP36" i="5" s="1"/>
  <c r="A36" i="6"/>
  <c r="AF36" i="5"/>
  <c r="AG36" i="5" s="1"/>
  <c r="AT50" i="5"/>
  <c r="AU50" i="5"/>
  <c r="AD50" i="6" s="1"/>
  <c r="AJ54" i="5"/>
  <c r="AI54" i="5" s="1"/>
  <c r="AK36" i="7"/>
  <c r="AI36" i="7" s="1"/>
  <c r="AU40" i="6"/>
  <c r="AW39" i="6"/>
  <c r="AX39" i="6" s="1"/>
  <c r="AT36" i="7"/>
  <c r="AW36" i="7"/>
  <c r="AX36" i="7" s="1"/>
  <c r="AN39" i="6"/>
  <c r="K37" i="5" l="1"/>
  <c r="AF37" i="5" s="1"/>
  <c r="AG37" i="5" s="1"/>
  <c r="AL54" i="5"/>
  <c r="AK54" i="5"/>
  <c r="F39" i="5"/>
  <c r="AS51" i="5"/>
  <c r="AR51" i="5" s="1"/>
  <c r="G38" i="5"/>
  <c r="K38" i="5"/>
  <c r="AL36" i="7"/>
  <c r="AM36" i="7" s="1"/>
  <c r="AY39" i="6"/>
  <c r="AD39" i="7" s="1"/>
  <c r="AV40" i="6"/>
  <c r="AK40" i="6"/>
  <c r="AI40" i="6" s="1"/>
  <c r="AY36" i="7"/>
  <c r="AO37" i="5" l="1"/>
  <c r="AP37" i="5" s="1"/>
  <c r="A37" i="6"/>
  <c r="AU37" i="7"/>
  <c r="AV37" i="7" s="1"/>
  <c r="AW37" i="7" s="1"/>
  <c r="AX37" i="7" s="1"/>
  <c r="AJ37" i="7"/>
  <c r="AK37" i="7" s="1"/>
  <c r="AI37" i="7" s="1"/>
  <c r="AT51" i="5"/>
  <c r="AU51" i="5"/>
  <c r="AD51" i="6" s="1"/>
  <c r="J39" i="5"/>
  <c r="AO38" i="5"/>
  <c r="AP38" i="5" s="1"/>
  <c r="AF38" i="5"/>
  <c r="AG38" i="5" s="1"/>
  <c r="A38" i="6"/>
  <c r="AJ55" i="5"/>
  <c r="AI55" i="5" s="1"/>
  <c r="AN36" i="7"/>
  <c r="AW40" i="6"/>
  <c r="AX40" i="6" s="1"/>
  <c r="AL40" i="6"/>
  <c r="AM40" i="6" s="1"/>
  <c r="AJ41" i="6" s="1"/>
  <c r="AT40" i="6"/>
  <c r="AT37" i="7" l="1"/>
  <c r="AL55" i="5"/>
  <c r="AK55" i="5"/>
  <c r="I39" i="5"/>
  <c r="L39" i="5" s="1"/>
  <c r="G39" i="5"/>
  <c r="AS52" i="5"/>
  <c r="AR52" i="5" s="1"/>
  <c r="AN40" i="6"/>
  <c r="AY40" i="6"/>
  <c r="AD40" i="7" s="1"/>
  <c r="AU41" i="6"/>
  <c r="AV41" i="6" s="1"/>
  <c r="AL37" i="7"/>
  <c r="AM37" i="7" s="1"/>
  <c r="AJ38" i="7" s="1"/>
  <c r="AY37" i="7"/>
  <c r="AT52" i="5" l="1"/>
  <c r="AU52" i="5"/>
  <c r="AD52" i="6" s="1"/>
  <c r="F40" i="5"/>
  <c r="J40" i="5" s="1"/>
  <c r="I40" i="5" s="1"/>
  <c r="L40" i="5" s="1"/>
  <c r="K39" i="5"/>
  <c r="AJ56" i="5"/>
  <c r="AI56" i="5" s="1"/>
  <c r="AN37" i="7"/>
  <c r="AW41" i="6"/>
  <c r="AX41" i="6" s="1"/>
  <c r="AT41" i="6"/>
  <c r="AK41" i="6"/>
  <c r="AI41" i="6" s="1"/>
  <c r="AU38" i="7"/>
  <c r="F41" i="5" l="1"/>
  <c r="AK56" i="5"/>
  <c r="AL56" i="5"/>
  <c r="O19" i="5" s="1"/>
  <c r="G40" i="5"/>
  <c r="K40" i="5"/>
  <c r="A39" i="6"/>
  <c r="AO39" i="5"/>
  <c r="AP39" i="5" s="1"/>
  <c r="AF39" i="5"/>
  <c r="AG39" i="5" s="1"/>
  <c r="AS53" i="5"/>
  <c r="AR53" i="5" s="1"/>
  <c r="AK38" i="7"/>
  <c r="AL41" i="6"/>
  <c r="AM41" i="6" s="1"/>
  <c r="AV38" i="7"/>
  <c r="AT38" i="7" s="1"/>
  <c r="AY41" i="6"/>
  <c r="AD41" i="7" s="1"/>
  <c r="AU53" i="5" l="1"/>
  <c r="AD53" i="6" s="1"/>
  <c r="AT53" i="5"/>
  <c r="AO40" i="5"/>
  <c r="AP40" i="5" s="1"/>
  <c r="A40" i="6"/>
  <c r="AF40" i="5"/>
  <c r="AG40" i="5" s="1"/>
  <c r="J41" i="5"/>
  <c r="AL38" i="7"/>
  <c r="AM38" i="7" s="1"/>
  <c r="AJ39" i="7" s="1"/>
  <c r="AI38" i="7"/>
  <c r="AJ42" i="6"/>
  <c r="AU42" i="6"/>
  <c r="AW38" i="7"/>
  <c r="AX38" i="7" s="1"/>
  <c r="AN41" i="6"/>
  <c r="I41" i="5" l="1"/>
  <c r="L41" i="5" s="1"/>
  <c r="G41" i="5"/>
  <c r="AS54" i="5"/>
  <c r="AR54" i="5" s="1"/>
  <c r="AU54" i="5" s="1"/>
  <c r="AD54" i="6" s="1"/>
  <c r="AK42" i="6"/>
  <c r="AU39" i="7"/>
  <c r="AY38" i="7"/>
  <c r="AV42" i="6"/>
  <c r="AT42" i="6" s="1"/>
  <c r="AN38" i="7"/>
  <c r="AT54" i="5" l="1"/>
  <c r="F42" i="5"/>
  <c r="J42" i="5" s="1"/>
  <c r="I42" i="5" s="1"/>
  <c r="L42" i="5" s="1"/>
  <c r="K41" i="5"/>
  <c r="AK39" i="7"/>
  <c r="AL42" i="6"/>
  <c r="AM42" i="6" s="1"/>
  <c r="AI42" i="6"/>
  <c r="AV39" i="7"/>
  <c r="AT39" i="7" s="1"/>
  <c r="AW42" i="6"/>
  <c r="AX42" i="6" s="1"/>
  <c r="F43" i="5" l="1"/>
  <c r="AS55" i="5"/>
  <c r="AR55" i="5" s="1"/>
  <c r="K42" i="5"/>
  <c r="AF41" i="5"/>
  <c r="AG41" i="5" s="1"/>
  <c r="A41" i="6"/>
  <c r="AO41" i="5"/>
  <c r="AP41" i="5" s="1"/>
  <c r="G42" i="5"/>
  <c r="AL39" i="7"/>
  <c r="AM39" i="7" s="1"/>
  <c r="AU43" i="6"/>
  <c r="AJ43" i="6"/>
  <c r="AK43" i="6" s="1"/>
  <c r="AY42" i="6"/>
  <c r="AD42" i="7" s="1"/>
  <c r="AW39" i="7"/>
  <c r="AX39" i="7" s="1"/>
  <c r="AN42" i="6"/>
  <c r="AI39" i="7"/>
  <c r="J43" i="5" l="1"/>
  <c r="G43" i="5" s="1"/>
  <c r="AT55" i="5"/>
  <c r="AU55" i="5"/>
  <c r="AO42" i="5"/>
  <c r="AP42" i="5" s="1"/>
  <c r="A42" i="6"/>
  <c r="AF42" i="5"/>
  <c r="AG42" i="5" s="1"/>
  <c r="AL43" i="6"/>
  <c r="AM43" i="6" s="1"/>
  <c r="AI43" i="6"/>
  <c r="AJ40" i="7"/>
  <c r="AU40" i="7"/>
  <c r="AY39" i="7"/>
  <c r="AV43" i="6"/>
  <c r="AN39" i="7"/>
  <c r="I43" i="5" l="1"/>
  <c r="L43" i="5" s="1"/>
  <c r="F44" i="5" s="1"/>
  <c r="AD55" i="6"/>
  <c r="AS56" i="5"/>
  <c r="AR56" i="5" s="1"/>
  <c r="AV40" i="7"/>
  <c r="AT40" i="7" s="1"/>
  <c r="AK40" i="7"/>
  <c r="AI40" i="7" s="1"/>
  <c r="AU44" i="6"/>
  <c r="AJ44" i="6"/>
  <c r="AK44" i="6" s="1"/>
  <c r="AW43" i="6"/>
  <c r="AX43" i="6" s="1"/>
  <c r="AT43" i="6"/>
  <c r="AN43" i="6"/>
  <c r="K43" i="5" l="1"/>
  <c r="A43" i="6" s="1"/>
  <c r="J44" i="5"/>
  <c r="I44" i="5" s="1"/>
  <c r="L44" i="5" s="1"/>
  <c r="F45" i="5" s="1"/>
  <c r="AU56" i="5"/>
  <c r="AT56" i="5"/>
  <c r="AL44" i="6"/>
  <c r="AM44" i="6" s="1"/>
  <c r="AI44" i="6"/>
  <c r="AY43" i="6"/>
  <c r="AD43" i="7" s="1"/>
  <c r="AL40" i="7"/>
  <c r="AM40" i="7" s="1"/>
  <c r="AV44" i="6"/>
  <c r="AW44" i="6" s="1"/>
  <c r="AX44" i="6" s="1"/>
  <c r="AW40" i="7"/>
  <c r="AX40" i="7" s="1"/>
  <c r="AO43" i="5" l="1"/>
  <c r="AP43" i="5" s="1"/>
  <c r="AF43" i="5"/>
  <c r="AG43" i="5" s="1"/>
  <c r="AD56" i="6"/>
  <c r="K44" i="5"/>
  <c r="AO44" i="5" s="1"/>
  <c r="AP44" i="5" s="1"/>
  <c r="G44" i="5"/>
  <c r="J45" i="5" s="1"/>
  <c r="AY40" i="7"/>
  <c r="AT44" i="6"/>
  <c r="AY44" i="6"/>
  <c r="AD44" i="7" s="1"/>
  <c r="AU45" i="6"/>
  <c r="AJ45" i="6"/>
  <c r="AU41" i="7"/>
  <c r="AJ41" i="7"/>
  <c r="AN40" i="7"/>
  <c r="AN44" i="6"/>
  <c r="AF44" i="5" l="1"/>
  <c r="AG44" i="5" s="1"/>
  <c r="A44" i="6"/>
  <c r="I45" i="5"/>
  <c r="L45" i="5" s="1"/>
  <c r="G45" i="5"/>
  <c r="AV45" i="6"/>
  <c r="AW45" i="6" s="1"/>
  <c r="AX45" i="6" s="1"/>
  <c r="AK45" i="6"/>
  <c r="AV41" i="7"/>
  <c r="AT41" i="7" s="1"/>
  <c r="AK41" i="7"/>
  <c r="K45" i="5" l="1"/>
  <c r="A45" i="6" s="1"/>
  <c r="F46" i="5"/>
  <c r="AY45" i="6"/>
  <c r="AD45" i="7" s="1"/>
  <c r="AT45" i="6"/>
  <c r="AW41" i="7"/>
  <c r="AX41" i="7" s="1"/>
  <c r="AL41" i="7"/>
  <c r="AM41" i="7" s="1"/>
  <c r="AI41" i="7"/>
  <c r="AL45" i="6"/>
  <c r="AM45" i="6" s="1"/>
  <c r="AI45" i="6"/>
  <c r="AO45" i="5" l="1"/>
  <c r="AP45" i="5" s="1"/>
  <c r="AF45" i="5"/>
  <c r="AG45" i="5" s="1"/>
  <c r="J46" i="5"/>
  <c r="G46" i="5" s="1"/>
  <c r="AN45" i="6"/>
  <c r="AN41" i="7"/>
  <c r="AY41" i="7"/>
  <c r="AJ46" i="6"/>
  <c r="AU46" i="6"/>
  <c r="AU42" i="7"/>
  <c r="AJ42" i="7"/>
  <c r="AK42" i="7" s="1"/>
  <c r="I46" i="5" l="1"/>
  <c r="L46" i="5" s="1"/>
  <c r="AK46" i="6"/>
  <c r="AL46" i="6" s="1"/>
  <c r="AM46" i="6" s="1"/>
  <c r="AU47" i="6" s="1"/>
  <c r="AL42" i="7"/>
  <c r="AM42" i="7" s="1"/>
  <c r="AI42" i="7"/>
  <c r="AV46" i="6"/>
  <c r="AT46" i="6" s="1"/>
  <c r="AV42" i="7"/>
  <c r="F47" i="5" l="1"/>
  <c r="K46" i="5"/>
  <c r="AN46" i="6"/>
  <c r="AJ47" i="6"/>
  <c r="AI46" i="6"/>
  <c r="AV47" i="6"/>
  <c r="AW42" i="7"/>
  <c r="AX42" i="7" s="1"/>
  <c r="AU43" i="7"/>
  <c r="AJ43" i="7"/>
  <c r="AT42" i="7"/>
  <c r="AW46" i="6"/>
  <c r="AX46" i="6" s="1"/>
  <c r="AN42" i="7"/>
  <c r="A46" i="6" l="1"/>
  <c r="AO46" i="5"/>
  <c r="AP46" i="5" s="1"/>
  <c r="AF46" i="5"/>
  <c r="AG46" i="5" s="1"/>
  <c r="J47" i="5"/>
  <c r="AK47" i="6"/>
  <c r="AY46" i="6"/>
  <c r="AD46" i="7" s="1"/>
  <c r="AV43" i="7"/>
  <c r="AW43" i="7" s="1"/>
  <c r="AX43" i="7" s="1"/>
  <c r="AK43" i="7"/>
  <c r="AI43" i="7" s="1"/>
  <c r="AY42" i="7"/>
  <c r="AT47" i="6"/>
  <c r="AW47" i="6"/>
  <c r="AY47" i="6" s="1"/>
  <c r="AD47" i="7" s="1"/>
  <c r="I47" i="5" l="1"/>
  <c r="L47" i="5" s="1"/>
  <c r="G47" i="5"/>
  <c r="AX47" i="6"/>
  <c r="AI47" i="6"/>
  <c r="AL47" i="6"/>
  <c r="AL43" i="7"/>
  <c r="AM43" i="7" s="1"/>
  <c r="AY43" i="7"/>
  <c r="AT43" i="7"/>
  <c r="F48" i="5" l="1"/>
  <c r="J48" i="5" s="1"/>
  <c r="I48" i="5" s="1"/>
  <c r="L48" i="5" s="1"/>
  <c r="F49" i="5" s="1"/>
  <c r="K47" i="5"/>
  <c r="AM47" i="6"/>
  <c r="AN47" i="6"/>
  <c r="AJ44" i="7"/>
  <c r="AU44" i="7"/>
  <c r="AV44" i="7" s="1"/>
  <c r="AT44" i="7" s="1"/>
  <c r="AN43" i="7"/>
  <c r="G48" i="5" l="1"/>
  <c r="J49" i="5" s="1"/>
  <c r="I49" i="5" s="1"/>
  <c r="L49" i="5" s="1"/>
  <c r="F50" i="5" s="1"/>
  <c r="AF47" i="5"/>
  <c r="AG47" i="5" s="1"/>
  <c r="A47" i="6"/>
  <c r="AO47" i="5"/>
  <c r="AP47" i="5" s="1"/>
  <c r="K48" i="5"/>
  <c r="AU48" i="6"/>
  <c r="AJ48" i="6"/>
  <c r="AK48" i="6" s="1"/>
  <c r="AK44" i="7"/>
  <c r="AW44" i="7"/>
  <c r="AX44" i="7" s="1"/>
  <c r="K49" i="5" l="1"/>
  <c r="AO49" i="5" s="1"/>
  <c r="AP49" i="5" s="1"/>
  <c r="AF48" i="5"/>
  <c r="AG48" i="5" s="1"/>
  <c r="AO48" i="5"/>
  <c r="AP48" i="5" s="1"/>
  <c r="A48" i="6"/>
  <c r="G49" i="5"/>
  <c r="J50" i="5" s="1"/>
  <c r="I50" i="5" s="1"/>
  <c r="L50" i="5" s="1"/>
  <c r="F51" i="5" s="1"/>
  <c r="AI48" i="6"/>
  <c r="AL48" i="6"/>
  <c r="AV48" i="6"/>
  <c r="AT48" i="6" s="1"/>
  <c r="AY44" i="7"/>
  <c r="AL44" i="7"/>
  <c r="AM44" i="7" s="1"/>
  <c r="AI44" i="7"/>
  <c r="AF49" i="5" l="1"/>
  <c r="AG49" i="5" s="1"/>
  <c r="A49" i="6"/>
  <c r="K50" i="5"/>
  <c r="AF50" i="5" s="1"/>
  <c r="AG50" i="5" s="1"/>
  <c r="G50" i="5"/>
  <c r="AW48" i="6"/>
  <c r="AX48" i="6" s="1"/>
  <c r="AM48" i="6"/>
  <c r="AN48" i="6"/>
  <c r="AJ45" i="7"/>
  <c r="AK45" i="7" s="1"/>
  <c r="AU45" i="7"/>
  <c r="AN44" i="7"/>
  <c r="A50" i="6" l="1"/>
  <c r="AO50" i="5"/>
  <c r="AP50" i="5" s="1"/>
  <c r="J51" i="5"/>
  <c r="I51" i="5" s="1"/>
  <c r="L51" i="5" s="1"/>
  <c r="F52" i="5" s="1"/>
  <c r="AY48" i="6"/>
  <c r="AD48" i="7" s="1"/>
  <c r="AU49" i="6"/>
  <c r="AJ49" i="6"/>
  <c r="AL45" i="7"/>
  <c r="AM45" i="7" s="1"/>
  <c r="AI45" i="7"/>
  <c r="AV45" i="7"/>
  <c r="K51" i="5" l="1"/>
  <c r="G51" i="5"/>
  <c r="J52" i="5" s="1"/>
  <c r="G52" i="5" s="1"/>
  <c r="AK49" i="6"/>
  <c r="AI49" i="6" s="1"/>
  <c r="AV49" i="6"/>
  <c r="AT49" i="6" s="1"/>
  <c r="AW45" i="7"/>
  <c r="AX45" i="7" s="1"/>
  <c r="AU46" i="7"/>
  <c r="AJ46" i="7"/>
  <c r="AT45" i="7"/>
  <c r="AN45" i="7"/>
  <c r="AO51" i="5" l="1"/>
  <c r="AP51" i="5" s="1"/>
  <c r="AF51" i="5"/>
  <c r="AG51" i="5" s="1"/>
  <c r="A51" i="6"/>
  <c r="I52" i="5"/>
  <c r="L52" i="5" s="1"/>
  <c r="AW49" i="6"/>
  <c r="AX49" i="6" s="1"/>
  <c r="AY45" i="7"/>
  <c r="AL49" i="6"/>
  <c r="AM49" i="6" s="1"/>
  <c r="AU50" i="6" s="1"/>
  <c r="AV50" i="6" s="1"/>
  <c r="AK46" i="7"/>
  <c r="AV46" i="7"/>
  <c r="AT46" i="7" s="1"/>
  <c r="AT50" i="6" l="1"/>
  <c r="AW50" i="6"/>
  <c r="AY50" i="6" s="1"/>
  <c r="K52" i="5"/>
  <c r="AF52" i="5" s="1"/>
  <c r="AG52" i="5" s="1"/>
  <c r="F53" i="5"/>
  <c r="AN49" i="6"/>
  <c r="AW46" i="7"/>
  <c r="AX46" i="7" s="1"/>
  <c r="AY49" i="6"/>
  <c r="AD49" i="7" s="1"/>
  <c r="AJ50" i="6"/>
  <c r="AL46" i="7"/>
  <c r="AM46" i="7" s="1"/>
  <c r="AI46" i="7"/>
  <c r="AX50" i="6" l="1"/>
  <c r="A52" i="6"/>
  <c r="AO52" i="5"/>
  <c r="AP52" i="5" s="1"/>
  <c r="J53" i="5"/>
  <c r="G53" i="5" s="1"/>
  <c r="AY46" i="7"/>
  <c r="AK50" i="6"/>
  <c r="AI50" i="6" s="1"/>
  <c r="AU47" i="7"/>
  <c r="AJ47" i="7"/>
  <c r="AK47" i="7" s="1"/>
  <c r="AN46" i="7"/>
  <c r="I53" i="5" l="1"/>
  <c r="L53" i="5" s="1"/>
  <c r="AL50" i="6"/>
  <c r="AM50" i="6" s="1"/>
  <c r="AU51" i="6" s="1"/>
  <c r="AV51" i="6" s="1"/>
  <c r="AL47" i="7"/>
  <c r="AM47" i="7" s="1"/>
  <c r="AI47" i="7"/>
  <c r="AV47" i="7"/>
  <c r="AT51" i="6" l="1"/>
  <c r="AW51" i="6"/>
  <c r="AX51" i="6" s="1"/>
  <c r="F54" i="5"/>
  <c r="K53" i="5"/>
  <c r="AN50" i="6"/>
  <c r="AJ51" i="6"/>
  <c r="AD50" i="7"/>
  <c r="AW47" i="7"/>
  <c r="AX47" i="7" s="1"/>
  <c r="AT47" i="7"/>
  <c r="AU48" i="7"/>
  <c r="AJ48" i="7"/>
  <c r="AK48" i="7" s="1"/>
  <c r="AN47" i="7"/>
  <c r="AY51" i="6" l="1"/>
  <c r="J54" i="5"/>
  <c r="G54" i="5" s="1"/>
  <c r="A53" i="6"/>
  <c r="AO53" i="5"/>
  <c r="AP53" i="5" s="1"/>
  <c r="AF53" i="5"/>
  <c r="AG53" i="5" s="1"/>
  <c r="AK51" i="6"/>
  <c r="AI51" i="6" s="1"/>
  <c r="AL48" i="7"/>
  <c r="AM48" i="7" s="1"/>
  <c r="AV48" i="7"/>
  <c r="AT48" i="7" s="1"/>
  <c r="AY47" i="7"/>
  <c r="AI48" i="7"/>
  <c r="I54" i="5" l="1"/>
  <c r="L54" i="5" s="1"/>
  <c r="AL51" i="6"/>
  <c r="AM51" i="6" s="1"/>
  <c r="AU52" i="6" s="1"/>
  <c r="AD51" i="7"/>
  <c r="AW48" i="7"/>
  <c r="AX48" i="7" s="1"/>
  <c r="AJ49" i="7"/>
  <c r="AU49" i="7"/>
  <c r="AV49" i="7" s="1"/>
  <c r="AN48" i="7"/>
  <c r="AV52" i="6" l="1"/>
  <c r="AT52" i="6" s="1"/>
  <c r="F55" i="5"/>
  <c r="K54" i="5"/>
  <c r="AJ52" i="6"/>
  <c r="AY48" i="7"/>
  <c r="AN51" i="6"/>
  <c r="AK49" i="7"/>
  <c r="AT49" i="7"/>
  <c r="AW49" i="7"/>
  <c r="AX49" i="7" s="1"/>
  <c r="AW52" i="6" l="1"/>
  <c r="AX52" i="6" s="1"/>
  <c r="AO54" i="5"/>
  <c r="AP54" i="5" s="1"/>
  <c r="AF54" i="5"/>
  <c r="AG54" i="5" s="1"/>
  <c r="A54" i="6"/>
  <c r="A59" i="6" s="1"/>
  <c r="J55" i="5"/>
  <c r="G55" i="5" s="1"/>
  <c r="AK52" i="6"/>
  <c r="AI52" i="6" s="1"/>
  <c r="AY49" i="7"/>
  <c r="AL49" i="7"/>
  <c r="AM49" i="7" s="1"/>
  <c r="AI49" i="7"/>
  <c r="AY52" i="6" l="1"/>
  <c r="I55" i="5"/>
  <c r="L55" i="5" s="1"/>
  <c r="AL52" i="6"/>
  <c r="AM52" i="6" s="1"/>
  <c r="AU53" i="6" s="1"/>
  <c r="AV53" i="6" s="1"/>
  <c r="AT53" i="6" s="1"/>
  <c r="AJ50" i="7"/>
  <c r="AK50" i="7" s="1"/>
  <c r="AU50" i="7"/>
  <c r="AN49" i="7"/>
  <c r="AW53" i="6" l="1"/>
  <c r="F56" i="5"/>
  <c r="K55" i="5"/>
  <c r="A55" i="6" s="1"/>
  <c r="AD52" i="7"/>
  <c r="AJ53" i="6"/>
  <c r="AN52" i="6"/>
  <c r="AL50" i="7"/>
  <c r="AM50" i="7" s="1"/>
  <c r="AV50" i="7"/>
  <c r="AT50" i="7" s="1"/>
  <c r="AI50" i="7"/>
  <c r="AY53" i="6" l="1"/>
  <c r="AX53" i="6"/>
  <c r="AO55" i="5"/>
  <c r="AP55" i="5" s="1"/>
  <c r="AF55" i="5"/>
  <c r="AG55" i="5" s="1"/>
  <c r="F59" i="5"/>
  <c r="J56" i="5"/>
  <c r="AK53" i="6"/>
  <c r="AW50" i="7"/>
  <c r="AX50" i="7" s="1"/>
  <c r="AJ51" i="7"/>
  <c r="AK51" i="7" s="1"/>
  <c r="AU51" i="7"/>
  <c r="AN50" i="7"/>
  <c r="G56" i="5" l="1"/>
  <c r="J59" i="5"/>
  <c r="J61" i="5" s="1"/>
  <c r="I56" i="5"/>
  <c r="AL53" i="6"/>
  <c r="AM53" i="6" s="1"/>
  <c r="AI53" i="6"/>
  <c r="AL51" i="7"/>
  <c r="AM51" i="7" s="1"/>
  <c r="AI51" i="7"/>
  <c r="AY50" i="7"/>
  <c r="AV51" i="7"/>
  <c r="AT51" i="7" s="1"/>
  <c r="AU54" i="6" l="1"/>
  <c r="AJ54" i="6"/>
  <c r="AK54" i="6" s="1"/>
  <c r="AL54" i="6" s="1"/>
  <c r="AM54" i="6" s="1"/>
  <c r="I59" i="5"/>
  <c r="I61" i="5" s="1"/>
  <c r="L56" i="5"/>
  <c r="K56" i="5"/>
  <c r="A56" i="6" s="1"/>
  <c r="AN53" i="6"/>
  <c r="AJ52" i="7"/>
  <c r="AK52" i="7" s="1"/>
  <c r="AU52" i="7"/>
  <c r="AV52" i="7" s="1"/>
  <c r="AW51" i="7"/>
  <c r="AX51" i="7" s="1"/>
  <c r="AN51" i="7"/>
  <c r="AU55" i="6" l="1"/>
  <c r="AJ55" i="6"/>
  <c r="AN54" i="6"/>
  <c r="AV54" i="6"/>
  <c r="AW54" i="6" s="1"/>
  <c r="AI54" i="6"/>
  <c r="F57" i="5"/>
  <c r="AO56" i="5"/>
  <c r="AP56" i="5" s="1"/>
  <c r="AP14" i="5" s="1"/>
  <c r="AF56" i="5"/>
  <c r="AG56" i="5" s="1"/>
  <c r="K59" i="5"/>
  <c r="AD53" i="7"/>
  <c r="AW52" i="7"/>
  <c r="AY52" i="7" s="1"/>
  <c r="AY51" i="7"/>
  <c r="AI52" i="7"/>
  <c r="AT52" i="7"/>
  <c r="AL52" i="7"/>
  <c r="AM52" i="7" s="1"/>
  <c r="R18" i="5" l="1"/>
  <c r="AK55" i="6"/>
  <c r="AY54" i="6"/>
  <c r="AX54" i="6"/>
  <c r="AT54" i="6"/>
  <c r="J57" i="5"/>
  <c r="G57" i="5" s="1"/>
  <c r="AN52" i="7"/>
  <c r="AX52" i="7"/>
  <c r="AJ53" i="7"/>
  <c r="AK53" i="7" s="1"/>
  <c r="AU53" i="7"/>
  <c r="AO16" i="5" l="1"/>
  <c r="R19" i="5"/>
  <c r="O17" i="5"/>
  <c r="AV55" i="6"/>
  <c r="AT55" i="6" s="1"/>
  <c r="AL55" i="6"/>
  <c r="AM55" i="6" s="1"/>
  <c r="AI55" i="6"/>
  <c r="I57" i="5"/>
  <c r="L57" i="5" s="1"/>
  <c r="AI53" i="7"/>
  <c r="AL53" i="7"/>
  <c r="AM53" i="7" s="1"/>
  <c r="AV53" i="7"/>
  <c r="C33" i="4" l="1"/>
  <c r="R22" i="5"/>
  <c r="C35" i="4" s="1"/>
  <c r="C37" i="4" s="1"/>
  <c r="AF16" i="5"/>
  <c r="AF18" i="5" s="1"/>
  <c r="AW55" i="6"/>
  <c r="AY55" i="6" s="1"/>
  <c r="AD55" i="7" s="1"/>
  <c r="AN55" i="6"/>
  <c r="AU56" i="6"/>
  <c r="AV56" i="6" s="1"/>
  <c r="AJ56" i="6"/>
  <c r="AK56" i="6" s="1"/>
  <c r="AL56" i="6" s="1"/>
  <c r="AM56" i="6" s="1"/>
  <c r="F58" i="5"/>
  <c r="K57" i="5"/>
  <c r="A57" i="6" s="1"/>
  <c r="AD54" i="7"/>
  <c r="AU54" i="7"/>
  <c r="AJ54" i="7"/>
  <c r="AW53" i="7"/>
  <c r="AX53" i="7" s="1"/>
  <c r="AN53" i="7"/>
  <c r="AT53" i="7"/>
  <c r="AF17" i="5" l="1"/>
  <c r="O18" i="5" s="1"/>
  <c r="AO17" i="5"/>
  <c r="AO18" i="5"/>
  <c r="AX55" i="6"/>
  <c r="AW56" i="6" s="1"/>
  <c r="AI56" i="6"/>
  <c r="AU57" i="6"/>
  <c r="AJ57" i="6"/>
  <c r="AN56" i="6"/>
  <c r="AT56" i="6"/>
  <c r="J58" i="5"/>
  <c r="G58" i="5" s="1"/>
  <c r="AK54" i="7"/>
  <c r="AL54" i="7" s="1"/>
  <c r="AM54" i="7" s="1"/>
  <c r="AY53" i="7"/>
  <c r="AV54" i="7"/>
  <c r="AT54" i="7" s="1"/>
  <c r="AK57" i="6" l="1"/>
  <c r="AI57" i="6" s="1"/>
  <c r="AX56" i="6"/>
  <c r="AY56" i="6"/>
  <c r="AD56" i="7" s="1"/>
  <c r="AJ55" i="7"/>
  <c r="AU55" i="7"/>
  <c r="AV55" i="7" s="1"/>
  <c r="AV57" i="6"/>
  <c r="I58" i="5"/>
  <c r="L58" i="5" s="1"/>
  <c r="AI54" i="7"/>
  <c r="AW54" i="7"/>
  <c r="AX54" i="7" s="1"/>
  <c r="AN54" i="7"/>
  <c r="AL57" i="6" l="1"/>
  <c r="AM57" i="6" s="1"/>
  <c r="AU58" i="6" s="1"/>
  <c r="AW57" i="6"/>
  <c r="AY57" i="6" s="1"/>
  <c r="AD57" i="7" s="1"/>
  <c r="AT57" i="6"/>
  <c r="AW55" i="7"/>
  <c r="AX55" i="7" s="1"/>
  <c r="AK55" i="7"/>
  <c r="AI55" i="7" s="1"/>
  <c r="AT55" i="7"/>
  <c r="K58" i="5"/>
  <c r="AG14" i="5" s="1"/>
  <c r="AY54" i="7"/>
  <c r="A58" i="6" l="1"/>
  <c r="AJ58" i="6"/>
  <c r="AK58" i="6" s="1"/>
  <c r="AI58" i="6" s="1"/>
  <c r="AN57" i="6"/>
  <c r="AX57" i="6"/>
  <c r="AV58" i="6"/>
  <c r="AT58" i="6" s="1"/>
  <c r="AL55" i="7"/>
  <c r="AM55" i="7" s="1"/>
  <c r="AY55" i="7"/>
  <c r="AW58" i="6" l="1"/>
  <c r="AY58" i="6" s="1"/>
  <c r="AN55" i="7"/>
  <c r="AJ56" i="7"/>
  <c r="AU56" i="7"/>
  <c r="AL58" i="6"/>
  <c r="AM58" i="6" s="1"/>
  <c r="AD58" i="7" l="1"/>
  <c r="R19" i="6"/>
  <c r="AX58" i="6"/>
  <c r="AU59" i="6"/>
  <c r="AJ59" i="6"/>
  <c r="AK56" i="7"/>
  <c r="AI56" i="7" s="1"/>
  <c r="AN58" i="6"/>
  <c r="AV56" i="7"/>
  <c r="AT56" i="7" s="1"/>
  <c r="D33" i="4" l="1"/>
  <c r="R22" i="6"/>
  <c r="AW56" i="7"/>
  <c r="AX56" i="7" s="1"/>
  <c r="AK59" i="6"/>
  <c r="AL56" i="7"/>
  <c r="AM56" i="7" s="1"/>
  <c r="AV59" i="6"/>
  <c r="AW59" i="6" s="1"/>
  <c r="D35" i="4" l="1"/>
  <c r="D37" i="4" s="1"/>
  <c r="AN56" i="7"/>
  <c r="AU57" i="7"/>
  <c r="AJ57" i="7"/>
  <c r="AL59" i="6"/>
  <c r="AM59" i="6" s="1"/>
  <c r="AU60" i="6" s="1"/>
  <c r="AI59" i="6"/>
  <c r="AY56" i="7"/>
  <c r="AY59" i="6"/>
  <c r="AD59" i="7" s="1"/>
  <c r="AX59" i="6"/>
  <c r="AT59" i="6"/>
  <c r="AN59" i="6" l="1"/>
  <c r="AV60" i="6"/>
  <c r="AW60" i="6" s="1"/>
  <c r="AK57" i="7"/>
  <c r="AI57" i="7" s="1"/>
  <c r="AV57" i="7"/>
  <c r="AT57" i="7" s="1"/>
  <c r="AT60" i="6" l="1"/>
  <c r="AV61" i="6" s="1"/>
  <c r="AT61" i="6" s="1"/>
  <c r="AY60" i="6"/>
  <c r="AX60" i="6"/>
  <c r="AL57" i="7"/>
  <c r="AM57" i="7" s="1"/>
  <c r="AW57" i="7"/>
  <c r="AX57" i="7" s="1"/>
  <c r="AN57" i="7" l="1"/>
  <c r="AY57" i="7"/>
  <c r="AJ58" i="7"/>
  <c r="AU58" i="7"/>
  <c r="AW61" i="6"/>
  <c r="AY61" i="6" s="1"/>
  <c r="AX61" i="6" l="1"/>
  <c r="AK58" i="7"/>
  <c r="AV58" i="7"/>
  <c r="AW58" i="7" l="1"/>
  <c r="AX58" i="7" s="1"/>
  <c r="AL58" i="7"/>
  <c r="AM58" i="7" s="1"/>
  <c r="AI58" i="7"/>
  <c r="AT58" i="7"/>
  <c r="AU59" i="7" l="1"/>
  <c r="AJ59" i="7"/>
  <c r="AK59" i="7" s="1"/>
  <c r="AN58" i="7"/>
  <c r="AY58" i="7"/>
  <c r="R19" i="7" s="1"/>
  <c r="AL59" i="7" l="1"/>
  <c r="AM59" i="7" s="1"/>
  <c r="AI59" i="7"/>
  <c r="R22" i="7"/>
  <c r="AV59" i="7"/>
  <c r="AW59" i="7" l="1"/>
  <c r="AX59" i="7" s="1"/>
  <c r="AT59" i="7"/>
  <c r="AN59" i="7"/>
  <c r="AY59" i="7" l="1"/>
  <c r="E19" i="6"/>
  <c r="F19" i="6" s="1"/>
  <c r="K19" i="6" l="1"/>
  <c r="G19" i="6"/>
  <c r="AQ19" i="6" l="1"/>
  <c r="AR19" i="6" s="1"/>
  <c r="AF19" i="6"/>
  <c r="A19" i="7"/>
  <c r="L19" i="6"/>
  <c r="F20" i="6" l="1"/>
  <c r="L19" i="7" l="1"/>
  <c r="F20" i="7" s="1"/>
  <c r="G19" i="7"/>
  <c r="K19" i="7"/>
  <c r="G20" i="6"/>
  <c r="AQ19" i="7" l="1"/>
  <c r="AR19" i="7" s="1"/>
  <c r="AF19" i="7"/>
  <c r="L20" i="6" l="1"/>
  <c r="K20" i="6"/>
  <c r="AQ20" i="6" l="1"/>
  <c r="AR20" i="6" s="1"/>
  <c r="A20" i="7"/>
  <c r="AF20" i="6"/>
  <c r="F21" i="6"/>
  <c r="G20" i="7" l="1"/>
  <c r="K21" i="6"/>
  <c r="G21" i="6"/>
  <c r="AQ21" i="6" l="1"/>
  <c r="AR21" i="6" s="1"/>
  <c r="A21" i="7"/>
  <c r="AF21" i="6"/>
  <c r="L21" i="6"/>
  <c r="L20" i="7"/>
  <c r="K20" i="7"/>
  <c r="F21" i="7" l="1"/>
  <c r="F22" i="6"/>
  <c r="AF20" i="7"/>
  <c r="AQ20" i="7"/>
  <c r="AR20" i="7" s="1"/>
  <c r="G21" i="7" l="1"/>
  <c r="G22" i="6"/>
  <c r="L22" i="6" l="1"/>
  <c r="L21" i="7"/>
  <c r="K21" i="7"/>
  <c r="K22" i="6"/>
  <c r="AQ21" i="7" l="1"/>
  <c r="AR21" i="7" s="1"/>
  <c r="AF21" i="7"/>
  <c r="F22" i="7"/>
  <c r="AF22" i="6"/>
  <c r="A22" i="7"/>
  <c r="AQ22" i="6"/>
  <c r="AR22" i="6" s="1"/>
  <c r="F23" i="6"/>
  <c r="G22" i="7" l="1"/>
  <c r="G23" i="6"/>
  <c r="K23" i="6" l="1"/>
  <c r="AQ23" i="6" l="1"/>
  <c r="AR23" i="6" s="1"/>
  <c r="A23" i="7"/>
  <c r="AF23" i="6"/>
  <c r="L22" i="7"/>
  <c r="L23" i="6"/>
  <c r="K22" i="7"/>
  <c r="F23" i="7" l="1"/>
  <c r="F24" i="6"/>
  <c r="AF22" i="7"/>
  <c r="AQ22" i="7"/>
  <c r="AR22" i="7" s="1"/>
  <c r="G23" i="7" l="1"/>
  <c r="L24" i="6" l="1"/>
  <c r="G24" i="6"/>
  <c r="L23" i="7" l="1"/>
  <c r="F25" i="6"/>
  <c r="K23" i="7"/>
  <c r="K24" i="6"/>
  <c r="AQ23" i="7" l="1"/>
  <c r="AR23" i="7" s="1"/>
  <c r="AF23" i="7"/>
  <c r="AF24" i="6"/>
  <c r="A24" i="7"/>
  <c r="AQ24" i="6"/>
  <c r="AR24" i="6" s="1"/>
  <c r="L25" i="6"/>
  <c r="F24" i="7"/>
  <c r="G25" i="6"/>
  <c r="K25" i="6" l="1"/>
  <c r="F26" i="6"/>
  <c r="L26" i="6" s="1"/>
  <c r="G24" i="7"/>
  <c r="F27" i="6" l="1"/>
  <c r="AQ25" i="6"/>
  <c r="AR25" i="6" s="1"/>
  <c r="A25" i="7"/>
  <c r="AF25" i="6"/>
  <c r="K26" i="6"/>
  <c r="G26" i="6"/>
  <c r="L24" i="7"/>
  <c r="J27" i="6" l="1"/>
  <c r="G27" i="6" s="1"/>
  <c r="K24" i="7"/>
  <c r="AQ26" i="6"/>
  <c r="AR26" i="6" s="1"/>
  <c r="A26" i="7"/>
  <c r="AF26" i="6"/>
  <c r="F25" i="7"/>
  <c r="L27" i="6" l="1"/>
  <c r="F28" i="6" s="1"/>
  <c r="L28" i="6" s="1"/>
  <c r="G25" i="7"/>
  <c r="AF24" i="7"/>
  <c r="AQ24" i="7"/>
  <c r="AR24" i="7" s="1"/>
  <c r="J28" i="6" l="1"/>
  <c r="K28" i="6" s="1"/>
  <c r="K27" i="6"/>
  <c r="F29" i="6"/>
  <c r="L25" i="7"/>
  <c r="G28" i="6" l="1"/>
  <c r="AF27" i="6"/>
  <c r="A27" i="7"/>
  <c r="AQ27" i="6"/>
  <c r="AR27" i="6" s="1"/>
  <c r="K25" i="7"/>
  <c r="AQ28" i="6"/>
  <c r="AR28" i="6" s="1"/>
  <c r="A28" i="7"/>
  <c r="AF28" i="6"/>
  <c r="F26" i="7"/>
  <c r="L29" i="6" l="1"/>
  <c r="G29" i="6"/>
  <c r="AQ25" i="7"/>
  <c r="AR25" i="7" s="1"/>
  <c r="AF25" i="7"/>
  <c r="F30" i="6" l="1"/>
  <c r="L30" i="6" s="1"/>
  <c r="K29" i="6"/>
  <c r="L26" i="7"/>
  <c r="G26" i="7"/>
  <c r="K30" i="6" l="1"/>
  <c r="AQ30" i="6" s="1"/>
  <c r="AR30" i="6" s="1"/>
  <c r="AQ29" i="6"/>
  <c r="AR29" i="6" s="1"/>
  <c r="A29" i="7"/>
  <c r="AF29" i="6"/>
  <c r="G30" i="6"/>
  <c r="F31" i="6"/>
  <c r="K26" i="7"/>
  <c r="F27" i="7"/>
  <c r="G31" i="6" l="1"/>
  <c r="AF30" i="6"/>
  <c r="A30" i="7"/>
  <c r="L27" i="7"/>
  <c r="G27" i="7"/>
  <c r="AQ26" i="7"/>
  <c r="AR26" i="7" s="1"/>
  <c r="AF26" i="7"/>
  <c r="L31" i="6" l="1"/>
  <c r="F32" i="6" s="1"/>
  <c r="K27" i="7"/>
  <c r="AQ27" i="7" s="1"/>
  <c r="AR27" i="7" s="1"/>
  <c r="F28" i="7"/>
  <c r="K31" i="6" l="1"/>
  <c r="AQ31" i="6" s="1"/>
  <c r="AR31" i="6" s="1"/>
  <c r="L32" i="6"/>
  <c r="G32" i="6"/>
  <c r="AF27" i="7"/>
  <c r="G28" i="7"/>
  <c r="L28" i="7"/>
  <c r="A31" i="7" l="1"/>
  <c r="AF31" i="6"/>
  <c r="F33" i="6"/>
  <c r="J33" i="6" s="1"/>
  <c r="K32" i="6"/>
  <c r="F29" i="7"/>
  <c r="K28" i="7"/>
  <c r="AF32" i="6" l="1"/>
  <c r="AQ32" i="6"/>
  <c r="AR32" i="6" s="1"/>
  <c r="A32" i="7"/>
  <c r="G33" i="6"/>
  <c r="I33" i="6"/>
  <c r="L33" i="6" s="1"/>
  <c r="G29" i="7"/>
  <c r="L29" i="7"/>
  <c r="AF28" i="7"/>
  <c r="AQ28" i="7"/>
  <c r="AR28" i="7" s="1"/>
  <c r="F34" i="6" l="1"/>
  <c r="K33" i="6"/>
  <c r="A33" i="7" s="1"/>
  <c r="K29" i="7"/>
  <c r="F30" i="7"/>
  <c r="J34" i="6" l="1"/>
  <c r="I34" i="6" s="1"/>
  <c r="AQ33" i="6"/>
  <c r="AR33" i="6" s="1"/>
  <c r="AF33" i="6"/>
  <c r="L30" i="7"/>
  <c r="F31" i="7" s="1"/>
  <c r="AQ29" i="7"/>
  <c r="AR29" i="7" s="1"/>
  <c r="AF29" i="7"/>
  <c r="G30" i="7"/>
  <c r="L34" i="6" l="1"/>
  <c r="F35" i="6" s="1"/>
  <c r="K34" i="6"/>
  <c r="AQ34" i="6" s="1"/>
  <c r="AR34" i="6" s="1"/>
  <c r="G34" i="6"/>
  <c r="K30" i="7"/>
  <c r="J31" i="7"/>
  <c r="L31" i="7" s="1"/>
  <c r="AF34" i="6" l="1"/>
  <c r="A34" i="7"/>
  <c r="J35" i="6"/>
  <c r="G35" i="6" s="1"/>
  <c r="K31" i="7"/>
  <c r="AQ31" i="7" s="1"/>
  <c r="AR31" i="7" s="1"/>
  <c r="F32" i="7"/>
  <c r="AF30" i="7"/>
  <c r="AQ30" i="7"/>
  <c r="AR30" i="7" s="1"/>
  <c r="G31" i="7"/>
  <c r="I35" i="6" l="1"/>
  <c r="L35" i="6" s="1"/>
  <c r="F36" i="6" s="1"/>
  <c r="J36" i="6" s="1"/>
  <c r="I36" i="6" s="1"/>
  <c r="L36" i="6" s="1"/>
  <c r="J32" i="7"/>
  <c r="AF31" i="7"/>
  <c r="G36" i="6" l="1"/>
  <c r="K35" i="6"/>
  <c r="AQ35" i="6" s="1"/>
  <c r="AR35" i="6" s="1"/>
  <c r="F37" i="6"/>
  <c r="K36" i="6"/>
  <c r="L32" i="7"/>
  <c r="G32" i="7"/>
  <c r="J37" i="6" l="1"/>
  <c r="I37" i="6" s="1"/>
  <c r="L37" i="6" s="1"/>
  <c r="F38" i="6" s="1"/>
  <c r="AF35" i="6"/>
  <c r="A35" i="7"/>
  <c r="K32" i="7"/>
  <c r="F33" i="7"/>
  <c r="J33" i="7" s="1"/>
  <c r="A36" i="7"/>
  <c r="AQ36" i="6"/>
  <c r="AR36" i="6" s="1"/>
  <c r="AF36" i="6"/>
  <c r="G37" i="6" l="1"/>
  <c r="J38" i="6" s="1"/>
  <c r="K37" i="6"/>
  <c r="AQ37" i="6" s="1"/>
  <c r="AR37" i="6" s="1"/>
  <c r="I33" i="7"/>
  <c r="L33" i="7" s="1"/>
  <c r="AF32" i="7"/>
  <c r="AQ32" i="7"/>
  <c r="AR32" i="7" s="1"/>
  <c r="G33" i="7"/>
  <c r="A37" i="7" l="1"/>
  <c r="AF37" i="6"/>
  <c r="I38" i="6"/>
  <c r="L38" i="6" s="1"/>
  <c r="F34" i="7"/>
  <c r="J34" i="7" s="1"/>
  <c r="K33" i="7"/>
  <c r="G38" i="6"/>
  <c r="AQ33" i="7" l="1"/>
  <c r="AR33" i="7" s="1"/>
  <c r="AF33" i="7"/>
  <c r="F39" i="6"/>
  <c r="J39" i="6" s="1"/>
  <c r="I39" i="6" s="1"/>
  <c r="L39" i="6" s="1"/>
  <c r="I34" i="7"/>
  <c r="L34" i="7" s="1"/>
  <c r="K38" i="6"/>
  <c r="G34" i="7"/>
  <c r="F40" i="6" l="1"/>
  <c r="K34" i="7"/>
  <c r="F35" i="7"/>
  <c r="J35" i="7" s="1"/>
  <c r="AF38" i="6"/>
  <c r="A38" i="7"/>
  <c r="AQ38" i="6"/>
  <c r="AR38" i="6" s="1"/>
  <c r="K39" i="6"/>
  <c r="AF39" i="6" s="1"/>
  <c r="G39" i="6"/>
  <c r="A39" i="7" l="1"/>
  <c r="AQ39" i="6"/>
  <c r="AR39" i="6" s="1"/>
  <c r="AF34" i="7"/>
  <c r="AQ34" i="7"/>
  <c r="AR34" i="7" s="1"/>
  <c r="G35" i="7"/>
  <c r="I35" i="7"/>
  <c r="L35" i="7" s="1"/>
  <c r="J40" i="6"/>
  <c r="F36" i="7" l="1"/>
  <c r="J36" i="7" s="1"/>
  <c r="I36" i="7" s="1"/>
  <c r="L36" i="7" s="1"/>
  <c r="I40" i="6"/>
  <c r="L40" i="6" s="1"/>
  <c r="K35" i="7"/>
  <c r="G40" i="6"/>
  <c r="AF35" i="7" l="1"/>
  <c r="AQ35" i="7"/>
  <c r="AR35" i="7" s="1"/>
  <c r="K40" i="6"/>
  <c r="F37" i="7"/>
  <c r="F41" i="6"/>
  <c r="J41" i="6" s="1"/>
  <c r="K36" i="7"/>
  <c r="G36" i="7"/>
  <c r="J37" i="7" l="1"/>
  <c r="G37" i="7" s="1"/>
  <c r="I41" i="6"/>
  <c r="L41" i="6" s="1"/>
  <c r="AF36" i="7"/>
  <c r="AQ36" i="7"/>
  <c r="AR36" i="7" s="1"/>
  <c r="A40" i="7"/>
  <c r="AF40" i="6"/>
  <c r="AQ40" i="6"/>
  <c r="AR40" i="6" s="1"/>
  <c r="G41" i="6"/>
  <c r="I37" i="7" l="1"/>
  <c r="L37" i="7" s="1"/>
  <c r="F38" i="7" s="1"/>
  <c r="J38" i="7" s="1"/>
  <c r="I38" i="7" s="1"/>
  <c r="L38" i="7" s="1"/>
  <c r="F42" i="6"/>
  <c r="J42" i="6" s="1"/>
  <c r="K41" i="6"/>
  <c r="K37" i="7" l="1"/>
  <c r="AF37" i="7" s="1"/>
  <c r="F39" i="7"/>
  <c r="AF41" i="6"/>
  <c r="AQ41" i="6"/>
  <c r="AR41" i="6" s="1"/>
  <c r="A41" i="7"/>
  <c r="G38" i="7"/>
  <c r="K38" i="7"/>
  <c r="I42" i="6"/>
  <c r="L42" i="6" s="1"/>
  <c r="G42" i="6"/>
  <c r="AQ37" i="7" l="1"/>
  <c r="AR37" i="7" s="1"/>
  <c r="J39" i="7"/>
  <c r="G39" i="7" s="1"/>
  <c r="K42" i="6"/>
  <c r="AF38" i="7"/>
  <c r="AQ38" i="7"/>
  <c r="AR38" i="7" s="1"/>
  <c r="F43" i="6"/>
  <c r="J43" i="6" s="1"/>
  <c r="I39" i="7" l="1"/>
  <c r="L39" i="7" s="1"/>
  <c r="F40" i="7" s="1"/>
  <c r="J40" i="7" s="1"/>
  <c r="A42" i="7"/>
  <c r="AF42" i="6"/>
  <c r="AQ42" i="6"/>
  <c r="AR42" i="6" s="1"/>
  <c r="I43" i="6"/>
  <c r="L43" i="6" s="1"/>
  <c r="G43" i="6"/>
  <c r="K39" i="7" l="1"/>
  <c r="AQ39" i="7" s="1"/>
  <c r="AR39" i="7" s="1"/>
  <c r="I40" i="7"/>
  <c r="L40" i="7" s="1"/>
  <c r="F44" i="6"/>
  <c r="J44" i="6" s="1"/>
  <c r="K43" i="6"/>
  <c r="G40" i="7"/>
  <c r="AF39" i="7" l="1"/>
  <c r="I44" i="6"/>
  <c r="AQ43" i="6"/>
  <c r="AR43" i="6" s="1"/>
  <c r="A43" i="7"/>
  <c r="AF43" i="6"/>
  <c r="F41" i="7"/>
  <c r="J41" i="7" s="1"/>
  <c r="K40" i="7"/>
  <c r="G44" i="6"/>
  <c r="I41" i="7" l="1"/>
  <c r="L41" i="7" s="1"/>
  <c r="AF40" i="7"/>
  <c r="AQ40" i="7"/>
  <c r="AR40" i="7" s="1"/>
  <c r="L44" i="6"/>
  <c r="K44" i="6"/>
  <c r="G41" i="7"/>
  <c r="F45" i="6" l="1"/>
  <c r="J45" i="6" s="1"/>
  <c r="F42" i="7"/>
  <c r="J42" i="7" s="1"/>
  <c r="A44" i="7"/>
  <c r="AF44" i="6"/>
  <c r="AQ44" i="6"/>
  <c r="AR44" i="6" s="1"/>
  <c r="K41" i="7"/>
  <c r="G45" i="6" l="1"/>
  <c r="I42" i="7"/>
  <c r="L42" i="7" s="1"/>
  <c r="G42" i="7"/>
  <c r="AQ41" i="7"/>
  <c r="AR41" i="7" s="1"/>
  <c r="AF41" i="7"/>
  <c r="I45" i="6"/>
  <c r="K45" i="6" s="1"/>
  <c r="AF45" i="6" l="1"/>
  <c r="AQ45" i="6"/>
  <c r="AR45" i="6" s="1"/>
  <c r="A45" i="7"/>
  <c r="L45" i="6"/>
  <c r="F43" i="7"/>
  <c r="J43" i="7" s="1"/>
  <c r="I43" i="7" s="1"/>
  <c r="L43" i="7" s="1"/>
  <c r="K42" i="7"/>
  <c r="F44" i="7" l="1"/>
  <c r="G43" i="7"/>
  <c r="K43" i="7"/>
  <c r="AQ42" i="7"/>
  <c r="AR42" i="7" s="1"/>
  <c r="AF42" i="7"/>
  <c r="F46" i="6"/>
  <c r="J44" i="7" l="1"/>
  <c r="G44" i="7" s="1"/>
  <c r="J46" i="6"/>
  <c r="G46" i="6" s="1"/>
  <c r="AF43" i="7"/>
  <c r="AQ43" i="7"/>
  <c r="AR43" i="7" s="1"/>
  <c r="I44" i="7" l="1"/>
  <c r="L44" i="7" s="1"/>
  <c r="F45" i="7" s="1"/>
  <c r="I46" i="6"/>
  <c r="K44" i="7" l="1"/>
  <c r="AQ44" i="7" s="1"/>
  <c r="AR44" i="7" s="1"/>
  <c r="L46" i="6"/>
  <c r="K46" i="6"/>
  <c r="J45" i="7"/>
  <c r="AF44" i="7" l="1"/>
  <c r="I45" i="7"/>
  <c r="L45" i="7" s="1"/>
  <c r="AQ46" i="6"/>
  <c r="AR46" i="6" s="1"/>
  <c r="A46" i="7"/>
  <c r="AF46" i="6"/>
  <c r="G45" i="7"/>
  <c r="F47" i="6"/>
  <c r="J47" i="6" l="1"/>
  <c r="G47" i="6" s="1"/>
  <c r="F46" i="7"/>
  <c r="K45" i="7"/>
  <c r="J46" i="7" l="1"/>
  <c r="AQ45" i="7"/>
  <c r="AR45" i="7" s="1"/>
  <c r="AF45" i="7"/>
  <c r="I47" i="6"/>
  <c r="K47" i="6" s="1"/>
  <c r="AQ47" i="6" l="1"/>
  <c r="AR47" i="6" s="1"/>
  <c r="A47" i="7"/>
  <c r="AF47" i="6"/>
  <c r="I46" i="7"/>
  <c r="L46" i="7" s="1"/>
  <c r="L47" i="6"/>
  <c r="G46" i="7"/>
  <c r="F48" i="6" l="1"/>
  <c r="F47" i="7"/>
  <c r="K46" i="7"/>
  <c r="AF46" i="7" l="1"/>
  <c r="AQ46" i="7"/>
  <c r="AR46" i="7" s="1"/>
  <c r="J48" i="6"/>
  <c r="J47" i="7"/>
  <c r="G47" i="7" s="1"/>
  <c r="I48" i="6" l="1"/>
  <c r="G48" i="6"/>
  <c r="I47" i="7"/>
  <c r="L47" i="7" s="1"/>
  <c r="L48" i="6" l="1"/>
  <c r="F48" i="7"/>
  <c r="K47" i="7"/>
  <c r="K48" i="6"/>
  <c r="AF47" i="7" l="1"/>
  <c r="AQ47" i="7"/>
  <c r="AR47" i="7" s="1"/>
  <c r="F49" i="6"/>
  <c r="AF48" i="6"/>
  <c r="AQ48" i="6"/>
  <c r="AR48" i="6" s="1"/>
  <c r="A48" i="7"/>
  <c r="J48" i="7" s="1"/>
  <c r="J49" i="6" l="1"/>
  <c r="G49" i="6" s="1"/>
  <c r="I48" i="7"/>
  <c r="L48" i="7" s="1"/>
  <c r="G48" i="7"/>
  <c r="F49" i="7" l="1"/>
  <c r="I49" i="6"/>
  <c r="L49" i="6" s="1"/>
  <c r="K48" i="7"/>
  <c r="AF48" i="7" l="1"/>
  <c r="AQ48" i="7"/>
  <c r="AR48" i="7" s="1"/>
  <c r="K49" i="6"/>
  <c r="F50" i="6"/>
  <c r="J50" i="6" l="1"/>
  <c r="G50" i="6" s="1"/>
  <c r="A49" i="7"/>
  <c r="AQ49" i="6"/>
  <c r="AR49" i="6" s="1"/>
  <c r="AF49" i="6"/>
  <c r="J49" i="7" l="1"/>
  <c r="I50" i="6"/>
  <c r="L50" i="6" s="1"/>
  <c r="F51" i="6" l="1"/>
  <c r="G49" i="7"/>
  <c r="I49" i="7"/>
  <c r="L49" i="7" s="1"/>
  <c r="K50" i="6"/>
  <c r="AF50" i="6" l="1"/>
  <c r="A50" i="7"/>
  <c r="AQ50" i="6"/>
  <c r="AR50" i="6" s="1"/>
  <c r="F50" i="7"/>
  <c r="K49" i="7"/>
  <c r="J51" i="6"/>
  <c r="G51" i="6" s="1"/>
  <c r="J50" i="7" l="1"/>
  <c r="I50" i="7" s="1"/>
  <c r="L50" i="7" s="1"/>
  <c r="F51" i="7" s="1"/>
  <c r="AF49" i="7"/>
  <c r="AQ49" i="7"/>
  <c r="AR49" i="7" s="1"/>
  <c r="I51" i="6"/>
  <c r="L51" i="6" s="1"/>
  <c r="G50" i="7" l="1"/>
  <c r="K50" i="7"/>
  <c r="AQ50" i="7" s="1"/>
  <c r="AR50" i="7" s="1"/>
  <c r="K51" i="6"/>
  <c r="AF51" i="6" s="1"/>
  <c r="F52" i="6"/>
  <c r="AF50" i="7" l="1"/>
  <c r="AQ51" i="6"/>
  <c r="AR51" i="6" s="1"/>
  <c r="A51" i="7"/>
  <c r="J51" i="7" s="1"/>
  <c r="J52" i="6"/>
  <c r="G52" i="6" s="1"/>
  <c r="G51" i="7" l="1"/>
  <c r="I52" i="6"/>
  <c r="L52" i="6" s="1"/>
  <c r="I51" i="7"/>
  <c r="L51" i="7" s="1"/>
  <c r="K52" i="6" l="1"/>
  <c r="F52" i="7"/>
  <c r="K51" i="7"/>
  <c r="F53" i="6"/>
  <c r="AF51" i="7" l="1"/>
  <c r="AQ51" i="7"/>
  <c r="AR51" i="7" s="1"/>
  <c r="J53" i="6"/>
  <c r="A52" i="7"/>
  <c r="AQ52" i="6"/>
  <c r="AR52" i="6" s="1"/>
  <c r="AF52" i="6"/>
  <c r="I53" i="6" l="1"/>
  <c r="L53" i="6" s="1"/>
  <c r="G53" i="6"/>
  <c r="J52" i="7"/>
  <c r="G52" i="7" l="1"/>
  <c r="K53" i="6"/>
  <c r="F54" i="6"/>
  <c r="I52" i="7"/>
  <c r="L52" i="7" s="1"/>
  <c r="F59" i="6" l="1"/>
  <c r="J54" i="6"/>
  <c r="G54" i="6" s="1"/>
  <c r="AQ53" i="6"/>
  <c r="AR53" i="6" s="1"/>
  <c r="A53" i="7"/>
  <c r="AF53" i="6"/>
  <c r="F53" i="7"/>
  <c r="K52" i="7"/>
  <c r="AF52" i="7" l="1"/>
  <c r="AQ52" i="7"/>
  <c r="AR52" i="7" s="1"/>
  <c r="J59" i="6"/>
  <c r="J61" i="6" s="1"/>
  <c r="I54" i="6"/>
  <c r="K54" i="6" s="1"/>
  <c r="J53" i="7"/>
  <c r="AQ54" i="6" l="1"/>
  <c r="AR54" i="6" s="1"/>
  <c r="A54" i="7"/>
  <c r="A59" i="7" s="1"/>
  <c r="AF54" i="6"/>
  <c r="K59" i="6"/>
  <c r="I53" i="7"/>
  <c r="L53" i="7" s="1"/>
  <c r="I59" i="6"/>
  <c r="I61" i="6" s="1"/>
  <c r="L54" i="6"/>
  <c r="G53" i="7"/>
  <c r="AQ59" i="6" l="1"/>
  <c r="AR59" i="6" s="1"/>
  <c r="AF59" i="6"/>
  <c r="F54" i="7"/>
  <c r="K53" i="7"/>
  <c r="F55" i="6"/>
  <c r="AF53" i="7" l="1"/>
  <c r="AQ53" i="7"/>
  <c r="AR53" i="7" s="1"/>
  <c r="J55" i="6"/>
  <c r="G55" i="6" s="1"/>
  <c r="F59" i="7"/>
  <c r="J54" i="7"/>
  <c r="J59" i="7" l="1"/>
  <c r="J61" i="7" s="1"/>
  <c r="I54" i="7"/>
  <c r="G54" i="7"/>
  <c r="I55" i="6"/>
  <c r="L55" i="6" s="1"/>
  <c r="K55" i="6" l="1"/>
  <c r="I59" i="7"/>
  <c r="I61" i="7" s="1"/>
  <c r="L54" i="7"/>
  <c r="F56" i="6"/>
  <c r="K54" i="7"/>
  <c r="AF54" i="7" l="1"/>
  <c r="AQ54" i="7"/>
  <c r="AR54" i="7" s="1"/>
  <c r="K59" i="7"/>
  <c r="F55" i="7"/>
  <c r="J56" i="6"/>
  <c r="A55" i="7"/>
  <c r="AQ55" i="6"/>
  <c r="AR55" i="6" s="1"/>
  <c r="AF55" i="6"/>
  <c r="I56" i="6" l="1"/>
  <c r="L56" i="6" s="1"/>
  <c r="AQ59" i="7"/>
  <c r="AR59" i="7" s="1"/>
  <c r="AF59" i="7"/>
  <c r="J55" i="7"/>
  <c r="G55" i="7" s="1"/>
  <c r="G56" i="6"/>
  <c r="F57" i="6" l="1"/>
  <c r="J57" i="6" s="1"/>
  <c r="I57" i="6" s="1"/>
  <c r="L57" i="6" s="1"/>
  <c r="K56" i="6"/>
  <c r="I55" i="7"/>
  <c r="L55" i="7" s="1"/>
  <c r="F58" i="6" l="1"/>
  <c r="K55" i="7"/>
  <c r="AF56" i="6"/>
  <c r="A56" i="7"/>
  <c r="AQ56" i="6"/>
  <c r="AR56" i="6" s="1"/>
  <c r="F56" i="7"/>
  <c r="K57" i="6"/>
  <c r="G57" i="6"/>
  <c r="AQ55" i="7" l="1"/>
  <c r="AR55" i="7" s="1"/>
  <c r="AF55" i="7"/>
  <c r="J56" i="7"/>
  <c r="G56" i="7" s="1"/>
  <c r="A57" i="7"/>
  <c r="AF57" i="6"/>
  <c r="AQ57" i="6"/>
  <c r="AR57" i="6" s="1"/>
  <c r="J58" i="6"/>
  <c r="G58" i="6" s="1"/>
  <c r="I58" i="6" l="1"/>
  <c r="L58" i="6" s="1"/>
  <c r="I56" i="7"/>
  <c r="L56" i="7" s="1"/>
  <c r="K56" i="7" l="1"/>
  <c r="F57" i="7"/>
  <c r="K58" i="6"/>
  <c r="AQ58" i="6" l="1"/>
  <c r="AR58" i="6" s="1"/>
  <c r="AR14" i="6" s="1"/>
  <c r="R18" i="6" s="1"/>
  <c r="AF58" i="6"/>
  <c r="A58" i="7"/>
  <c r="J57" i="7"/>
  <c r="G57" i="7" s="1"/>
  <c r="AF56" i="7"/>
  <c r="AQ56" i="7"/>
  <c r="AR56" i="7" s="1"/>
  <c r="AR14" i="7" s="1"/>
  <c r="R18" i="7" s="1"/>
  <c r="O17" i="7" l="1"/>
  <c r="AQ16" i="7"/>
  <c r="AQ18" i="7" s="1"/>
  <c r="AQ17" i="7" s="1"/>
  <c r="I57" i="7"/>
  <c r="L57" i="7" s="1"/>
  <c r="AQ16" i="6"/>
  <c r="AQ18" i="6" s="1"/>
  <c r="AQ17" i="6" s="1"/>
  <c r="O17" i="6"/>
  <c r="AN18" i="6" l="1"/>
  <c r="O19" i="6" s="1"/>
  <c r="AF16" i="6"/>
  <c r="AF18" i="6" s="1"/>
  <c r="AF17" i="6" s="1"/>
  <c r="O18" i="6" s="1"/>
  <c r="AG14" i="6" s="1"/>
  <c r="F58" i="7"/>
  <c r="K57" i="7"/>
  <c r="AF16" i="7"/>
  <c r="AF18" i="7" s="1"/>
  <c r="AF17" i="7" s="1"/>
  <c r="O18" i="7" s="1"/>
  <c r="AN18" i="7"/>
  <c r="O19" i="7" s="1"/>
  <c r="AQ57" i="7" l="1"/>
  <c r="AR57" i="7" s="1"/>
  <c r="AF57" i="7"/>
  <c r="J58" i="7"/>
  <c r="I58" i="7" l="1"/>
  <c r="L58" i="7" s="1"/>
  <c r="G58" i="7"/>
  <c r="K58" i="7" l="1"/>
  <c r="AG14" i="7" l="1"/>
  <c r="AF58" i="7"/>
  <c r="AQ58" i="7"/>
  <c r="AR58" i="7" s="1"/>
</calcChain>
</file>

<file path=xl/sharedStrings.xml><?xml version="1.0" encoding="utf-8"?>
<sst xmlns="http://schemas.openxmlformats.org/spreadsheetml/2006/main" count="225" uniqueCount="85">
  <si>
    <t>Total</t>
  </si>
  <si>
    <t>VN$</t>
  </si>
  <si>
    <t xml:space="preserve">Fecha de Liquidación </t>
  </si>
  <si>
    <t>Ingrese Tasa de Corte</t>
  </si>
  <si>
    <t>Precio de Corte</t>
  </si>
  <si>
    <t xml:space="preserve">Capital </t>
  </si>
  <si>
    <t>Rendimiento</t>
  </si>
  <si>
    <t>Saldo de capital</t>
  </si>
  <si>
    <t>VDF Senior</t>
  </si>
  <si>
    <t>VDF B</t>
  </si>
  <si>
    <t>Maturity</t>
  </si>
  <si>
    <t>Duration</t>
  </si>
  <si>
    <t>VDF A</t>
  </si>
  <si>
    <t>VDF C</t>
  </si>
  <si>
    <t>VN</t>
  </si>
  <si>
    <t>Proyección Badlar (A cupón minimo)</t>
  </si>
  <si>
    <t>Estimación</t>
  </si>
  <si>
    <t>TEA</t>
  </si>
  <si>
    <t>Mínimo</t>
  </si>
  <si>
    <t>TNA</t>
  </si>
  <si>
    <t>Máximo</t>
  </si>
  <si>
    <t>Spread s/Prospecto</t>
  </si>
  <si>
    <t>Tasa Cupón proyectada</t>
  </si>
  <si>
    <t>Para PRECIO OFERTADO</t>
  </si>
  <si>
    <t>Para Tasa Ofertada</t>
  </si>
  <si>
    <t>Fecha de liquidación</t>
  </si>
  <si>
    <t>VAN para PRECIO EQUIVALENTE</t>
  </si>
  <si>
    <t>Fecha de Corte</t>
  </si>
  <si>
    <t>VAN</t>
  </si>
  <si>
    <t>Flujo Disponible</t>
  </si>
  <si>
    <t>Devengamiento Interés</t>
  </si>
  <si>
    <t>Flujo para TASA EQUIVALENTE</t>
  </si>
  <si>
    <t>PRECIO OFERTADO</t>
  </si>
  <si>
    <t>Fecha dev.</t>
  </si>
  <si>
    <t>días</t>
  </si>
  <si>
    <t>tasa de referencia aplicable</t>
  </si>
  <si>
    <t>Tasa cupón proyectada</t>
  </si>
  <si>
    <t>Int. Período dev.</t>
  </si>
  <si>
    <t>Int. Acum. a pagar</t>
  </si>
  <si>
    <t>Capital</t>
  </si>
  <si>
    <t>Saldo</t>
  </si>
  <si>
    <t>Precio Ofertado</t>
  </si>
  <si>
    <t>Tasa Ofertada</t>
  </si>
  <si>
    <t>Rendimiento Esperado</t>
  </si>
  <si>
    <t>TASA EQUIVALENTE</t>
  </si>
  <si>
    <t>Para rendimiento esperado</t>
  </si>
  <si>
    <t>Flujo para RENDIMIENTO ESPERADO</t>
  </si>
  <si>
    <t>Tasa equivalente</t>
  </si>
  <si>
    <t>Precio equivalente</t>
  </si>
  <si>
    <t>Rendimiento Proyectado</t>
  </si>
  <si>
    <t>TNA Rend. Proyectado</t>
  </si>
  <si>
    <t>Badlar 1° servicio</t>
  </si>
  <si>
    <t>Calificación</t>
  </si>
  <si>
    <t>% del VN</t>
  </si>
  <si>
    <t>Piso</t>
  </si>
  <si>
    <t>Techo</t>
  </si>
  <si>
    <t>CONTACTO:</t>
  </si>
  <si>
    <t xml:space="preserve">Gerencia Comercial </t>
  </si>
  <si>
    <t>Sarmiento 310 (C1041AAH)</t>
  </si>
  <si>
    <t>“La presente planilla de cálculo es solamente a modo ilustrativo y ejemplificativo. El Interesado deberá, a los efectos de la suscripción de los Valores Fiduciarios, basarse en sus propios cálculos y evaluación de los Términos y Condiciones de los Valores Fiduciarios descriptos en el Suplemento de Prospecto que ha tenido a su disposición, a fin de determinar el rendimiento de los Valores Fiduciarios. Se aclara que el uso de la Planilla de Cálculo no es obligatorio para el Interesado, sino meramente orientativo, y que los resultados que ésta arroje no serán vinculantes; por tal motivo BANCO DE VALORES S.A. no asumirá responsabilidad alguna con motivo de cualquier error cometido en la realización de los cálculos respectivos o en su interpretación por parte del Interesado.”</t>
  </si>
  <si>
    <t>BONO</t>
  </si>
  <si>
    <t>FLUJO TEÓRICO VDF B</t>
  </si>
  <si>
    <t>FLUJO TEÓRICO VDF A</t>
  </si>
  <si>
    <t>FLUJO TEÓRICO VDF C</t>
  </si>
  <si>
    <t>Julián Montoya</t>
  </si>
  <si>
    <t>Leliq 1° Servicio</t>
  </si>
  <si>
    <t>Leliq 2° Servicio</t>
  </si>
  <si>
    <t>Leliq Proyectada</t>
  </si>
  <si>
    <t>Maximo</t>
  </si>
  <si>
    <t>Real</t>
  </si>
  <si>
    <t xml:space="preserve">Diferencia </t>
  </si>
  <si>
    <t>Ingrese Tasa BADLAR</t>
  </si>
  <si>
    <t>Badlar 1° Servicio</t>
  </si>
  <si>
    <t>Badlar 2° Servicio</t>
  </si>
  <si>
    <t>Badlar Proyectada</t>
  </si>
  <si>
    <t>Badlar proyectada</t>
  </si>
  <si>
    <t>Spread s/ Badlar</t>
  </si>
  <si>
    <t>Ilan Imventarza</t>
  </si>
  <si>
    <t>T. 4323 - 6907/6954</t>
  </si>
  <si>
    <t>A1+</t>
  </si>
  <si>
    <t>jmontoya@valo.ar</t>
  </si>
  <si>
    <t>iimventarza@valo.ar</t>
  </si>
  <si>
    <t>www.valo.ar</t>
  </si>
  <si>
    <t>BBB</t>
  </si>
  <si>
    <t>FIDEICOMISO FINANCIERO MONI MOBILE XII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</si>
</sst>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43" formatCode="_-* #,##0.00_-;\-* #,##0.00_-;_-* &quot;-&quot;??_-;_-@_-"/>
    <numFmt numFmtId="164" formatCode="_ &quot;$&quot;\ * #,##0_ ;_ &quot;$&quot;\ * \-#,##0_ ;_ &quot;$&quot;\ * &quot;-&quot;_ ;_ @_ 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_-* #,##0_-;\-* #,##0_-;_-* &quot;-&quot;??_-;_-@_-"/>
    <numFmt numFmtId="169" formatCode="0.0%"/>
    <numFmt numFmtId="170" formatCode="_ * #,##0_ ;_ * \-#,##0_ ;_ * &quot;-&quot;??_ ;_ @_ "/>
    <numFmt numFmtId="171" formatCode="#,##0_ ;\-#,##0\ "/>
    <numFmt numFmtId="172" formatCode="0.0000%"/>
    <numFmt numFmtId="173" formatCode="_-* #,##0.00\ _€_-;\-* #,##0.00\ _€_-;_-* &quot;-&quot;??\ _€_-;_-@_-"/>
    <numFmt numFmtId="174" formatCode="_-* #,##0\ _€_-;\-* #,##0\ _€_-;_-* &quot;-&quot;??\ _€_-;_-@_-"/>
    <numFmt numFmtId="175" formatCode="d/mmm/yyyy"/>
    <numFmt numFmtId="176" formatCode="_ [$€-2]\ * #,##0.00_ ;_ [$€-2]\ * \-#,##0.00_ ;_ [$€-2]\ * &quot;-&quot;??_ "/>
    <numFmt numFmtId="177" formatCode="_ * #,##0.0_ ;_ * \-#,##0.0_ ;_ * &quot;-&quot;??_ ;_ @_ "/>
    <numFmt numFmtId="178" formatCode="0.00000"/>
    <numFmt numFmtId="179" formatCode="dd/mm/yyyy;@"/>
    <numFmt numFmtId="180" formatCode="_ &quot;$&quot;\ * #,##0_ ;_ &quot;$&quot;\ * \-#,##0_ ;_ &quot;$&quot;\ * &quot;-&quot;??_ ;_ @_ "/>
    <numFmt numFmtId="181" formatCode="#,##0\ &quot;bps&quot;"/>
    <numFmt numFmtId="182" formatCode="0.000000"/>
    <numFmt numFmtId="183" formatCode="_ * #,##0.0000_ ;_ * \-#,##0.0000_ ;_ * &quot;-&quot;??_ ;_ @_ "/>
    <numFmt numFmtId="184" formatCode="#,##0\ &quot;días&quot;"/>
    <numFmt numFmtId="185" formatCode="_ [$$-2C0A]\ * #,##0.00_ ;_ [$$-2C0A]\ * \-#,##0.00_ ;_ [$$-2C0A]\ * &quot;-&quot;??_ ;_ @_ "/>
    <numFmt numFmtId="186" formatCode="0.000%"/>
    <numFmt numFmtId="187" formatCode="_ &quot;$&quot;\ * #,##0.0_ ;_ &quot;$&quot;\ * \-#,##0.0_ ;_ &quot;$&quot;\ * &quot;-&quot;?_ ;_ @_ "/>
    <numFmt numFmtId="188" formatCode="_ [$€-2]\ * #,##0.000_ ;_ [$€-2]\ * \-#,##0.000_ ;_ [$€-2]\ * &quot;-&quot;??_ "/>
    <numFmt numFmtId="189" formatCode="_ * #,##0.000000_ ;_ * \-#,##0.000000_ ;_ * &quot;-&quot;??_ ;_ @_ "/>
    <numFmt numFmtId="190" formatCode="#,##0.0,,_);\(#,##0.0,,\);\-_)"/>
    <numFmt numFmtId="191" formatCode="#,##0.0_);\(#,##0.0\);\-_)"/>
    <numFmt numFmtId="192" formatCode="#,##0.0,_);\(#,##0.0,\);\-_)"/>
    <numFmt numFmtId="193" formatCode="#,##0.00_);\(#,##0.00\);\-_)"/>
    <numFmt numFmtId="194" formatCode="####_)"/>
    <numFmt numFmtId="195" formatCode="0.0"/>
    <numFmt numFmtId="196" formatCode="_-* #,##0.0000_-;\-* #,##0.0000_-;_-* &quot;-&quot;??_-;_-@_-"/>
    <numFmt numFmtId="197" formatCode="_-* #,##0.00000_-;\-* #,##0.00000_-;_-* &quot;-&quot;??_-;_-@_-"/>
  </numFmts>
  <fonts count="8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Book Antiqu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 tint="-0.499984740745262"/>
      <name val="Verdana"/>
      <family val="2"/>
    </font>
    <font>
      <sz val="10"/>
      <name val="Arial"/>
      <family val="2"/>
    </font>
    <font>
      <b/>
      <i/>
      <sz val="20"/>
      <name val="Verdana"/>
      <family val="2"/>
    </font>
    <font>
      <sz val="10"/>
      <name val="Verdana"/>
      <family val="2"/>
    </font>
    <font>
      <sz val="10"/>
      <color indexed="9"/>
      <name val="Verdana"/>
      <family val="2"/>
    </font>
    <font>
      <sz val="11"/>
      <color indexed="8"/>
      <name val="verdana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indexed="8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0"/>
      <color indexed="8"/>
      <name val="verdana"/>
      <family val="2"/>
    </font>
    <font>
      <b/>
      <sz val="11"/>
      <color indexed="30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10"/>
      <color indexed="18"/>
      <name val="Arial"/>
      <family val="2"/>
    </font>
    <font>
      <b/>
      <sz val="15"/>
      <color rgb="FFFFFFFF"/>
      <name val="Arial"/>
      <family val="2"/>
    </font>
    <font>
      <b/>
      <sz val="15"/>
      <color theme="0"/>
      <name val="Arial"/>
      <family val="2"/>
    </font>
    <font>
      <b/>
      <sz val="12"/>
      <color theme="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0"/>
      <name val="verdana"/>
      <family val="2"/>
    </font>
    <font>
      <i/>
      <sz val="20"/>
      <name val="Verdana"/>
      <family val="2"/>
    </font>
    <font>
      <sz val="15"/>
      <color theme="0"/>
      <name val="Arial"/>
      <family val="2"/>
    </font>
    <font>
      <sz val="18"/>
      <color theme="0"/>
      <name val="Source Sans Pro"/>
      <family val="2"/>
    </font>
    <font>
      <sz val="12"/>
      <name val="Source Sans Pro"/>
      <family val="2"/>
    </font>
    <font>
      <sz val="12"/>
      <color rgb="FFFF0000"/>
      <name val="Source Sans Pro"/>
      <family val="2"/>
    </font>
    <font>
      <sz val="12"/>
      <color indexed="10"/>
      <name val="Source Sans Pro"/>
      <family val="2"/>
    </font>
    <font>
      <sz val="12"/>
      <color theme="0"/>
      <name val="Source Sans Pro"/>
      <family val="2"/>
    </font>
    <font>
      <b/>
      <sz val="12"/>
      <name val="Source Sans Pro"/>
      <family val="2"/>
    </font>
    <font>
      <b/>
      <sz val="48"/>
      <color theme="0"/>
      <name val="Source Sans Pro"/>
      <family val="2"/>
    </font>
    <font>
      <sz val="15"/>
      <color rgb="FFFF0000"/>
      <name val="Source Sans Pro"/>
      <family val="2"/>
    </font>
    <font>
      <b/>
      <sz val="20"/>
      <color rgb="FFFFFFFF"/>
      <name val="Source Sans Pro"/>
      <family val="2"/>
    </font>
    <font>
      <sz val="18"/>
      <color rgb="FFFFFFFF"/>
      <name val="Source Sans Pro"/>
      <family val="2"/>
    </font>
    <font>
      <sz val="15"/>
      <color theme="0"/>
      <name val="Source Sans Pro"/>
      <family val="2"/>
    </font>
    <font>
      <sz val="15"/>
      <name val="Source Sans Pro"/>
      <family val="2"/>
    </font>
    <font>
      <sz val="18"/>
      <color theme="0" tint="-0.499984740745262"/>
      <name val="Source Sans Pro"/>
      <family val="2"/>
    </font>
    <font>
      <b/>
      <u/>
      <sz val="18"/>
      <color theme="0"/>
      <name val="Source Sans Pro"/>
      <family val="2"/>
    </font>
    <font>
      <sz val="18"/>
      <name val="Source Sans Pro"/>
      <family val="2"/>
    </font>
    <font>
      <sz val="18"/>
      <color indexed="9"/>
      <name val="Source Sans Pro"/>
      <family val="2"/>
    </font>
    <font>
      <b/>
      <sz val="18"/>
      <color rgb="FFFF0000"/>
      <name val="Source Sans Pro"/>
      <family val="2"/>
    </font>
    <font>
      <b/>
      <sz val="18"/>
      <color theme="0" tint="-0.499984740745262"/>
      <name val="Source Sans Pro"/>
      <family val="2"/>
    </font>
    <font>
      <b/>
      <sz val="18"/>
      <color theme="0"/>
      <name val="Source Sans Pro"/>
      <family val="2"/>
    </font>
    <font>
      <sz val="18"/>
      <color rgb="FFFF0000"/>
      <name val="Source Sans Pro"/>
      <family val="2"/>
    </font>
    <font>
      <b/>
      <sz val="16"/>
      <name val="Source Sans Pro"/>
      <family val="2"/>
    </font>
    <font>
      <sz val="14"/>
      <name val="Source Sans Pro"/>
      <family val="2"/>
    </font>
    <font>
      <u/>
      <sz val="14"/>
      <color theme="10"/>
      <name val="Source Sans Pro"/>
      <family val="2"/>
    </font>
    <font>
      <b/>
      <sz val="15"/>
      <color theme="0" tint="-0.499984740745262"/>
      <name val="Source Sans Pro"/>
      <family val="2"/>
    </font>
    <font>
      <u/>
      <sz val="14"/>
      <color theme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E3193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E172E"/>
        <bgColor indexed="64"/>
      </patternFill>
    </fill>
    <fill>
      <patternFill patternType="solid">
        <fgColor rgb="FF72717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6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19" borderId="0" applyNumberFormat="0" applyBorder="0" applyAlignment="0" applyProtection="0"/>
    <xf numFmtId="0" fontId="14" fillId="8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5" applyNumberFormat="0" applyAlignment="0" applyProtection="0"/>
    <xf numFmtId="0" fontId="17" fillId="22" borderId="6" applyNumberFormat="0" applyAlignment="0" applyProtection="0"/>
    <xf numFmtId="0" fontId="18" fillId="0" borderId="7" applyNumberFormat="0" applyFill="0" applyAlignment="0" applyProtection="0"/>
    <xf numFmtId="177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5" applyNumberFormat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38" fontId="9" fillId="0" borderId="0" applyNumberFormat="0" applyProtection="0"/>
    <xf numFmtId="0" fontId="21" fillId="30" borderId="0" applyNumberFormat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2" fillId="3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8" fillId="0" borderId="0"/>
    <xf numFmtId="0" fontId="6" fillId="0" borderId="0"/>
    <xf numFmtId="0" fontId="6" fillId="0" borderId="0"/>
    <xf numFmtId="0" fontId="11" fillId="32" borderId="8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3" fillId="2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19" fillId="0" borderId="12" applyNumberFormat="0" applyFill="0" applyAlignment="0" applyProtection="0"/>
    <xf numFmtId="0" fontId="29" fillId="0" borderId="13" applyNumberFormat="0" applyFill="0" applyAlignment="0" applyProtection="0"/>
    <xf numFmtId="165" fontId="31" fillId="0" borderId="0" applyFont="0" applyFill="0" applyBorder="0" applyAlignment="0" applyProtection="0"/>
    <xf numFmtId="176" fontId="4" fillId="0" borderId="0"/>
    <xf numFmtId="176" fontId="33" fillId="0" borderId="0"/>
    <xf numFmtId="176" fontId="35" fillId="0" borderId="0"/>
    <xf numFmtId="166" fontId="8" fillId="0" borderId="0" applyFont="0" applyFill="0" applyBorder="0" applyAlignment="0" applyProtection="0"/>
    <xf numFmtId="165" fontId="35" fillId="0" borderId="0" applyFont="0" applyFill="0" applyBorder="0" applyAlignment="0" applyProtection="0"/>
    <xf numFmtId="9" fontId="8" fillId="0" borderId="0" applyFont="0" applyFill="0" applyBorder="0" applyAlignment="0" applyProtection="0"/>
    <xf numFmtId="176" fontId="43" fillId="0" borderId="0"/>
    <xf numFmtId="166" fontId="35" fillId="0" borderId="0" applyFont="0" applyFill="0" applyBorder="0" applyAlignment="0" applyProtection="0"/>
    <xf numFmtId="0" fontId="5" fillId="0" borderId="0"/>
    <xf numFmtId="176" fontId="51" fillId="0" borderId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7" fontId="52" fillId="0" borderId="0" applyFont="0" applyFill="0" applyBorder="0" applyAlignment="0" applyProtection="0"/>
    <xf numFmtId="15" fontId="53" fillId="41" borderId="0" applyNumberFormat="0" applyFont="0" applyBorder="0" applyAlignment="0" applyProtection="0"/>
    <xf numFmtId="190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9" fontId="52" fillId="0" borderId="0" applyFont="0" applyFill="0" applyBorder="0" applyAlignment="0" applyProtection="0"/>
    <xf numFmtId="10" fontId="5" fillId="42" borderId="14" applyNumberFormat="0" applyFont="0" applyBorder="0" applyAlignment="0" applyProtection="0">
      <protection locked="0"/>
    </xf>
    <xf numFmtId="194" fontId="5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7" fillId="0" borderId="0" applyNumberFormat="0" applyFill="0" applyBorder="0" applyAlignment="0" applyProtection="0"/>
  </cellStyleXfs>
  <cellXfs count="298">
    <xf numFmtId="0" fontId="0" fillId="0" borderId="0" xfId="0"/>
    <xf numFmtId="174" fontId="30" fillId="9" borderId="0" xfId="49" applyNumberFormat="1" applyFont="1" applyFill="1" applyBorder="1" applyAlignment="1" applyProtection="1">
      <alignment horizontal="center" vertical="center"/>
      <protection hidden="1"/>
    </xf>
    <xf numFmtId="176" fontId="4" fillId="9" borderId="0" xfId="91" applyFill="1"/>
    <xf numFmtId="176" fontId="32" fillId="9" borderId="0" xfId="91" applyFont="1" applyFill="1"/>
    <xf numFmtId="176" fontId="32" fillId="9" borderId="0" xfId="91" applyFont="1" applyFill="1" applyAlignment="1">
      <alignment horizontal="left"/>
    </xf>
    <xf numFmtId="176" fontId="33" fillId="9" borderId="0" xfId="92" applyFill="1" applyProtection="1">
      <protection hidden="1"/>
    </xf>
    <xf numFmtId="176" fontId="34" fillId="9" borderId="0" xfId="92" applyFont="1" applyFill="1" applyProtection="1">
      <protection hidden="1"/>
    </xf>
    <xf numFmtId="176" fontId="35" fillId="9" borderId="0" xfId="93" applyFill="1"/>
    <xf numFmtId="170" fontId="0" fillId="9" borderId="0" xfId="94" applyNumberFormat="1" applyFont="1" applyFill="1" applyBorder="1"/>
    <xf numFmtId="176" fontId="36" fillId="9" borderId="14" xfId="93" applyFont="1" applyFill="1" applyBorder="1" applyAlignment="1" applyProtection="1">
      <alignment horizontal="center"/>
      <protection hidden="1"/>
    </xf>
    <xf numFmtId="180" fontId="36" fillId="36" borderId="0" xfId="95" applyNumberFormat="1" applyFont="1" applyFill="1" applyBorder="1" applyProtection="1">
      <protection hidden="1"/>
    </xf>
    <xf numFmtId="176" fontId="37" fillId="9" borderId="0" xfId="93" applyFont="1" applyFill="1"/>
    <xf numFmtId="176" fontId="5" fillId="9" borderId="0" xfId="93" applyFont="1" applyFill="1"/>
    <xf numFmtId="176" fontId="37" fillId="9" borderId="0" xfId="93" applyFont="1" applyFill="1" applyAlignment="1">
      <alignment horizontal="left" vertical="center" wrapText="1"/>
    </xf>
    <xf numFmtId="176" fontId="5" fillId="9" borderId="0" xfId="93" applyFont="1" applyFill="1" applyAlignment="1">
      <alignment horizontal="left" vertical="center" wrapText="1"/>
    </xf>
    <xf numFmtId="176" fontId="36" fillId="9" borderId="15" xfId="93" applyFont="1" applyFill="1" applyBorder="1" applyAlignment="1" applyProtection="1">
      <alignment horizontal="center"/>
      <protection hidden="1"/>
    </xf>
    <xf numFmtId="10" fontId="36" fillId="33" borderId="0" xfId="96" applyNumberFormat="1" applyFont="1" applyFill="1" applyBorder="1" applyProtection="1">
      <protection hidden="1"/>
    </xf>
    <xf numFmtId="14" fontId="4" fillId="9" borderId="0" xfId="91" applyNumberFormat="1" applyFill="1"/>
    <xf numFmtId="176" fontId="5" fillId="9" borderId="0" xfId="93" applyFont="1" applyFill="1" applyAlignment="1">
      <alignment horizontal="center"/>
    </xf>
    <xf numFmtId="176" fontId="4" fillId="0" borderId="0" xfId="91"/>
    <xf numFmtId="176" fontId="36" fillId="9" borderId="0" xfId="93" applyFont="1" applyFill="1" applyAlignment="1" applyProtection="1">
      <alignment horizontal="left"/>
      <protection hidden="1"/>
    </xf>
    <xf numFmtId="10" fontId="36" fillId="36" borderId="0" xfId="93" applyNumberFormat="1" applyFont="1" applyFill="1" applyAlignment="1" applyProtection="1">
      <alignment horizontal="center"/>
      <protection hidden="1"/>
    </xf>
    <xf numFmtId="169" fontId="36" fillId="35" borderId="14" xfId="96" applyNumberFormat="1" applyFont="1" applyFill="1" applyBorder="1" applyAlignment="1" applyProtection="1">
      <alignment horizontal="center" vertical="center"/>
      <protection hidden="1"/>
    </xf>
    <xf numFmtId="9" fontId="35" fillId="9" borderId="0" xfId="96" applyFont="1" applyFill="1"/>
    <xf numFmtId="176" fontId="39" fillId="37" borderId="16" xfId="93" applyFont="1" applyFill="1" applyBorder="1" applyAlignment="1" applyProtection="1">
      <alignment vertical="center"/>
      <protection hidden="1"/>
    </xf>
    <xf numFmtId="176" fontId="39" fillId="37" borderId="14" xfId="93" applyFont="1" applyFill="1" applyBorder="1" applyAlignment="1" applyProtection="1">
      <alignment vertical="center"/>
      <protection hidden="1"/>
    </xf>
    <xf numFmtId="9" fontId="35" fillId="9" borderId="0" xfId="93" applyNumberFormat="1" applyFill="1"/>
    <xf numFmtId="176" fontId="36" fillId="9" borderId="14" xfId="93" applyFont="1" applyFill="1" applyBorder="1" applyAlignment="1" applyProtection="1">
      <alignment horizontal="center" vertical="center" wrapText="1"/>
      <protection hidden="1"/>
    </xf>
    <xf numFmtId="181" fontId="36" fillId="36" borderId="0" xfId="93" applyNumberFormat="1" applyFont="1" applyFill="1" applyAlignment="1" applyProtection="1">
      <alignment horizontal="center" vertical="center" wrapText="1"/>
      <protection hidden="1"/>
    </xf>
    <xf numFmtId="164" fontId="35" fillId="9" borderId="0" xfId="93" applyNumberFormat="1" applyFill="1"/>
    <xf numFmtId="10" fontId="35" fillId="9" borderId="0" xfId="93" applyNumberFormat="1" applyFill="1"/>
    <xf numFmtId="10" fontId="35" fillId="9" borderId="0" xfId="96" applyNumberFormat="1" applyFont="1" applyFill="1"/>
    <xf numFmtId="176" fontId="29" fillId="40" borderId="0" xfId="91" applyFont="1" applyFill="1" applyAlignment="1">
      <alignment vertical="center" wrapText="1"/>
    </xf>
    <xf numFmtId="176" fontId="29" fillId="40" borderId="17" xfId="91" applyFont="1" applyFill="1" applyBorder="1" applyAlignment="1">
      <alignment vertical="center" wrapText="1"/>
    </xf>
    <xf numFmtId="10" fontId="5" fillId="0" borderId="0" xfId="97" applyNumberFormat="1" applyFont="1" applyAlignment="1" applyProtection="1">
      <alignment horizontal="center"/>
      <protection hidden="1"/>
    </xf>
    <xf numFmtId="176" fontId="36" fillId="9" borderId="14" xfId="93" applyFont="1" applyFill="1" applyBorder="1" applyAlignment="1" applyProtection="1">
      <alignment horizontal="left"/>
      <protection hidden="1"/>
    </xf>
    <xf numFmtId="180" fontId="36" fillId="36" borderId="14" xfId="95" applyNumberFormat="1" applyFont="1" applyFill="1" applyBorder="1" applyProtection="1">
      <protection hidden="1"/>
    </xf>
    <xf numFmtId="176" fontId="4" fillId="0" borderId="0" xfId="91" applyAlignment="1">
      <alignment vertical="top" wrapText="1"/>
    </xf>
    <xf numFmtId="176" fontId="42" fillId="40" borderId="24" xfId="91" applyFont="1" applyFill="1" applyBorder="1" applyAlignment="1">
      <alignment vertical="center" textRotation="90" wrapText="1"/>
    </xf>
    <xf numFmtId="182" fontId="4" fillId="40" borderId="16" xfId="91" applyNumberFormat="1" applyFill="1" applyBorder="1"/>
    <xf numFmtId="176" fontId="38" fillId="0" borderId="26" xfId="91" applyFont="1" applyBorder="1" applyAlignment="1">
      <alignment horizontal="center"/>
    </xf>
    <xf numFmtId="176" fontId="38" fillId="0" borderId="0" xfId="91" applyFont="1" applyAlignment="1">
      <alignment horizontal="center"/>
    </xf>
    <xf numFmtId="176" fontId="38" fillId="0" borderId="28" xfId="91" applyFont="1" applyBorder="1" applyAlignment="1">
      <alignment horizontal="center"/>
    </xf>
    <xf numFmtId="176" fontId="44" fillId="37" borderId="16" xfId="93" applyFont="1" applyFill="1" applyBorder="1" applyAlignment="1" applyProtection="1">
      <alignment vertical="center"/>
      <protection hidden="1"/>
    </xf>
    <xf numFmtId="183" fontId="45" fillId="38" borderId="16" xfId="98" applyNumberFormat="1" applyFont="1" applyFill="1" applyBorder="1" applyAlignment="1" applyProtection="1">
      <alignment vertical="center"/>
      <protection hidden="1"/>
    </xf>
    <xf numFmtId="10" fontId="45" fillId="38" borderId="16" xfId="96" applyNumberFormat="1" applyFont="1" applyFill="1" applyBorder="1" applyAlignment="1" applyProtection="1">
      <alignment vertical="center"/>
      <protection hidden="1"/>
    </xf>
    <xf numFmtId="10" fontId="29" fillId="0" borderId="29" xfId="96" applyNumberFormat="1" applyFont="1" applyBorder="1"/>
    <xf numFmtId="176" fontId="29" fillId="40" borderId="0" xfId="91" applyFont="1" applyFill="1" applyAlignment="1">
      <alignment horizontal="center" vertical="center" wrapText="1"/>
    </xf>
    <xf numFmtId="176" fontId="38" fillId="0" borderId="0" xfId="91" applyFont="1"/>
    <xf numFmtId="14" fontId="4" fillId="0" borderId="26" xfId="91" applyNumberFormat="1" applyBorder="1" applyAlignment="1">
      <alignment horizontal="center"/>
    </xf>
    <xf numFmtId="14" fontId="4" fillId="0" borderId="0" xfId="91" applyNumberFormat="1" applyAlignment="1">
      <alignment horizontal="center"/>
    </xf>
    <xf numFmtId="164" fontId="4" fillId="0" borderId="28" xfId="91" applyNumberFormat="1" applyBorder="1"/>
    <xf numFmtId="14" fontId="38" fillId="0" borderId="26" xfId="91" applyNumberFormat="1" applyFont="1" applyBorder="1" applyAlignment="1">
      <alignment horizontal="center"/>
    </xf>
    <xf numFmtId="176" fontId="38" fillId="0" borderId="30" xfId="91" applyFont="1" applyBorder="1" applyAlignment="1">
      <alignment horizontal="center"/>
    </xf>
    <xf numFmtId="176" fontId="38" fillId="0" borderId="31" xfId="91" applyFont="1" applyBorder="1" applyAlignment="1">
      <alignment horizontal="center"/>
    </xf>
    <xf numFmtId="164" fontId="38" fillId="0" borderId="32" xfId="91" applyNumberFormat="1" applyFont="1" applyBorder="1" applyAlignment="1">
      <alignment horizontal="center"/>
    </xf>
    <xf numFmtId="180" fontId="38" fillId="0" borderId="33" xfId="91" applyNumberFormat="1" applyFont="1" applyBorder="1" applyAlignment="1">
      <alignment horizontal="center"/>
    </xf>
    <xf numFmtId="176" fontId="41" fillId="39" borderId="14" xfId="93" applyFont="1" applyFill="1" applyBorder="1" applyAlignment="1" applyProtection="1">
      <alignment horizontal="left"/>
      <protection hidden="1"/>
    </xf>
    <xf numFmtId="10" fontId="36" fillId="35" borderId="14" xfId="96" applyNumberFormat="1" applyFont="1" applyFill="1" applyBorder="1" applyAlignment="1" applyProtection="1">
      <alignment horizontal="right"/>
      <protection hidden="1"/>
    </xf>
    <xf numFmtId="183" fontId="36" fillId="35" borderId="14" xfId="94" applyNumberFormat="1" applyFont="1" applyFill="1" applyBorder="1" applyAlignment="1" applyProtection="1">
      <alignment horizontal="right"/>
      <protection hidden="1"/>
    </xf>
    <xf numFmtId="164" fontId="4" fillId="0" borderId="29" xfId="91" applyNumberFormat="1" applyBorder="1"/>
    <xf numFmtId="170" fontId="0" fillId="0" borderId="34" xfId="94" applyNumberFormat="1" applyFont="1" applyBorder="1"/>
    <xf numFmtId="170" fontId="0" fillId="0" borderId="15" xfId="94" applyNumberFormat="1" applyFont="1" applyBorder="1" applyAlignment="1">
      <alignment vertical="top" wrapText="1"/>
    </xf>
    <xf numFmtId="170" fontId="0" fillId="0" borderId="15" xfId="94" applyNumberFormat="1" applyFont="1" applyBorder="1"/>
    <xf numFmtId="170" fontId="46" fillId="9" borderId="35" xfId="94" applyNumberFormat="1" applyFont="1" applyFill="1" applyBorder="1"/>
    <xf numFmtId="164" fontId="47" fillId="0" borderId="0" xfId="91" applyNumberFormat="1" applyFont="1"/>
    <xf numFmtId="184" fontId="4" fillId="0" borderId="0" xfId="91" applyNumberFormat="1" applyAlignment="1">
      <alignment horizontal="center"/>
    </xf>
    <xf numFmtId="172" fontId="5" fillId="0" borderId="28" xfId="97" applyNumberFormat="1" applyFont="1" applyBorder="1" applyAlignment="1" applyProtection="1">
      <alignment horizontal="center"/>
      <protection hidden="1"/>
    </xf>
    <xf numFmtId="172" fontId="8" fillId="36" borderId="0" xfId="96" applyNumberFormat="1" applyFont="1" applyFill="1" applyBorder="1"/>
    <xf numFmtId="164" fontId="4" fillId="0" borderId="0" xfId="91" applyNumberFormat="1"/>
    <xf numFmtId="164" fontId="4" fillId="0" borderId="36" xfId="91" applyNumberFormat="1" applyBorder="1"/>
    <xf numFmtId="164" fontId="4" fillId="0" borderId="37" xfId="91" applyNumberFormat="1" applyBorder="1"/>
    <xf numFmtId="180" fontId="4" fillId="0" borderId="33" xfId="91" applyNumberFormat="1" applyBorder="1"/>
    <xf numFmtId="172" fontId="36" fillId="35" borderId="14" xfId="96" applyNumberFormat="1" applyFont="1" applyFill="1" applyBorder="1" applyAlignment="1" applyProtection="1">
      <alignment horizontal="right"/>
      <protection hidden="1"/>
    </xf>
    <xf numFmtId="170" fontId="0" fillId="0" borderId="37" xfId="94" applyNumberFormat="1" applyFont="1" applyBorder="1"/>
    <xf numFmtId="170" fontId="0" fillId="0" borderId="0" xfId="94" applyNumberFormat="1" applyFont="1" applyBorder="1" applyAlignment="1">
      <alignment vertical="top" wrapText="1"/>
    </xf>
    <xf numFmtId="170" fontId="0" fillId="0" borderId="24" xfId="94" applyNumberFormat="1" applyFont="1" applyBorder="1"/>
    <xf numFmtId="172" fontId="8" fillId="0" borderId="0" xfId="96" applyNumberFormat="1" applyFont="1" applyBorder="1"/>
    <xf numFmtId="185" fontId="4" fillId="0" borderId="0" xfId="91" applyNumberFormat="1"/>
    <xf numFmtId="186" fontId="0" fillId="0" borderId="0" xfId="96" applyNumberFormat="1" applyFont="1" applyBorder="1" applyAlignment="1">
      <alignment vertical="top" wrapText="1"/>
    </xf>
    <xf numFmtId="166" fontId="0" fillId="0" borderId="0" xfId="94" applyFont="1" applyBorder="1" applyAlignment="1">
      <alignment vertical="top" wrapText="1"/>
    </xf>
    <xf numFmtId="9" fontId="0" fillId="0" borderId="0" xfId="96" applyFont="1" applyBorder="1" applyAlignment="1">
      <alignment vertical="top" wrapText="1"/>
    </xf>
    <xf numFmtId="187" fontId="4" fillId="0" borderId="0" xfId="91" applyNumberFormat="1"/>
    <xf numFmtId="164" fontId="38" fillId="0" borderId="38" xfId="91" applyNumberFormat="1" applyFont="1" applyBorder="1"/>
    <xf numFmtId="180" fontId="4" fillId="0" borderId="1" xfId="91" applyNumberFormat="1" applyBorder="1"/>
    <xf numFmtId="172" fontId="0" fillId="0" borderId="0" xfId="96" applyNumberFormat="1" applyFont="1"/>
    <xf numFmtId="170" fontId="4" fillId="0" borderId="0" xfId="91" applyNumberFormat="1"/>
    <xf numFmtId="186" fontId="35" fillId="9" borderId="0" xfId="96" applyNumberFormat="1" applyFont="1" applyFill="1"/>
    <xf numFmtId="172" fontId="4" fillId="0" borderId="0" xfId="91" applyNumberFormat="1"/>
    <xf numFmtId="188" fontId="4" fillId="0" borderId="0" xfId="91" applyNumberFormat="1"/>
    <xf numFmtId="176" fontId="29" fillId="0" borderId="0" xfId="91" applyFont="1" applyAlignment="1">
      <alignment horizontal="center"/>
    </xf>
    <xf numFmtId="164" fontId="38" fillId="0" borderId="25" xfId="91" applyNumberFormat="1" applyFont="1" applyBorder="1"/>
    <xf numFmtId="176" fontId="48" fillId="0" borderId="0" xfId="91" applyFont="1" applyAlignment="1">
      <alignment horizontal="center"/>
    </xf>
    <xf numFmtId="170" fontId="49" fillId="0" borderId="0" xfId="94" applyNumberFormat="1" applyFont="1" applyBorder="1" applyAlignment="1">
      <alignment horizontal="center"/>
    </xf>
    <xf numFmtId="189" fontId="49" fillId="0" borderId="0" xfId="94" applyNumberFormat="1" applyFont="1" applyBorder="1" applyAlignment="1">
      <alignment horizontal="center"/>
    </xf>
    <xf numFmtId="183" fontId="49" fillId="0" borderId="0" xfId="94" applyNumberFormat="1" applyFont="1" applyBorder="1" applyAlignment="1">
      <alignment horizontal="center"/>
    </xf>
    <xf numFmtId="176" fontId="50" fillId="0" borderId="0" xfId="91" applyFont="1"/>
    <xf numFmtId="0" fontId="55" fillId="34" borderId="39" xfId="0" applyFont="1" applyFill="1" applyBorder="1" applyAlignment="1">
      <alignment horizontal="center" vertical="top" wrapText="1"/>
    </xf>
    <xf numFmtId="0" fontId="55" fillId="34" borderId="22" xfId="0" applyFont="1" applyFill="1" applyBorder="1" applyAlignment="1">
      <alignment horizontal="center" vertical="top" wrapText="1"/>
    </xf>
    <xf numFmtId="0" fontId="55" fillId="34" borderId="23" xfId="0" applyFont="1" applyFill="1" applyBorder="1" applyAlignment="1">
      <alignment horizontal="center" vertical="top" wrapText="1"/>
    </xf>
    <xf numFmtId="0" fontId="56" fillId="34" borderId="22" xfId="0" applyFont="1" applyFill="1" applyBorder="1" applyAlignment="1">
      <alignment horizontal="center" vertical="top" wrapText="1"/>
    </xf>
    <xf numFmtId="180" fontId="56" fillId="34" borderId="22" xfId="90" applyNumberFormat="1" applyFont="1" applyFill="1" applyBorder="1" applyAlignment="1">
      <alignment horizontal="center" vertical="top" wrapText="1"/>
    </xf>
    <xf numFmtId="10" fontId="36" fillId="0" borderId="0" xfId="96" applyNumberFormat="1" applyFont="1" applyFill="1" applyBorder="1" applyProtection="1">
      <protection hidden="1"/>
    </xf>
    <xf numFmtId="176" fontId="36" fillId="0" borderId="15" xfId="93" applyFont="1" applyBorder="1" applyAlignment="1" applyProtection="1">
      <alignment horizontal="center"/>
      <protection hidden="1"/>
    </xf>
    <xf numFmtId="43" fontId="4" fillId="0" borderId="0" xfId="49" applyFont="1"/>
    <xf numFmtId="172" fontId="4" fillId="0" borderId="0" xfId="74" applyNumberFormat="1" applyFont="1"/>
    <xf numFmtId="176" fontId="4" fillId="40" borderId="0" xfId="91" applyFill="1"/>
    <xf numFmtId="176" fontId="38" fillId="40" borderId="0" xfId="91" applyFont="1" applyFill="1" applyAlignment="1">
      <alignment horizontal="center"/>
    </xf>
    <xf numFmtId="14" fontId="4" fillId="40" borderId="0" xfId="91" applyNumberFormat="1" applyFill="1" applyAlignment="1">
      <alignment horizontal="center"/>
    </xf>
    <xf numFmtId="184" fontId="4" fillId="40" borderId="0" xfId="91" applyNumberFormat="1" applyFill="1" applyAlignment="1">
      <alignment horizontal="center"/>
    </xf>
    <xf numFmtId="168" fontId="4" fillId="0" borderId="0" xfId="49" applyNumberFormat="1" applyFont="1"/>
    <xf numFmtId="176" fontId="4" fillId="33" borderId="0" xfId="91" applyFill="1"/>
    <xf numFmtId="170" fontId="0" fillId="33" borderId="0" xfId="94" applyNumberFormat="1" applyFont="1" applyFill="1" applyBorder="1"/>
    <xf numFmtId="170" fontId="38" fillId="33" borderId="0" xfId="91" applyNumberFormat="1" applyFont="1" applyFill="1"/>
    <xf numFmtId="10" fontId="40" fillId="38" borderId="16" xfId="96" applyNumberFormat="1" applyFont="1" applyFill="1" applyBorder="1" applyAlignment="1" applyProtection="1">
      <alignment horizontal="center" vertical="center"/>
      <protection hidden="1"/>
    </xf>
    <xf numFmtId="10" fontId="40" fillId="38" borderId="14" xfId="96" applyNumberFormat="1" applyFont="1" applyFill="1" applyBorder="1" applyAlignment="1" applyProtection="1">
      <alignment horizontal="center" vertical="center"/>
      <protection hidden="1"/>
    </xf>
    <xf numFmtId="176" fontId="38" fillId="43" borderId="0" xfId="91" applyFont="1" applyFill="1"/>
    <xf numFmtId="164" fontId="47" fillId="43" borderId="0" xfId="91" applyNumberFormat="1" applyFont="1" applyFill="1"/>
    <xf numFmtId="14" fontId="4" fillId="43" borderId="26" xfId="91" applyNumberFormat="1" applyFill="1" applyBorder="1" applyAlignment="1">
      <alignment horizontal="center"/>
    </xf>
    <xf numFmtId="170" fontId="0" fillId="43" borderId="0" xfId="94" applyNumberFormat="1" applyFont="1" applyFill="1" applyBorder="1" applyAlignment="1">
      <alignment vertical="top" wrapText="1"/>
    </xf>
    <xf numFmtId="10" fontId="4" fillId="0" borderId="0" xfId="74" applyNumberFormat="1" applyFont="1"/>
    <xf numFmtId="196" fontId="35" fillId="9" borderId="0" xfId="49" applyNumberFormat="1" applyFont="1" applyFill="1"/>
    <xf numFmtId="197" fontId="35" fillId="9" borderId="0" xfId="49" applyNumberFormat="1" applyFont="1" applyFill="1"/>
    <xf numFmtId="170" fontId="0" fillId="0" borderId="0" xfId="94" applyNumberFormat="1" applyFont="1" applyBorder="1"/>
    <xf numFmtId="176" fontId="43" fillId="9" borderId="0" xfId="93" applyFont="1" applyFill="1"/>
    <xf numFmtId="176" fontId="3" fillId="0" borderId="0" xfId="91" applyFont="1"/>
    <xf numFmtId="176" fontId="3" fillId="0" borderId="0" xfId="91" applyFont="1" applyAlignment="1">
      <alignment vertical="top" wrapText="1"/>
    </xf>
    <xf numFmtId="186" fontId="58" fillId="0" borderId="0" xfId="96" applyNumberFormat="1" applyFont="1" applyBorder="1" applyAlignment="1">
      <alignment vertical="top" wrapText="1"/>
    </xf>
    <xf numFmtId="186" fontId="36" fillId="35" borderId="14" xfId="96" applyNumberFormat="1" applyFont="1" applyFill="1" applyBorder="1" applyAlignment="1" applyProtection="1">
      <alignment horizontal="center" vertical="center"/>
      <protection hidden="1"/>
    </xf>
    <xf numFmtId="172" fontId="40" fillId="38" borderId="14" xfId="96" applyNumberFormat="1" applyFont="1" applyFill="1" applyBorder="1" applyAlignment="1" applyProtection="1">
      <alignment horizontal="center" vertical="center"/>
      <protection hidden="1"/>
    </xf>
    <xf numFmtId="172" fontId="40" fillId="38" borderId="16" xfId="96" applyNumberFormat="1" applyFont="1" applyFill="1" applyBorder="1" applyAlignment="1" applyProtection="1">
      <alignment horizontal="center" vertical="center"/>
      <protection hidden="1"/>
    </xf>
    <xf numFmtId="14" fontId="59" fillId="9" borderId="0" xfId="93" applyNumberFormat="1" applyFont="1" applyFill="1" applyAlignment="1" applyProtection="1">
      <alignment horizontal="center"/>
      <protection hidden="1"/>
    </xf>
    <xf numFmtId="176" fontId="59" fillId="9" borderId="0" xfId="93" applyFont="1" applyFill="1" applyAlignment="1" applyProtection="1">
      <alignment horizontal="center"/>
      <protection hidden="1"/>
    </xf>
    <xf numFmtId="176" fontId="36" fillId="9" borderId="19" xfId="93" applyFont="1" applyFill="1" applyBorder="1" applyAlignment="1" applyProtection="1">
      <alignment horizontal="center" vertical="center"/>
      <protection hidden="1"/>
    </xf>
    <xf numFmtId="14" fontId="36" fillId="33" borderId="21" xfId="93" applyNumberFormat="1" applyFont="1" applyFill="1" applyBorder="1" applyAlignment="1" applyProtection="1">
      <alignment horizontal="center" vertical="center"/>
      <protection hidden="1"/>
    </xf>
    <xf numFmtId="176" fontId="39" fillId="35" borderId="16" xfId="93" applyFont="1" applyFill="1" applyBorder="1" applyAlignment="1" applyProtection="1">
      <alignment vertical="center"/>
      <protection hidden="1"/>
    </xf>
    <xf numFmtId="176" fontId="39" fillId="35" borderId="14" xfId="93" applyFont="1" applyFill="1" applyBorder="1" applyAlignment="1" applyProtection="1">
      <alignment vertical="center"/>
      <protection hidden="1"/>
    </xf>
    <xf numFmtId="176" fontId="60" fillId="9" borderId="0" xfId="93" applyFont="1" applyFill="1"/>
    <xf numFmtId="9" fontId="60" fillId="9" borderId="0" xfId="96" applyFont="1" applyFill="1"/>
    <xf numFmtId="176" fontId="14" fillId="0" borderId="0" xfId="91" applyFont="1"/>
    <xf numFmtId="176" fontId="36" fillId="9" borderId="41" xfId="93" applyFont="1" applyFill="1" applyBorder="1" applyAlignment="1" applyProtection="1">
      <alignment horizontal="center" vertical="center"/>
      <protection hidden="1"/>
    </xf>
    <xf numFmtId="176" fontId="41" fillId="39" borderId="14" xfId="93" applyFont="1" applyFill="1" applyBorder="1" applyAlignment="1" applyProtection="1">
      <alignment horizontal="center" vertical="center" wrapText="1"/>
      <protection hidden="1"/>
    </xf>
    <xf numFmtId="170" fontId="0" fillId="40" borderId="0" xfId="94" applyNumberFormat="1" applyFont="1" applyFill="1" applyBorder="1" applyAlignment="1">
      <alignment vertical="top" wrapText="1"/>
    </xf>
    <xf numFmtId="176" fontId="2" fillId="0" borderId="0" xfId="91" applyFont="1"/>
    <xf numFmtId="170" fontId="0" fillId="44" borderId="0" xfId="94" applyNumberFormat="1" applyFont="1" applyFill="1" applyBorder="1" applyAlignment="1">
      <alignment vertical="top" wrapText="1"/>
    </xf>
    <xf numFmtId="176" fontId="1" fillId="9" borderId="0" xfId="91" applyFont="1" applyFill="1"/>
    <xf numFmtId="176" fontId="61" fillId="9" borderId="0" xfId="91" applyFont="1" applyFill="1" applyAlignment="1">
      <alignment horizontal="left"/>
    </xf>
    <xf numFmtId="169" fontId="5" fillId="35" borderId="14" xfId="96" applyNumberFormat="1" applyFont="1" applyFill="1" applyBorder="1" applyAlignment="1" applyProtection="1">
      <alignment horizontal="center" vertical="center"/>
      <protection hidden="1"/>
    </xf>
    <xf numFmtId="176" fontId="1" fillId="0" borderId="0" xfId="91" applyFont="1"/>
    <xf numFmtId="0" fontId="62" fillId="34" borderId="23" xfId="0" applyFont="1" applyFill="1" applyBorder="1" applyAlignment="1">
      <alignment horizontal="center" vertical="top" wrapText="1"/>
    </xf>
    <xf numFmtId="180" fontId="8" fillId="0" borderId="33" xfId="91" applyNumberFormat="1" applyFont="1" applyBorder="1" applyAlignment="1">
      <alignment horizontal="center"/>
    </xf>
    <xf numFmtId="180" fontId="1" fillId="0" borderId="33" xfId="91" applyNumberFormat="1" applyFont="1" applyBorder="1"/>
    <xf numFmtId="180" fontId="4" fillId="40" borderId="33" xfId="91" applyNumberFormat="1" applyFill="1" applyBorder="1"/>
    <xf numFmtId="172" fontId="5" fillId="35" borderId="14" xfId="96" applyNumberFormat="1" applyFont="1" applyFill="1" applyBorder="1" applyAlignment="1" applyProtection="1">
      <alignment horizontal="center" vertical="center"/>
      <protection hidden="1"/>
    </xf>
    <xf numFmtId="172" fontId="40" fillId="38" borderId="14" xfId="74" applyNumberFormat="1" applyFont="1" applyFill="1" applyBorder="1" applyAlignment="1" applyProtection="1">
      <alignment horizontal="center" vertical="center"/>
      <protection hidden="1"/>
    </xf>
    <xf numFmtId="179" fontId="63" fillId="45" borderId="0" xfId="0" applyNumberFormat="1" applyFont="1" applyFill="1" applyAlignment="1">
      <alignment horizontal="center" vertical="top"/>
    </xf>
    <xf numFmtId="0" fontId="64" fillId="9" borderId="0" xfId="0" applyFont="1" applyFill="1" applyProtection="1">
      <protection hidden="1"/>
    </xf>
    <xf numFmtId="0" fontId="65" fillId="9" borderId="0" xfId="0" applyFont="1" applyFill="1" applyProtection="1">
      <protection hidden="1"/>
    </xf>
    <xf numFmtId="0" fontId="65" fillId="0" borderId="0" xfId="0" applyFont="1" applyProtection="1">
      <protection hidden="1"/>
    </xf>
    <xf numFmtId="0" fontId="64" fillId="0" borderId="0" xfId="0" applyFont="1" applyProtection="1">
      <protection hidden="1"/>
    </xf>
    <xf numFmtId="43" fontId="66" fillId="0" borderId="0" xfId="49" applyFont="1" applyFill="1" applyProtection="1">
      <protection hidden="1"/>
    </xf>
    <xf numFmtId="0" fontId="67" fillId="0" borderId="0" xfId="0" applyFont="1" applyProtection="1">
      <protection hidden="1"/>
    </xf>
    <xf numFmtId="0" fontId="67" fillId="33" borderId="0" xfId="0" applyFont="1" applyFill="1" applyProtection="1">
      <protection hidden="1"/>
    </xf>
    <xf numFmtId="0" fontId="64" fillId="33" borderId="0" xfId="0" applyFont="1" applyFill="1" applyProtection="1">
      <protection hidden="1"/>
    </xf>
    <xf numFmtId="0" fontId="68" fillId="9" borderId="0" xfId="71" applyFont="1" applyFill="1" applyProtection="1">
      <protection hidden="1"/>
    </xf>
    <xf numFmtId="0" fontId="68" fillId="33" borderId="0" xfId="71" applyFont="1" applyFill="1" applyProtection="1">
      <protection hidden="1"/>
    </xf>
    <xf numFmtId="0" fontId="70" fillId="9" borderId="0" xfId="0" applyFont="1" applyFill="1" applyProtection="1">
      <protection hidden="1"/>
    </xf>
    <xf numFmtId="0" fontId="71" fillId="45" borderId="0" xfId="0" applyFont="1" applyFill="1" applyAlignment="1">
      <alignment horizontal="center" vertical="center" wrapText="1"/>
    </xf>
    <xf numFmtId="0" fontId="72" fillId="45" borderId="0" xfId="0" applyFont="1" applyFill="1" applyAlignment="1">
      <alignment vertical="top" wrapText="1"/>
    </xf>
    <xf numFmtId="0" fontId="73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5" fillId="0" borderId="0" xfId="0" applyFont="1" applyAlignment="1" applyProtection="1">
      <alignment horizontal="left"/>
      <protection hidden="1"/>
    </xf>
    <xf numFmtId="171" fontId="75" fillId="0" borderId="0" xfId="49" applyNumberFormat="1" applyFont="1" applyFill="1" applyBorder="1" applyAlignment="1" applyProtection="1">
      <alignment horizontal="center"/>
      <protection hidden="1"/>
    </xf>
    <xf numFmtId="0" fontId="75" fillId="35" borderId="0" xfId="0" applyFont="1" applyFill="1" applyAlignment="1" applyProtection="1">
      <alignment horizontal="left"/>
      <protection hidden="1"/>
    </xf>
    <xf numFmtId="10" fontId="75" fillId="35" borderId="0" xfId="74" applyNumberFormat="1" applyFont="1" applyFill="1" applyBorder="1" applyAlignment="1" applyProtection="1">
      <alignment horizontal="center"/>
      <protection hidden="1"/>
    </xf>
    <xf numFmtId="174" fontId="77" fillId="9" borderId="0" xfId="49" applyNumberFormat="1" applyFont="1" applyFill="1" applyBorder="1" applyAlignment="1" applyProtection="1">
      <alignment horizontal="center" vertical="center"/>
      <protection hidden="1"/>
    </xf>
    <xf numFmtId="174" fontId="78" fillId="9" borderId="0" xfId="49" applyNumberFormat="1" applyFont="1" applyFill="1" applyBorder="1" applyAlignment="1" applyProtection="1">
      <alignment horizontal="center" vertical="center"/>
      <protection hidden="1"/>
    </xf>
    <xf numFmtId="3" fontId="63" fillId="45" borderId="0" xfId="0" applyNumberFormat="1" applyFont="1" applyFill="1" applyAlignment="1">
      <alignment horizontal="center" vertical="top" wrapText="1"/>
    </xf>
    <xf numFmtId="0" fontId="75" fillId="33" borderId="0" xfId="0" applyFont="1" applyFill="1" applyAlignment="1" applyProtection="1">
      <alignment horizontal="left"/>
      <protection hidden="1"/>
    </xf>
    <xf numFmtId="175" fontId="75" fillId="33" borderId="0" xfId="0" applyNumberFormat="1" applyFont="1" applyFill="1" applyAlignment="1" applyProtection="1">
      <alignment horizontal="center"/>
      <protection hidden="1"/>
    </xf>
    <xf numFmtId="179" fontId="63" fillId="45" borderId="0" xfId="0" applyNumberFormat="1" applyFont="1" applyFill="1" applyAlignment="1">
      <alignment horizontal="center" vertical="top" wrapText="1"/>
    </xf>
    <xf numFmtId="174" fontId="75" fillId="9" borderId="0" xfId="49" applyNumberFormat="1" applyFont="1" applyFill="1" applyBorder="1" applyAlignment="1" applyProtection="1">
      <alignment horizontal="center" vertical="center"/>
      <protection hidden="1"/>
    </xf>
    <xf numFmtId="1" fontId="67" fillId="33" borderId="0" xfId="0" applyNumberFormat="1" applyFont="1" applyFill="1" applyProtection="1">
      <protection hidden="1"/>
    </xf>
    <xf numFmtId="43" fontId="67" fillId="33" borderId="0" xfId="49" applyFont="1" applyFill="1" applyBorder="1" applyProtection="1">
      <protection hidden="1"/>
    </xf>
    <xf numFmtId="10" fontId="67" fillId="33" borderId="0" xfId="0" applyNumberFormat="1" applyFont="1" applyFill="1" applyProtection="1">
      <protection hidden="1"/>
    </xf>
    <xf numFmtId="9" fontId="75" fillId="35" borderId="0" xfId="74" applyFont="1" applyFill="1" applyBorder="1" applyAlignment="1" applyProtection="1">
      <alignment horizontal="left"/>
      <protection hidden="1"/>
    </xf>
    <xf numFmtId="10" fontId="75" fillId="33" borderId="0" xfId="74" applyNumberFormat="1" applyFont="1" applyFill="1" applyBorder="1" applyAlignment="1" applyProtection="1">
      <alignment horizontal="center"/>
      <protection hidden="1"/>
    </xf>
    <xf numFmtId="2" fontId="75" fillId="35" borderId="0" xfId="0" applyNumberFormat="1" applyFont="1" applyFill="1" applyAlignment="1" applyProtection="1">
      <alignment horizontal="center"/>
      <protection hidden="1"/>
    </xf>
    <xf numFmtId="2" fontId="75" fillId="33" borderId="0" xfId="0" applyNumberFormat="1" applyFont="1" applyFill="1" applyAlignment="1" applyProtection="1">
      <alignment horizontal="center"/>
      <protection hidden="1"/>
    </xf>
    <xf numFmtId="2" fontId="75" fillId="35" borderId="0" xfId="0" applyNumberFormat="1" applyFont="1" applyFill="1" applyProtection="1">
      <protection hidden="1"/>
    </xf>
    <xf numFmtId="178" fontId="75" fillId="35" borderId="0" xfId="0" applyNumberFormat="1" applyFont="1" applyFill="1" applyAlignment="1" applyProtection="1">
      <alignment horizontal="center"/>
      <protection hidden="1"/>
    </xf>
    <xf numFmtId="0" fontId="75" fillId="0" borderId="0" xfId="0" applyFont="1" applyAlignment="1" applyProtection="1">
      <alignment horizontal="center"/>
      <protection hidden="1"/>
    </xf>
    <xf numFmtId="1" fontId="75" fillId="0" borderId="0" xfId="0" applyNumberFormat="1" applyFont="1" applyProtection="1">
      <protection hidden="1"/>
    </xf>
    <xf numFmtId="0" fontId="77" fillId="0" borderId="0" xfId="0" applyFont="1" applyProtection="1">
      <protection hidden="1"/>
    </xf>
    <xf numFmtId="0" fontId="63" fillId="33" borderId="0" xfId="0" applyFont="1" applyFill="1" applyAlignment="1" applyProtection="1">
      <alignment horizontal="left"/>
      <protection hidden="1"/>
    </xf>
    <xf numFmtId="186" fontId="63" fillId="33" borderId="0" xfId="74" applyNumberFormat="1" applyFont="1" applyFill="1" applyBorder="1" applyAlignment="1" applyProtection="1">
      <alignment horizontal="center"/>
      <protection hidden="1"/>
    </xf>
    <xf numFmtId="0" fontId="79" fillId="35" borderId="0" xfId="0" applyFont="1" applyFill="1" applyAlignment="1" applyProtection="1">
      <alignment horizontal="left"/>
      <protection hidden="1"/>
    </xf>
    <xf numFmtId="172" fontId="79" fillId="35" borderId="0" xfId="74" applyNumberFormat="1" applyFont="1" applyFill="1" applyBorder="1" applyAlignment="1" applyProtection="1">
      <alignment horizontal="center"/>
      <protection locked="0" hidden="1"/>
    </xf>
    <xf numFmtId="186" fontId="64" fillId="9" borderId="0" xfId="0" applyNumberFormat="1" applyFont="1" applyFill="1" applyProtection="1">
      <protection hidden="1"/>
    </xf>
    <xf numFmtId="172" fontId="75" fillId="33" borderId="0" xfId="74" applyNumberFormat="1" applyFont="1" applyFill="1" applyBorder="1" applyAlignment="1" applyProtection="1">
      <alignment horizontal="center"/>
      <protection hidden="1"/>
    </xf>
    <xf numFmtId="179" fontId="63" fillId="45" borderId="0" xfId="0" applyNumberFormat="1" applyFont="1" applyFill="1" applyAlignment="1">
      <alignment horizontal="center" vertical="center" wrapText="1"/>
    </xf>
    <xf numFmtId="179" fontId="82" fillId="45" borderId="0" xfId="0" applyNumberFormat="1" applyFont="1" applyFill="1" applyAlignment="1">
      <alignment vertical="top" wrapText="1"/>
    </xf>
    <xf numFmtId="179" fontId="63" fillId="45" borderId="0" xfId="0" applyNumberFormat="1" applyFont="1" applyFill="1" applyAlignment="1">
      <alignment vertical="center" wrapText="1"/>
    </xf>
    <xf numFmtId="43" fontId="67" fillId="33" borderId="0" xfId="49" applyFont="1" applyFill="1" applyProtection="1">
      <protection hidden="1"/>
    </xf>
    <xf numFmtId="0" fontId="72" fillId="45" borderId="0" xfId="0" applyFont="1" applyFill="1" applyAlignment="1">
      <alignment vertical="top"/>
    </xf>
    <xf numFmtId="3" fontId="63" fillId="45" borderId="0" xfId="0" applyNumberFormat="1" applyFont="1" applyFill="1" applyAlignment="1">
      <alignment horizontal="center" vertical="top"/>
    </xf>
    <xf numFmtId="0" fontId="64" fillId="0" borderId="0" xfId="0" applyFont="1" applyAlignment="1" applyProtection="1">
      <alignment wrapText="1"/>
      <protection hidden="1"/>
    </xf>
    <xf numFmtId="179" fontId="63" fillId="45" borderId="0" xfId="0" applyNumberFormat="1" applyFont="1" applyFill="1" applyAlignment="1">
      <alignment vertical="top"/>
    </xf>
    <xf numFmtId="0" fontId="64" fillId="0" borderId="1" xfId="0" applyFont="1" applyBorder="1" applyAlignment="1" applyProtection="1">
      <alignment wrapText="1"/>
      <protection hidden="1"/>
    </xf>
    <xf numFmtId="0" fontId="64" fillId="0" borderId="27" xfId="0" applyFont="1" applyBorder="1" applyAlignment="1" applyProtection="1">
      <alignment wrapText="1"/>
      <protection hidden="1"/>
    </xf>
    <xf numFmtId="0" fontId="64" fillId="0" borderId="2" xfId="0" applyFont="1" applyBorder="1" applyProtection="1">
      <protection hidden="1"/>
    </xf>
    <xf numFmtId="0" fontId="64" fillId="0" borderId="26" xfId="0" applyFont="1" applyBorder="1" applyAlignment="1" applyProtection="1">
      <alignment wrapText="1"/>
      <protection hidden="1"/>
    </xf>
    <xf numFmtId="0" fontId="64" fillId="0" borderId="28" xfId="0" applyFont="1" applyBorder="1" applyProtection="1">
      <protection hidden="1"/>
    </xf>
    <xf numFmtId="0" fontId="64" fillId="0" borderId="26" xfId="0" applyFont="1" applyBorder="1" applyProtection="1">
      <protection hidden="1"/>
    </xf>
    <xf numFmtId="0" fontId="83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5" fillId="0" borderId="0" xfId="143" applyFont="1" applyFill="1" applyBorder="1" applyProtection="1">
      <protection hidden="1"/>
    </xf>
    <xf numFmtId="174" fontId="65" fillId="33" borderId="0" xfId="49" applyNumberFormat="1" applyFont="1" applyFill="1" applyProtection="1">
      <protection hidden="1"/>
    </xf>
    <xf numFmtId="178" fontId="86" fillId="33" borderId="0" xfId="0" applyNumberFormat="1" applyFont="1" applyFill="1" applyAlignment="1" applyProtection="1">
      <alignment horizontal="center"/>
      <protection hidden="1"/>
    </xf>
    <xf numFmtId="0" fontId="66" fillId="0" borderId="0" xfId="0" applyFont="1" applyProtection="1">
      <protection hidden="1"/>
    </xf>
    <xf numFmtId="0" fontId="64" fillId="0" borderId="3" xfId="0" applyFont="1" applyBorder="1" applyProtection="1">
      <protection hidden="1"/>
    </xf>
    <xf numFmtId="0" fontId="64" fillId="0" borderId="40" xfId="0" applyFont="1" applyBorder="1" applyProtection="1">
      <protection hidden="1"/>
    </xf>
    <xf numFmtId="0" fontId="65" fillId="9" borderId="4" xfId="0" applyFont="1" applyFill="1" applyBorder="1" applyProtection="1">
      <protection hidden="1"/>
    </xf>
    <xf numFmtId="164" fontId="64" fillId="0" borderId="0" xfId="0" applyNumberFormat="1" applyFont="1" applyProtection="1">
      <protection hidden="1"/>
    </xf>
    <xf numFmtId="43" fontId="66" fillId="0" borderId="0" xfId="49" applyFont="1" applyFill="1" applyBorder="1" applyProtection="1">
      <protection hidden="1"/>
    </xf>
    <xf numFmtId="0" fontId="65" fillId="33" borderId="0" xfId="0" applyFont="1" applyFill="1" applyProtection="1">
      <protection hidden="1"/>
    </xf>
    <xf numFmtId="0" fontId="70" fillId="33" borderId="0" xfId="0" applyFont="1" applyFill="1" applyProtection="1">
      <protection hidden="1"/>
    </xf>
    <xf numFmtId="0" fontId="87" fillId="0" borderId="0" xfId="143" applyFont="1" applyFill="1" applyBorder="1" applyProtection="1">
      <protection hidden="1"/>
    </xf>
    <xf numFmtId="43" fontId="67" fillId="33" borderId="0" xfId="0" applyNumberFormat="1" applyFont="1" applyFill="1" applyProtection="1">
      <protection hidden="1"/>
    </xf>
    <xf numFmtId="10" fontId="67" fillId="33" borderId="0" xfId="74" applyNumberFormat="1" applyFont="1" applyFill="1" applyProtection="1">
      <protection hidden="1"/>
    </xf>
    <xf numFmtId="168" fontId="67" fillId="33" borderId="0" xfId="62" applyNumberFormat="1" applyFont="1" applyFill="1" applyProtection="1">
      <protection hidden="1"/>
    </xf>
    <xf numFmtId="179" fontId="63" fillId="33" borderId="0" xfId="0" applyNumberFormat="1" applyFont="1" applyFill="1" applyAlignment="1">
      <alignment horizontal="center" vertical="top"/>
    </xf>
    <xf numFmtId="3" fontId="63" fillId="33" borderId="0" xfId="0" applyNumberFormat="1" applyFont="1" applyFill="1" applyAlignment="1">
      <alignment horizontal="center" vertical="top" wrapText="1"/>
    </xf>
    <xf numFmtId="179" fontId="63" fillId="33" borderId="0" xfId="0" applyNumberFormat="1" applyFont="1" applyFill="1" applyAlignment="1">
      <alignment horizontal="center" vertical="top" wrapText="1"/>
    </xf>
    <xf numFmtId="179" fontId="63" fillId="33" borderId="0" xfId="0" applyNumberFormat="1" applyFont="1" applyFill="1" applyAlignment="1">
      <alignment vertical="top" wrapText="1"/>
    </xf>
    <xf numFmtId="0" fontId="63" fillId="33" borderId="0" xfId="0" applyFont="1" applyFill="1" applyProtection="1">
      <protection hidden="1"/>
    </xf>
    <xf numFmtId="174" fontId="63" fillId="33" borderId="0" xfId="49" applyNumberFormat="1" applyFont="1" applyFill="1" applyBorder="1" applyAlignment="1" applyProtection="1">
      <alignment horizontal="center" vertical="center"/>
      <protection hidden="1"/>
    </xf>
    <xf numFmtId="3" fontId="81" fillId="33" borderId="0" xfId="0" applyNumberFormat="1" applyFont="1" applyFill="1" applyAlignment="1">
      <alignment horizontal="center" vertical="center" wrapText="1"/>
    </xf>
    <xf numFmtId="179" fontId="63" fillId="33" borderId="0" xfId="0" applyNumberFormat="1" applyFont="1" applyFill="1" applyAlignment="1">
      <alignment horizontal="center" vertical="center" wrapText="1"/>
    </xf>
    <xf numFmtId="0" fontId="63" fillId="33" borderId="0" xfId="0" applyFont="1" applyFill="1" applyAlignment="1">
      <alignment horizontal="center" vertical="center" wrapText="1"/>
    </xf>
    <xf numFmtId="0" fontId="63" fillId="45" borderId="0" xfId="0" applyFont="1" applyFill="1" applyAlignment="1">
      <alignment horizontal="center" vertical="center"/>
    </xf>
    <xf numFmtId="179" fontId="63" fillId="45" borderId="0" xfId="0" applyNumberFormat="1" applyFont="1" applyFill="1" applyAlignment="1">
      <alignment horizontal="center" vertical="center"/>
    </xf>
    <xf numFmtId="3" fontId="81" fillId="45" borderId="0" xfId="0" applyNumberFormat="1" applyFont="1" applyFill="1" applyAlignment="1">
      <alignment horizontal="center" vertical="center"/>
    </xf>
    <xf numFmtId="0" fontId="76" fillId="33" borderId="0" xfId="0" applyFont="1" applyFill="1" applyAlignment="1">
      <alignment horizontal="center" vertical="center" wrapText="1"/>
    </xf>
    <xf numFmtId="2" fontId="75" fillId="35" borderId="40" xfId="0" applyNumberFormat="1" applyFont="1" applyFill="1" applyBorder="1" applyAlignment="1" applyProtection="1">
      <alignment horizontal="center"/>
      <protection hidden="1"/>
    </xf>
    <xf numFmtId="3" fontId="81" fillId="45" borderId="0" xfId="0" applyNumberFormat="1" applyFont="1" applyFill="1" applyAlignment="1">
      <alignment horizontal="center" vertical="center" wrapText="1"/>
    </xf>
    <xf numFmtId="0" fontId="76" fillId="45" borderId="0" xfId="0" applyFont="1" applyFill="1" applyAlignment="1">
      <alignment horizontal="center" vertical="center" wrapText="1"/>
    </xf>
    <xf numFmtId="0" fontId="64" fillId="0" borderId="0" xfId="0" applyFont="1" applyAlignment="1" applyProtection="1">
      <alignment horizontal="center" wrapText="1"/>
      <protection hidden="1"/>
    </xf>
    <xf numFmtId="0" fontId="68" fillId="9" borderId="0" xfId="0" applyFont="1" applyFill="1" applyAlignment="1" applyProtection="1">
      <alignment horizontal="center"/>
      <protection hidden="1"/>
    </xf>
    <xf numFmtId="0" fontId="80" fillId="35" borderId="26" xfId="0" applyFont="1" applyFill="1" applyBorder="1" applyAlignment="1" applyProtection="1">
      <alignment horizontal="left" vertical="center"/>
      <protection hidden="1"/>
    </xf>
    <xf numFmtId="0" fontId="80" fillId="35" borderId="3" xfId="0" applyFont="1" applyFill="1" applyBorder="1" applyAlignment="1" applyProtection="1">
      <alignment horizontal="left" vertical="center"/>
      <protection hidden="1"/>
    </xf>
    <xf numFmtId="172" fontId="80" fillId="35" borderId="0" xfId="74" applyNumberFormat="1" applyFont="1" applyFill="1" applyBorder="1" applyAlignment="1" applyProtection="1">
      <alignment horizontal="center" vertical="center"/>
      <protection hidden="1"/>
    </xf>
    <xf numFmtId="172" fontId="80" fillId="35" borderId="40" xfId="74" applyNumberFormat="1" applyFont="1" applyFill="1" applyBorder="1" applyAlignment="1" applyProtection="1">
      <alignment horizontal="center" vertical="center"/>
      <protection hidden="1"/>
    </xf>
    <xf numFmtId="172" fontId="80" fillId="35" borderId="28" xfId="74" applyNumberFormat="1" applyFont="1" applyFill="1" applyBorder="1" applyAlignment="1" applyProtection="1">
      <alignment horizontal="center" vertical="center"/>
      <protection hidden="1"/>
    </xf>
    <xf numFmtId="172" fontId="80" fillId="35" borderId="4" xfId="74" applyNumberFormat="1" applyFont="1" applyFill="1" applyBorder="1" applyAlignment="1" applyProtection="1">
      <alignment horizontal="center" vertical="center"/>
      <protection hidden="1"/>
    </xf>
    <xf numFmtId="186" fontId="75" fillId="33" borderId="27" xfId="74" applyNumberFormat="1" applyFont="1" applyFill="1" applyBorder="1" applyAlignment="1" applyProtection="1">
      <alignment horizontal="center"/>
      <protection hidden="1"/>
    </xf>
    <xf numFmtId="0" fontId="80" fillId="33" borderId="1" xfId="0" applyFont="1" applyFill="1" applyBorder="1" applyAlignment="1" applyProtection="1">
      <alignment horizontal="left" vertical="center"/>
      <protection hidden="1"/>
    </xf>
    <xf numFmtId="0" fontId="80" fillId="33" borderId="26" xfId="0" applyFont="1" applyFill="1" applyBorder="1" applyAlignment="1" applyProtection="1">
      <alignment horizontal="left" vertical="center"/>
      <protection hidden="1"/>
    </xf>
    <xf numFmtId="0" fontId="79" fillId="33" borderId="1" xfId="0" applyFont="1" applyFill="1" applyBorder="1" applyAlignment="1" applyProtection="1">
      <alignment horizontal="left" vertical="center"/>
      <protection hidden="1"/>
    </xf>
    <xf numFmtId="0" fontId="79" fillId="33" borderId="3" xfId="0" applyFont="1" applyFill="1" applyBorder="1" applyAlignment="1" applyProtection="1">
      <alignment horizontal="left" vertical="center"/>
      <protection hidden="1"/>
    </xf>
    <xf numFmtId="175" fontId="75" fillId="33" borderId="0" xfId="0" applyNumberFormat="1" applyFont="1" applyFill="1" applyAlignment="1" applyProtection="1">
      <alignment horizontal="center"/>
      <protection hidden="1"/>
    </xf>
    <xf numFmtId="10" fontId="75" fillId="35" borderId="0" xfId="74" applyNumberFormat="1" applyFont="1" applyFill="1" applyBorder="1" applyAlignment="1" applyProtection="1">
      <alignment horizontal="center"/>
      <protection hidden="1"/>
    </xf>
    <xf numFmtId="10" fontId="75" fillId="33" borderId="0" xfId="74" applyNumberFormat="1" applyFont="1" applyFill="1" applyBorder="1" applyAlignment="1" applyProtection="1">
      <alignment horizontal="center"/>
      <protection hidden="1"/>
    </xf>
    <xf numFmtId="195" fontId="75" fillId="35" borderId="0" xfId="0" applyNumberFormat="1" applyFont="1" applyFill="1" applyAlignment="1" applyProtection="1">
      <alignment horizontal="center"/>
      <protection hidden="1"/>
    </xf>
    <xf numFmtId="2" fontId="75" fillId="33" borderId="0" xfId="0" applyNumberFormat="1" applyFont="1" applyFill="1" applyAlignment="1" applyProtection="1">
      <alignment horizontal="center"/>
      <protection hidden="1"/>
    </xf>
    <xf numFmtId="0" fontId="69" fillId="46" borderId="0" xfId="71" applyFont="1" applyFill="1" applyAlignment="1" applyProtection="1">
      <alignment horizontal="center" vertical="center"/>
      <protection hidden="1"/>
    </xf>
    <xf numFmtId="0" fontId="63" fillId="45" borderId="0" xfId="0" applyFont="1" applyFill="1" applyAlignment="1">
      <alignment horizontal="center" vertical="center" wrapText="1"/>
    </xf>
    <xf numFmtId="0" fontId="71" fillId="45" borderId="0" xfId="0" applyFont="1" applyFill="1" applyAlignment="1">
      <alignment horizontal="center" vertical="center" wrapText="1"/>
    </xf>
    <xf numFmtId="171" fontId="75" fillId="0" borderId="0" xfId="49" applyNumberFormat="1" applyFont="1" applyFill="1" applyBorder="1" applyAlignment="1" applyProtection="1">
      <alignment horizontal="center"/>
      <protection hidden="1"/>
    </xf>
    <xf numFmtId="186" fontId="79" fillId="33" borderId="27" xfId="74" applyNumberFormat="1" applyFont="1" applyFill="1" applyBorder="1" applyAlignment="1" applyProtection="1">
      <alignment horizontal="center" vertical="center"/>
      <protection locked="0" hidden="1"/>
    </xf>
    <xf numFmtId="186" fontId="79" fillId="33" borderId="40" xfId="74" applyNumberFormat="1" applyFont="1" applyFill="1" applyBorder="1" applyAlignment="1" applyProtection="1">
      <alignment horizontal="center" vertical="center"/>
      <protection locked="0" hidden="1"/>
    </xf>
    <xf numFmtId="172" fontId="80" fillId="33" borderId="27" xfId="74" applyNumberFormat="1" applyFont="1" applyFill="1" applyBorder="1" applyAlignment="1" applyProtection="1">
      <alignment horizontal="center" vertical="center"/>
      <protection hidden="1"/>
    </xf>
    <xf numFmtId="172" fontId="80" fillId="33" borderId="0" xfId="74" applyNumberFormat="1" applyFont="1" applyFill="1" applyBorder="1" applyAlignment="1" applyProtection="1">
      <alignment horizontal="center" vertical="center"/>
      <protection hidden="1"/>
    </xf>
    <xf numFmtId="186" fontId="63" fillId="33" borderId="0" xfId="74" applyNumberFormat="1" applyFont="1" applyFill="1" applyBorder="1" applyAlignment="1" applyProtection="1">
      <alignment horizontal="center"/>
      <protection hidden="1"/>
    </xf>
    <xf numFmtId="186" fontId="79" fillId="33" borderId="2" xfId="74" applyNumberFormat="1" applyFont="1" applyFill="1" applyBorder="1" applyAlignment="1" applyProtection="1">
      <alignment horizontal="center" vertical="center"/>
      <protection locked="0" hidden="1"/>
    </xf>
    <xf numFmtId="186" fontId="79" fillId="33" borderId="4" xfId="74" applyNumberFormat="1" applyFont="1" applyFill="1" applyBorder="1" applyAlignment="1" applyProtection="1">
      <alignment horizontal="center" vertical="center"/>
      <protection locked="0" hidden="1"/>
    </xf>
    <xf numFmtId="178" fontId="75" fillId="35" borderId="27" xfId="0" applyNumberFormat="1" applyFont="1" applyFill="1" applyBorder="1" applyAlignment="1" applyProtection="1">
      <alignment horizontal="center"/>
      <protection hidden="1"/>
    </xf>
    <xf numFmtId="172" fontId="79" fillId="35" borderId="40" xfId="74" applyNumberFormat="1" applyFont="1" applyFill="1" applyBorder="1" applyAlignment="1" applyProtection="1">
      <alignment horizontal="center"/>
      <protection locked="0" hidden="1"/>
    </xf>
    <xf numFmtId="172" fontId="80" fillId="33" borderId="2" xfId="74" applyNumberFormat="1" applyFont="1" applyFill="1" applyBorder="1" applyAlignment="1" applyProtection="1">
      <alignment horizontal="center" vertical="center"/>
      <protection hidden="1"/>
    </xf>
    <xf numFmtId="172" fontId="80" fillId="33" borderId="28" xfId="74" applyNumberFormat="1" applyFont="1" applyFill="1" applyBorder="1" applyAlignment="1" applyProtection="1">
      <alignment horizontal="center" vertical="center"/>
      <protection hidden="1"/>
    </xf>
    <xf numFmtId="176" fontId="32" fillId="9" borderId="0" xfId="91" applyFont="1" applyFill="1" applyAlignment="1">
      <alignment horizontal="center"/>
    </xf>
    <xf numFmtId="176" fontId="38" fillId="9" borderId="0" xfId="91" applyFont="1" applyFill="1" applyAlignment="1">
      <alignment horizontal="center" wrapText="1"/>
    </xf>
    <xf numFmtId="176" fontId="42" fillId="40" borderId="0" xfId="91" applyFont="1" applyFill="1" applyAlignment="1">
      <alignment horizontal="center" vertical="center"/>
    </xf>
    <xf numFmtId="176" fontId="38" fillId="0" borderId="18" xfId="91" applyFont="1" applyBorder="1" applyAlignment="1">
      <alignment horizontal="center" vertical="center" wrapText="1"/>
    </xf>
    <xf numFmtId="176" fontId="38" fillId="0" borderId="25" xfId="91" applyFont="1" applyBorder="1" applyAlignment="1">
      <alignment horizontal="center" vertical="center" wrapText="1"/>
    </xf>
    <xf numFmtId="176" fontId="38" fillId="0" borderId="19" xfId="91" applyFont="1" applyBorder="1" applyAlignment="1">
      <alignment horizontal="center"/>
    </xf>
    <xf numFmtId="176" fontId="38" fillId="0" borderId="20" xfId="91" applyFont="1" applyBorder="1" applyAlignment="1">
      <alignment horizontal="center"/>
    </xf>
    <xf numFmtId="176" fontId="38" fillId="0" borderId="21" xfId="91" applyFont="1" applyBorder="1" applyAlignment="1">
      <alignment horizontal="center"/>
    </xf>
    <xf numFmtId="0" fontId="54" fillId="34" borderId="34" xfId="0" applyFont="1" applyFill="1" applyBorder="1" applyAlignment="1">
      <alignment horizontal="center" vertical="top" wrapText="1"/>
    </xf>
    <xf numFmtId="0" fontId="54" fillId="34" borderId="15" xfId="0" applyFont="1" applyFill="1" applyBorder="1" applyAlignment="1">
      <alignment horizontal="center" vertical="top" wrapText="1"/>
    </xf>
    <xf numFmtId="0" fontId="54" fillId="34" borderId="35" xfId="0" applyFont="1" applyFill="1" applyBorder="1" applyAlignment="1">
      <alignment horizontal="center" vertical="top" wrapText="1"/>
    </xf>
    <xf numFmtId="176" fontId="38" fillId="0" borderId="2" xfId="91" applyFont="1" applyBorder="1" applyAlignment="1">
      <alignment horizontal="center" wrapText="1"/>
    </xf>
    <xf numFmtId="176" fontId="38" fillId="0" borderId="28" xfId="91" applyFont="1" applyBorder="1" applyAlignment="1">
      <alignment horizontal="center" wrapText="1"/>
    </xf>
    <xf numFmtId="176" fontId="38" fillId="0" borderId="1" xfId="91" applyFont="1" applyBorder="1" applyAlignment="1">
      <alignment horizontal="center" vertical="center" wrapText="1"/>
    </xf>
    <xf numFmtId="176" fontId="38" fillId="0" borderId="26" xfId="91" applyFont="1" applyBorder="1" applyAlignment="1">
      <alignment horizontal="center" vertical="center" wrapText="1"/>
    </xf>
    <xf numFmtId="176" fontId="38" fillId="0" borderId="27" xfId="91" applyFont="1" applyBorder="1" applyAlignment="1">
      <alignment horizontal="center" wrapText="1"/>
    </xf>
    <xf numFmtId="176" fontId="38" fillId="0" borderId="0" xfId="91" applyFont="1" applyAlignment="1">
      <alignment horizontal="center" wrapText="1"/>
    </xf>
  </cellXfs>
  <cellStyles count="144">
    <cellStyle name="=C:\WINNT\SYSTEM32\COMMAND.COM" xfId="99" xr:uid="{00000000-0005-0000-0000-000000000000}"/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mbiar to&amp;do" xfId="100" xr:uid="{00000000-0005-0000-0000-000015000000}"/>
    <cellStyle name="Celda de comprobación" xfId="21" builtinId="23" customBuiltin="1"/>
    <cellStyle name="Celda vinculada" xfId="22" builtinId="24" customBuiltin="1"/>
    <cellStyle name="Comma 2" xfId="23" xr:uid="{00000000-0005-0000-0000-000018000000}"/>
    <cellStyle name="Comma 2 10" xfId="101" xr:uid="{00000000-0005-0000-0000-000019000000}"/>
    <cellStyle name="Comma 2 2" xfId="102" xr:uid="{00000000-0005-0000-0000-00001A000000}"/>
    <cellStyle name="Comma 2 3" xfId="103" xr:uid="{00000000-0005-0000-0000-00001B000000}"/>
    <cellStyle name="Comma 2 4" xfId="104" xr:uid="{00000000-0005-0000-0000-00001C000000}"/>
    <cellStyle name="Comma 2 5" xfId="105" xr:uid="{00000000-0005-0000-0000-00001D000000}"/>
    <cellStyle name="Comma 2 6" xfId="106" xr:uid="{00000000-0005-0000-0000-00001E000000}"/>
    <cellStyle name="Comma 2 7" xfId="107" xr:uid="{00000000-0005-0000-0000-00001F000000}"/>
    <cellStyle name="Comma 2 8" xfId="108" xr:uid="{00000000-0005-0000-0000-000020000000}"/>
    <cellStyle name="Comma 2 9" xfId="109" xr:uid="{00000000-0005-0000-0000-000021000000}"/>
    <cellStyle name="Comma 3" xfId="24" xr:uid="{00000000-0005-0000-0000-000022000000}"/>
    <cellStyle name="Comma 4" xfId="25" xr:uid="{00000000-0005-0000-0000-000023000000}"/>
    <cellStyle name="Comma 5" xfId="26" xr:uid="{00000000-0005-0000-0000-000024000000}"/>
    <cellStyle name="Comma 6" xfId="27" xr:uid="{00000000-0005-0000-0000-000025000000}"/>
    <cellStyle name="Comma 7" xfId="28" xr:uid="{00000000-0005-0000-0000-000026000000}"/>
    <cellStyle name="Comma_Estructura Revolving (2)" xfId="29" xr:uid="{00000000-0005-0000-0000-000027000000}"/>
    <cellStyle name="Currency 2" xfId="30" xr:uid="{00000000-0005-0000-0000-000028000000}"/>
    <cellStyle name="Currency 2 10" xfId="110" xr:uid="{00000000-0005-0000-0000-000029000000}"/>
    <cellStyle name="Currency 2 2" xfId="111" xr:uid="{00000000-0005-0000-0000-00002A000000}"/>
    <cellStyle name="Currency 2 3" xfId="112" xr:uid="{00000000-0005-0000-0000-00002B000000}"/>
    <cellStyle name="Currency 2 4" xfId="113" xr:uid="{00000000-0005-0000-0000-00002C000000}"/>
    <cellStyle name="Currency 2 5" xfId="114" xr:uid="{00000000-0005-0000-0000-00002D000000}"/>
    <cellStyle name="Currency 2 6" xfId="115" xr:uid="{00000000-0005-0000-0000-00002E000000}"/>
    <cellStyle name="Currency 2 7" xfId="116" xr:uid="{00000000-0005-0000-0000-00002F000000}"/>
    <cellStyle name="Currency 2 8" xfId="117" xr:uid="{00000000-0005-0000-0000-000030000000}"/>
    <cellStyle name="Currency 2 9" xfId="118" xr:uid="{00000000-0005-0000-0000-000031000000}"/>
    <cellStyle name="Currency 3" xfId="31" xr:uid="{00000000-0005-0000-0000-000032000000}"/>
    <cellStyle name="Currency 4" xfId="32" xr:uid="{00000000-0005-0000-0000-000033000000}"/>
    <cellStyle name="Currency 5" xfId="33" xr:uid="{00000000-0005-0000-0000-000034000000}"/>
    <cellStyle name="Date dd-mmm" xfId="119" xr:uid="{00000000-0005-0000-0000-000035000000}"/>
    <cellStyle name="Date dd-mmm-yy" xfId="120" xr:uid="{00000000-0005-0000-0000-000036000000}"/>
    <cellStyle name="Date mmm-yy" xfId="121" xr:uid="{00000000-0005-0000-0000-000037000000}"/>
    <cellStyle name="Deviant" xfId="122" xr:uid="{00000000-0005-0000-0000-000038000000}"/>
    <cellStyle name="Encabezado 1" xfId="86" builtinId="16" customBuiltin="1"/>
    <cellStyle name="Encabezado 4" xfId="34" builtinId="19" customBuiltin="1"/>
    <cellStyle name="Énfasis1" xfId="35" builtinId="29" customBuiltin="1"/>
    <cellStyle name="Énfasis2" xfId="36" builtinId="33" customBuiltin="1"/>
    <cellStyle name="Énfasis3" xfId="37" builtinId="37" customBuiltin="1"/>
    <cellStyle name="Énfasis4" xfId="38" builtinId="41" customBuiltin="1"/>
    <cellStyle name="Énfasis5" xfId="39" builtinId="45" customBuiltin="1"/>
    <cellStyle name="Énfasis6" xfId="40" builtinId="49" customBuiltin="1"/>
    <cellStyle name="Entrada" xfId="41" builtinId="20" customBuiltin="1"/>
    <cellStyle name="Euro" xfId="42" xr:uid="{00000000-0005-0000-0000-000042000000}"/>
    <cellStyle name="Euro 2" xfId="43" xr:uid="{00000000-0005-0000-0000-000043000000}"/>
    <cellStyle name="Euro 3" xfId="44" xr:uid="{00000000-0005-0000-0000-000044000000}"/>
    <cellStyle name="Euro 4" xfId="45" xr:uid="{00000000-0005-0000-0000-000045000000}"/>
    <cellStyle name="Euro 5" xfId="46" xr:uid="{00000000-0005-0000-0000-000046000000}"/>
    <cellStyle name="form" xfId="47" xr:uid="{00000000-0005-0000-0000-000047000000}"/>
    <cellStyle name="Hipervínculo" xfId="143" builtinId="8"/>
    <cellStyle name="Incorrecto" xfId="48" builtinId="27" customBuiltin="1"/>
    <cellStyle name="Millares" xfId="49" builtinId="3"/>
    <cellStyle name="Millares 12" xfId="50" xr:uid="{00000000-0005-0000-0000-00004B000000}"/>
    <cellStyle name="Millares 13" xfId="51" xr:uid="{00000000-0005-0000-0000-00004C000000}"/>
    <cellStyle name="Millares 2" xfId="52" xr:uid="{00000000-0005-0000-0000-00004D000000}"/>
    <cellStyle name="Millares 2 2" xfId="53" xr:uid="{00000000-0005-0000-0000-00004E000000}"/>
    <cellStyle name="Millares 241" xfId="140" xr:uid="{00000000-0005-0000-0000-00004F000000}"/>
    <cellStyle name="Millares 3" xfId="54" xr:uid="{00000000-0005-0000-0000-000050000000}"/>
    <cellStyle name="Millares 3 2" xfId="55" xr:uid="{00000000-0005-0000-0000-000051000000}"/>
    <cellStyle name="Millares 4" xfId="56" xr:uid="{00000000-0005-0000-0000-000052000000}"/>
    <cellStyle name="Millares 5" xfId="57" xr:uid="{00000000-0005-0000-0000-000053000000}"/>
    <cellStyle name="Millares 6" xfId="58" xr:uid="{00000000-0005-0000-0000-000054000000}"/>
    <cellStyle name="Millares 7" xfId="94" xr:uid="{00000000-0005-0000-0000-000055000000}"/>
    <cellStyle name="Millares_Calculadora Garbarino 45_v1" xfId="98" xr:uid="{00000000-0005-0000-0000-000056000000}"/>
    <cellStyle name="Moneda" xfId="90" builtinId="4"/>
    <cellStyle name="Moneda 2" xfId="59" xr:uid="{00000000-0005-0000-0000-000058000000}"/>
    <cellStyle name="Moneda 3" xfId="60" xr:uid="{00000000-0005-0000-0000-000059000000}"/>
    <cellStyle name="Moneda_Calculadora Garbarino 45_v1" xfId="95" xr:uid="{00000000-0005-0000-0000-00005A000000}"/>
    <cellStyle name="Neutral" xfId="61" builtinId="28" customBuiltin="1"/>
    <cellStyle name="Normal" xfId="0" builtinId="0"/>
    <cellStyle name="Normal 16" xfId="141" xr:uid="{00000000-0005-0000-0000-00005D000000}"/>
    <cellStyle name="Normal 16 2" xfId="142" xr:uid="{00000000-0005-0000-0000-00005E000000}"/>
    <cellStyle name="Normal 18" xfId="139" xr:uid="{00000000-0005-0000-0000-00005F000000}"/>
    <cellStyle name="Normal 2" xfId="62" xr:uid="{00000000-0005-0000-0000-000060000000}"/>
    <cellStyle name="Normal 2 2" xfId="63" xr:uid="{00000000-0005-0000-0000-000061000000}"/>
    <cellStyle name="Normal 2 2 2" xfId="64" xr:uid="{00000000-0005-0000-0000-000062000000}"/>
    <cellStyle name="Normal 2 2 3" xfId="97" xr:uid="{00000000-0005-0000-0000-000063000000}"/>
    <cellStyle name="Normal 2 3" xfId="65" xr:uid="{00000000-0005-0000-0000-000064000000}"/>
    <cellStyle name="Normal 2 5" xfId="66" xr:uid="{00000000-0005-0000-0000-000065000000}"/>
    <cellStyle name="Normal 2 6" xfId="67" xr:uid="{00000000-0005-0000-0000-000066000000}"/>
    <cellStyle name="Normal 3" xfId="68" xr:uid="{00000000-0005-0000-0000-000067000000}"/>
    <cellStyle name="Normal 3 2" xfId="69" xr:uid="{00000000-0005-0000-0000-000068000000}"/>
    <cellStyle name="Normal 4" xfId="70" xr:uid="{00000000-0005-0000-0000-000069000000}"/>
    <cellStyle name="Normal 5" xfId="91" xr:uid="{00000000-0005-0000-0000-00006A000000}"/>
    <cellStyle name="Normal millions" xfId="123" xr:uid="{00000000-0005-0000-0000-00006B000000}"/>
    <cellStyle name="Normal one decimal" xfId="124" xr:uid="{00000000-0005-0000-0000-00006C000000}"/>
    <cellStyle name="Normal thousands" xfId="125" xr:uid="{00000000-0005-0000-0000-00006D000000}"/>
    <cellStyle name="Normal two decimals" xfId="126" xr:uid="{00000000-0005-0000-0000-00006E000000}"/>
    <cellStyle name="Normal_Calculadora Garbarino 45_v1" xfId="93" xr:uid="{00000000-0005-0000-0000-00006F000000}"/>
    <cellStyle name="Normal_Estructura Definitiva T Naranja 40 MM 2" xfId="71" xr:uid="{00000000-0005-0000-0000-000070000000}"/>
    <cellStyle name="Normal_Flujos S XXXIV Garba" xfId="92" xr:uid="{00000000-0005-0000-0000-000071000000}"/>
    <cellStyle name="Notas 2" xfId="72" xr:uid="{00000000-0005-0000-0000-000072000000}"/>
    <cellStyle name="Percent 2" xfId="73" xr:uid="{00000000-0005-0000-0000-000073000000}"/>
    <cellStyle name="Percent 2 10" xfId="127" xr:uid="{00000000-0005-0000-0000-000074000000}"/>
    <cellStyle name="Percent 2 2" xfId="128" xr:uid="{00000000-0005-0000-0000-000075000000}"/>
    <cellStyle name="Percent 2 3" xfId="129" xr:uid="{00000000-0005-0000-0000-000076000000}"/>
    <cellStyle name="Percent 2 4" xfId="130" xr:uid="{00000000-0005-0000-0000-000077000000}"/>
    <cellStyle name="Percent 2 5" xfId="131" xr:uid="{00000000-0005-0000-0000-000078000000}"/>
    <cellStyle name="Percent 2 6" xfId="132" xr:uid="{00000000-0005-0000-0000-000079000000}"/>
    <cellStyle name="Percent 2 7" xfId="133" xr:uid="{00000000-0005-0000-0000-00007A000000}"/>
    <cellStyle name="Percent 2 8" xfId="134" xr:uid="{00000000-0005-0000-0000-00007B000000}"/>
    <cellStyle name="Percent 2 9" xfId="135" xr:uid="{00000000-0005-0000-0000-00007C000000}"/>
    <cellStyle name="Porcentaje" xfId="74" builtinId="5"/>
    <cellStyle name="Porcentaje 2" xfId="75" xr:uid="{00000000-0005-0000-0000-00007E000000}"/>
    <cellStyle name="Porcentaje 3" xfId="76" xr:uid="{00000000-0005-0000-0000-00007F000000}"/>
    <cellStyle name="Porcentaje 3 2" xfId="77" xr:uid="{00000000-0005-0000-0000-000080000000}"/>
    <cellStyle name="Porcentaje 4" xfId="78" xr:uid="{00000000-0005-0000-0000-000081000000}"/>
    <cellStyle name="Porcentaje 5" xfId="79" xr:uid="{00000000-0005-0000-0000-000082000000}"/>
    <cellStyle name="Porcentaje 6" xfId="96" xr:uid="{00000000-0005-0000-0000-000083000000}"/>
    <cellStyle name="Porcentual 12" xfId="80" xr:uid="{00000000-0005-0000-0000-000084000000}"/>
    <cellStyle name="Porcentual 2" xfId="81" xr:uid="{00000000-0005-0000-0000-000085000000}"/>
    <cellStyle name="Salida" xfId="82" builtinId="21" customBuiltin="1"/>
    <cellStyle name="Text" xfId="136" xr:uid="{00000000-0005-0000-0000-000087000000}"/>
    <cellStyle name="Texto de advertencia" xfId="83" builtinId="11" customBuiltin="1"/>
    <cellStyle name="Texto explicativo" xfId="84" builtinId="53" customBuiltin="1"/>
    <cellStyle name="Título" xfId="85" builtinId="15" customBuiltin="1"/>
    <cellStyle name="Título 2" xfId="87" builtinId="17" customBuiltin="1"/>
    <cellStyle name="Título 3" xfId="88" builtinId="18" customBuiltin="1"/>
    <cellStyle name="Total" xfId="89" builtinId="25" customBuiltin="1"/>
    <cellStyle name="Work in progress" xfId="137" xr:uid="{00000000-0005-0000-0000-00008E000000}"/>
    <cellStyle name="Year" xfId="138" xr:uid="{00000000-0005-0000-0000-00008F000000}"/>
  </cellStyles>
  <dxfs count="0"/>
  <tableStyles count="0" defaultTableStyle="TableStyleMedium9" defaultPivotStyle="PivotStyleLight16"/>
  <colors>
    <mruColors>
      <color rgb="FFCE172E"/>
      <color rgb="FF727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217714</xdr:colOff>
      <xdr:row>26</xdr:row>
      <xdr:rowOff>176893</xdr:rowOff>
    </xdr:from>
    <xdr:to>
      <xdr:col>0</xdr:col>
      <xdr:colOff>580584</xdr:colOff>
      <xdr:row>27</xdr:row>
      <xdr:rowOff>150108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14" y="5864679"/>
          <a:ext cx="359695" cy="256054"/>
        </a:xfrm>
        <a:prstGeom prst="rect">
          <a:avLst/>
        </a:prstGeom>
      </xdr:spPr>
    </xdr:pic>
    <xdr:clientData/>
  </xdr:twoCellAnchor>
  <xdr:twoCellAnchor editAs="oneCell">
    <xdr:from>
      <xdr:col>0</xdr:col>
      <xdr:colOff>149679</xdr:colOff>
      <xdr:row>30</xdr:row>
      <xdr:rowOff>231322</xdr:rowOff>
    </xdr:from>
    <xdr:to>
      <xdr:col>0</xdr:col>
      <xdr:colOff>512549</xdr:colOff>
      <xdr:row>31</xdr:row>
      <xdr:rowOff>212449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79" y="6708322"/>
          <a:ext cx="359695" cy="256054"/>
        </a:xfrm>
        <a:prstGeom prst="rect">
          <a:avLst/>
        </a:prstGeom>
      </xdr:spPr>
    </xdr:pic>
    <xdr:clientData/>
  </xdr:twoCellAnchor>
  <xdr:twoCellAnchor editAs="oneCell">
    <xdr:from>
      <xdr:col>5</xdr:col>
      <xdr:colOff>142164</xdr:colOff>
      <xdr:row>3</xdr:row>
      <xdr:rowOff>9477</xdr:rowOff>
    </xdr:from>
    <xdr:to>
      <xdr:col>7</xdr:col>
      <xdr:colOff>1292673</xdr:colOff>
      <xdr:row>11</xdr:row>
      <xdr:rowOff>141168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7A6F4C5-773B-4216-B70F-982412D10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1716" y="606567"/>
          <a:ext cx="5225882" cy="1730279"/>
        </a:xfrm>
        <a:prstGeom prst="rect">
          <a:avLst/>
        </a:prstGeom>
      </xdr:spPr>
    </xdr:pic>
    <xdr:clientData/>
  </xdr:twoCellAnchor>
  <xdr:twoCellAnchor editAs="oneCell">
    <xdr:from>
      <xdr:col>2</xdr:col>
      <xdr:colOff>208507</xdr:colOff>
      <xdr:row>53</xdr:row>
      <xdr:rowOff>151642</xdr:rowOff>
    </xdr:from>
    <xdr:to>
      <xdr:col>2</xdr:col>
      <xdr:colOff>2543284</xdr:colOff>
      <xdr:row>56</xdr:row>
      <xdr:rowOff>106480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D926E5F-686C-439E-8D79-B0EA69B6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5895" y="12756866"/>
          <a:ext cx="2334777" cy="7730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_hpradap4\pablo\WINDOWS\TEMP\Rev%20Cobros%20Fideicomiso%201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B5BADD\METAS%202000%20-%20Banca%20de%20Individuos%20ok.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gasus01\Backup\Adriana\Presupuesto%20A&#241;o%202000\METAS%202000%20-%20Banca%20de%20Individuos%20ok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bros teoricos smonento"/>
      <sheetName val="MOM_COB %"/>
      <sheetName val="cobranza teorica"/>
      <sheetName val="cobros reales"/>
      <sheetName val="FLUJO FINANC"/>
      <sheetName val="% COB MES VTO"/>
      <sheetName val="ESD"/>
      <sheetName val="cobrado x suc"/>
      <sheetName val="Sucursales"/>
      <sheetName val="BASE"/>
      <sheetName val="Canc x Casa"/>
      <sheetName val="Hoja3"/>
      <sheetName val="Hoja5"/>
      <sheetName val="DIF"/>
      <sheetName val="BANVAL"/>
      <sheetName val="Cartasur"/>
      <sheetName val="Excluidas"/>
      <sheetName val="Excluidas OK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5">
          <cell r="A5">
            <v>5</v>
          </cell>
          <cell r="C5" t="str">
            <v>******</v>
          </cell>
          <cell r="D5">
            <v>266239.3</v>
          </cell>
          <cell r="E5">
            <v>4226.66</v>
          </cell>
          <cell r="F5">
            <v>0</v>
          </cell>
          <cell r="G5">
            <v>0</v>
          </cell>
          <cell r="H5">
            <v>138659.37</v>
          </cell>
          <cell r="I5">
            <v>1658.9</v>
          </cell>
          <cell r="J5">
            <v>0</v>
          </cell>
          <cell r="K5">
            <v>0</v>
          </cell>
          <cell r="L5">
            <v>43790.239999999998</v>
          </cell>
          <cell r="M5">
            <v>669.79</v>
          </cell>
          <cell r="N5">
            <v>0</v>
          </cell>
          <cell r="O5">
            <v>0</v>
          </cell>
          <cell r="P5">
            <v>47754.26</v>
          </cell>
          <cell r="Q5">
            <v>781.6</v>
          </cell>
          <cell r="R5">
            <v>0</v>
          </cell>
          <cell r="S5">
            <v>0</v>
          </cell>
          <cell r="T5">
            <v>62041.06</v>
          </cell>
          <cell r="U5">
            <v>760.87</v>
          </cell>
          <cell r="V5">
            <v>0</v>
          </cell>
          <cell r="W5">
            <v>0</v>
          </cell>
          <cell r="X5">
            <v>101802.81</v>
          </cell>
          <cell r="Y5">
            <v>1857.59</v>
          </cell>
          <cell r="Z5">
            <v>0</v>
          </cell>
          <cell r="AA5">
            <v>0</v>
          </cell>
          <cell r="FL5">
            <v>660287.04</v>
          </cell>
          <cell r="FM5">
            <v>9955.41</v>
          </cell>
          <cell r="FN5">
            <v>0</v>
          </cell>
          <cell r="FO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F5">
            <v>0</v>
          </cell>
          <cell r="GL5">
            <v>0</v>
          </cell>
          <cell r="GR5">
            <v>0</v>
          </cell>
          <cell r="GX5">
            <v>0</v>
          </cell>
          <cell r="HD5">
            <v>0</v>
          </cell>
        </row>
        <row r="6">
          <cell r="A6">
            <v>6</v>
          </cell>
          <cell r="B6">
            <v>36800</v>
          </cell>
          <cell r="C6" t="str">
            <v>200010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F6">
            <v>0</v>
          </cell>
          <cell r="GL6">
            <v>0</v>
          </cell>
          <cell r="GR6">
            <v>0</v>
          </cell>
          <cell r="GX6">
            <v>0</v>
          </cell>
          <cell r="HD6">
            <v>0</v>
          </cell>
        </row>
        <row r="7">
          <cell r="A7">
            <v>7</v>
          </cell>
          <cell r="B7">
            <v>36831</v>
          </cell>
          <cell r="C7" t="str">
            <v>200011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F7">
            <v>0</v>
          </cell>
          <cell r="GL7">
            <v>0</v>
          </cell>
          <cell r="GR7">
            <v>0</v>
          </cell>
          <cell r="GX7">
            <v>0</v>
          </cell>
          <cell r="HD7">
            <v>0</v>
          </cell>
        </row>
        <row r="8">
          <cell r="A8">
            <v>8</v>
          </cell>
          <cell r="B8">
            <v>36861</v>
          </cell>
          <cell r="C8" t="str">
            <v>200012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F8">
            <v>0</v>
          </cell>
          <cell r="GL8">
            <v>0</v>
          </cell>
          <cell r="GR8">
            <v>0</v>
          </cell>
          <cell r="GX8">
            <v>0</v>
          </cell>
          <cell r="HD8">
            <v>0</v>
          </cell>
        </row>
        <row r="9">
          <cell r="A9">
            <v>9</v>
          </cell>
          <cell r="B9">
            <v>36892</v>
          </cell>
          <cell r="C9" t="str">
            <v>200101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F9">
            <v>0</v>
          </cell>
          <cell r="GL9">
            <v>0</v>
          </cell>
          <cell r="GR9">
            <v>0</v>
          </cell>
          <cell r="GX9">
            <v>0</v>
          </cell>
          <cell r="HD9">
            <v>0</v>
          </cell>
        </row>
        <row r="10">
          <cell r="A10">
            <v>10</v>
          </cell>
          <cell r="B10">
            <v>36923</v>
          </cell>
          <cell r="C10" t="str">
            <v>200102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F10">
            <v>0</v>
          </cell>
          <cell r="GL10">
            <v>0</v>
          </cell>
          <cell r="GR10">
            <v>0</v>
          </cell>
          <cell r="GX10">
            <v>0</v>
          </cell>
          <cell r="HD10">
            <v>0</v>
          </cell>
        </row>
        <row r="11">
          <cell r="A11">
            <v>11</v>
          </cell>
          <cell r="B11">
            <v>36951</v>
          </cell>
          <cell r="C11" t="str">
            <v>200103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F11">
            <v>0</v>
          </cell>
          <cell r="GL11">
            <v>0</v>
          </cell>
          <cell r="GR11">
            <v>0</v>
          </cell>
          <cell r="GX11">
            <v>0</v>
          </cell>
          <cell r="HD11">
            <v>0</v>
          </cell>
          <cell r="HF11">
            <v>11</v>
          </cell>
        </row>
        <row r="12">
          <cell r="A12">
            <v>12</v>
          </cell>
          <cell r="B12">
            <v>36982</v>
          </cell>
          <cell r="C12" t="str">
            <v>200104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F12">
            <v>0</v>
          </cell>
          <cell r="GL12">
            <v>0</v>
          </cell>
          <cell r="GR12">
            <v>0</v>
          </cell>
          <cell r="GX12">
            <v>0</v>
          </cell>
          <cell r="HD12">
            <v>0</v>
          </cell>
          <cell r="HF12">
            <v>12</v>
          </cell>
        </row>
        <row r="13">
          <cell r="A13">
            <v>13</v>
          </cell>
          <cell r="B13">
            <v>37012</v>
          </cell>
          <cell r="C13" t="str">
            <v>200105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F13">
            <v>0</v>
          </cell>
          <cell r="GL13">
            <v>0</v>
          </cell>
          <cell r="GR13">
            <v>0</v>
          </cell>
          <cell r="GX13">
            <v>0</v>
          </cell>
          <cell r="HD13">
            <v>0</v>
          </cell>
          <cell r="HF13">
            <v>13</v>
          </cell>
        </row>
        <row r="14">
          <cell r="A14">
            <v>14</v>
          </cell>
          <cell r="B14">
            <v>37043</v>
          </cell>
          <cell r="C14" t="str">
            <v>200106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F14">
            <v>0</v>
          </cell>
          <cell r="GL14">
            <v>0</v>
          </cell>
          <cell r="GR14">
            <v>0</v>
          </cell>
          <cell r="GX14">
            <v>0</v>
          </cell>
          <cell r="HD14">
            <v>0</v>
          </cell>
          <cell r="HF14">
            <v>14</v>
          </cell>
        </row>
        <row r="15">
          <cell r="A15">
            <v>15</v>
          </cell>
          <cell r="B15">
            <v>37073</v>
          </cell>
          <cell r="C15" t="str">
            <v>200107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F15">
            <v>0</v>
          </cell>
          <cell r="GL15">
            <v>0</v>
          </cell>
          <cell r="GR15">
            <v>0</v>
          </cell>
          <cell r="GX15">
            <v>0</v>
          </cell>
          <cell r="HD15">
            <v>0</v>
          </cell>
          <cell r="HF15">
            <v>15</v>
          </cell>
        </row>
        <row r="16">
          <cell r="A16">
            <v>16</v>
          </cell>
          <cell r="B16">
            <v>37104</v>
          </cell>
          <cell r="C16" t="str">
            <v>200108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F16">
            <v>0</v>
          </cell>
          <cell r="GL16">
            <v>0</v>
          </cell>
          <cell r="GR16">
            <v>0</v>
          </cell>
          <cell r="GX16">
            <v>0</v>
          </cell>
          <cell r="HD16">
            <v>0</v>
          </cell>
          <cell r="HF16">
            <v>16</v>
          </cell>
        </row>
        <row r="17">
          <cell r="A17">
            <v>17</v>
          </cell>
          <cell r="B17">
            <v>37135</v>
          </cell>
          <cell r="C17" t="str">
            <v>200109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F17">
            <v>0</v>
          </cell>
          <cell r="GL17">
            <v>0</v>
          </cell>
          <cell r="GR17">
            <v>0</v>
          </cell>
          <cell r="GX17">
            <v>0</v>
          </cell>
          <cell r="HD17">
            <v>0</v>
          </cell>
          <cell r="HF17">
            <v>17</v>
          </cell>
        </row>
        <row r="18">
          <cell r="A18">
            <v>18</v>
          </cell>
          <cell r="B18">
            <v>37165</v>
          </cell>
          <cell r="C18" t="str">
            <v>200110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F18">
            <v>0</v>
          </cell>
          <cell r="GL18">
            <v>0</v>
          </cell>
          <cell r="GR18">
            <v>0</v>
          </cell>
          <cell r="GX18">
            <v>0</v>
          </cell>
          <cell r="HD18">
            <v>0</v>
          </cell>
          <cell r="HF18">
            <v>18</v>
          </cell>
        </row>
        <row r="19">
          <cell r="A19">
            <v>19</v>
          </cell>
          <cell r="B19">
            <v>37196</v>
          </cell>
          <cell r="C19" t="str">
            <v>200111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F19">
            <v>0</v>
          </cell>
          <cell r="GL19">
            <v>0</v>
          </cell>
          <cell r="GR19">
            <v>0</v>
          </cell>
          <cell r="GX19">
            <v>0</v>
          </cell>
          <cell r="HD19">
            <v>0</v>
          </cell>
          <cell r="HF19">
            <v>19</v>
          </cell>
        </row>
        <row r="20">
          <cell r="A20">
            <v>20</v>
          </cell>
          <cell r="B20">
            <v>37226</v>
          </cell>
          <cell r="C20" t="str">
            <v>200112</v>
          </cell>
          <cell r="D20">
            <v>53.81</v>
          </cell>
          <cell r="E20">
            <v>0</v>
          </cell>
          <cell r="F20">
            <v>5.82</v>
          </cell>
          <cell r="G20">
            <v>2.85</v>
          </cell>
          <cell r="FL20">
            <v>53.81</v>
          </cell>
          <cell r="FM20">
            <v>0</v>
          </cell>
          <cell r="FN20">
            <v>5.82</v>
          </cell>
          <cell r="FO20">
            <v>2.85</v>
          </cell>
          <cell r="FS20">
            <v>53.81</v>
          </cell>
          <cell r="FT20">
            <v>0</v>
          </cell>
          <cell r="FU20">
            <v>5.82</v>
          </cell>
          <cell r="FV20">
            <v>2.85</v>
          </cell>
          <cell r="FW20">
            <v>62.480000000000004</v>
          </cell>
          <cell r="FX20">
            <v>0</v>
          </cell>
          <cell r="FY20">
            <v>0</v>
          </cell>
          <cell r="FZ20">
            <v>0</v>
          </cell>
          <cell r="GF20">
            <v>0</v>
          </cell>
          <cell r="GL20">
            <v>0</v>
          </cell>
          <cell r="GR20">
            <v>0</v>
          </cell>
          <cell r="GX20">
            <v>0</v>
          </cell>
          <cell r="HD20">
            <v>0</v>
          </cell>
          <cell r="HF20">
            <v>20</v>
          </cell>
        </row>
        <row r="21">
          <cell r="A21">
            <v>21</v>
          </cell>
          <cell r="B21">
            <v>37257</v>
          </cell>
          <cell r="C21" t="str">
            <v>200201</v>
          </cell>
          <cell r="D21">
            <v>2936.19</v>
          </cell>
          <cell r="E21">
            <v>105.06</v>
          </cell>
          <cell r="F21">
            <v>221.46</v>
          </cell>
          <cell r="G21">
            <v>108.92</v>
          </cell>
          <cell r="H21">
            <v>202.79</v>
          </cell>
          <cell r="I21">
            <v>37.85</v>
          </cell>
          <cell r="J21">
            <v>31.83</v>
          </cell>
          <cell r="K21">
            <v>15.52</v>
          </cell>
          <cell r="L21">
            <v>42.14</v>
          </cell>
          <cell r="M21">
            <v>2.84</v>
          </cell>
          <cell r="N21">
            <v>16.39</v>
          </cell>
          <cell r="O21">
            <v>7.94</v>
          </cell>
          <cell r="P21">
            <v>54.05</v>
          </cell>
          <cell r="Q21">
            <v>0</v>
          </cell>
          <cell r="R21">
            <v>0.57999999999999996</v>
          </cell>
          <cell r="S21">
            <v>1.17</v>
          </cell>
          <cell r="X21">
            <v>50.18</v>
          </cell>
          <cell r="Y21">
            <v>0</v>
          </cell>
          <cell r="Z21">
            <v>0</v>
          </cell>
          <cell r="AA21">
            <v>0</v>
          </cell>
          <cell r="FL21">
            <v>3285.35</v>
          </cell>
          <cell r="FM21">
            <v>145.75</v>
          </cell>
          <cell r="FN21">
            <v>270.26</v>
          </cell>
          <cell r="FO21">
            <v>133.54999999999998</v>
          </cell>
          <cell r="FS21">
            <v>3339.16</v>
          </cell>
          <cell r="FT21">
            <v>145.75</v>
          </cell>
          <cell r="FU21">
            <v>276.08</v>
          </cell>
          <cell r="FV21">
            <v>136.39999999999998</v>
          </cell>
          <cell r="FW21">
            <v>3897.39</v>
          </cell>
          <cell r="FX21">
            <v>0</v>
          </cell>
          <cell r="FY21">
            <v>0</v>
          </cell>
          <cell r="FZ21">
            <v>0</v>
          </cell>
          <cell r="GF21">
            <v>0</v>
          </cell>
          <cell r="GL21">
            <v>0</v>
          </cell>
          <cell r="GR21">
            <v>0</v>
          </cell>
          <cell r="GX21">
            <v>0</v>
          </cell>
          <cell r="HD21">
            <v>0</v>
          </cell>
          <cell r="HF21">
            <v>21</v>
          </cell>
        </row>
        <row r="22">
          <cell r="A22">
            <v>22</v>
          </cell>
          <cell r="B22">
            <v>37288</v>
          </cell>
          <cell r="C22" t="str">
            <v>200202</v>
          </cell>
          <cell r="D22">
            <v>22743.3</v>
          </cell>
          <cell r="E22">
            <v>6159.48</v>
          </cell>
          <cell r="F22">
            <v>1420.76</v>
          </cell>
          <cell r="G22">
            <v>699.48</v>
          </cell>
          <cell r="H22">
            <v>2236.94</v>
          </cell>
          <cell r="I22">
            <v>536.89</v>
          </cell>
          <cell r="J22">
            <v>266.52</v>
          </cell>
          <cell r="K22">
            <v>130.53</v>
          </cell>
          <cell r="L22">
            <v>977.79</v>
          </cell>
          <cell r="M22">
            <v>210.99</v>
          </cell>
          <cell r="N22">
            <v>160.02000000000001</v>
          </cell>
          <cell r="O22">
            <v>77.95</v>
          </cell>
          <cell r="P22">
            <v>416.75</v>
          </cell>
          <cell r="Q22">
            <v>188.64</v>
          </cell>
          <cell r="R22">
            <v>42.53</v>
          </cell>
          <cell r="S22">
            <v>88.13</v>
          </cell>
          <cell r="T22">
            <v>85.03</v>
          </cell>
          <cell r="U22">
            <v>102.03</v>
          </cell>
          <cell r="V22">
            <v>39.51</v>
          </cell>
          <cell r="W22">
            <v>18.96</v>
          </cell>
          <cell r="X22">
            <v>110.97</v>
          </cell>
          <cell r="Y22">
            <v>15.6</v>
          </cell>
          <cell r="Z22">
            <v>18.04</v>
          </cell>
          <cell r="AA22">
            <v>5.15</v>
          </cell>
          <cell r="FL22">
            <v>26570.78</v>
          </cell>
          <cell r="FM22">
            <v>7213.63</v>
          </cell>
          <cell r="FN22">
            <v>1947.3799999999999</v>
          </cell>
          <cell r="FO22">
            <v>1020.2</v>
          </cell>
          <cell r="FS22">
            <v>29909.94</v>
          </cell>
          <cell r="FT22">
            <v>7359.38</v>
          </cell>
          <cell r="FU22">
            <v>2223.46</v>
          </cell>
          <cell r="FV22">
            <v>1156.5999999999999</v>
          </cell>
          <cell r="FW22">
            <v>40649.379999999997</v>
          </cell>
          <cell r="FX22">
            <v>0</v>
          </cell>
          <cell r="FY22">
            <v>0</v>
          </cell>
          <cell r="FZ22">
            <v>0</v>
          </cell>
          <cell r="GF22">
            <v>0</v>
          </cell>
          <cell r="GL22">
            <v>0</v>
          </cell>
          <cell r="GR22">
            <v>0</v>
          </cell>
          <cell r="GX22">
            <v>0</v>
          </cell>
          <cell r="HD22">
            <v>0</v>
          </cell>
          <cell r="HF22">
            <v>22</v>
          </cell>
        </row>
        <row r="23">
          <cell r="A23">
            <v>23</v>
          </cell>
          <cell r="B23">
            <v>37316</v>
          </cell>
          <cell r="C23" t="str">
            <v>200203</v>
          </cell>
          <cell r="D23">
            <v>88555.999999999927</v>
          </cell>
          <cell r="E23">
            <v>14847.05</v>
          </cell>
          <cell r="F23">
            <v>4053.52</v>
          </cell>
          <cell r="G23">
            <v>2004.68</v>
          </cell>
          <cell r="H23">
            <v>15349.91</v>
          </cell>
          <cell r="I23">
            <v>4430.1099999999997</v>
          </cell>
          <cell r="J23">
            <v>1376.72</v>
          </cell>
          <cell r="K23">
            <v>678.24</v>
          </cell>
          <cell r="L23">
            <v>2362.41</v>
          </cell>
          <cell r="M23">
            <v>459.49</v>
          </cell>
          <cell r="N23">
            <v>248.74</v>
          </cell>
          <cell r="O23">
            <v>114.33</v>
          </cell>
          <cell r="P23">
            <v>1907.1</v>
          </cell>
          <cell r="Q23">
            <v>584.17999999999995</v>
          </cell>
          <cell r="R23">
            <v>170.99</v>
          </cell>
          <cell r="S23">
            <v>351.85</v>
          </cell>
          <cell r="T23">
            <v>863.54</v>
          </cell>
          <cell r="U23">
            <v>160.29</v>
          </cell>
          <cell r="V23">
            <v>164.1</v>
          </cell>
          <cell r="W23">
            <v>79.38</v>
          </cell>
          <cell r="X23">
            <v>693.33</v>
          </cell>
          <cell r="Y23">
            <v>209.28</v>
          </cell>
          <cell r="Z23">
            <v>138.16</v>
          </cell>
          <cell r="AA23">
            <v>66.45</v>
          </cell>
          <cell r="FL23">
            <v>109732.28999999994</v>
          </cell>
          <cell r="FM23">
            <v>20690.400000000001</v>
          </cell>
          <cell r="FN23">
            <v>6152.23</v>
          </cell>
          <cell r="FO23">
            <v>3294.93</v>
          </cell>
          <cell r="FR23">
            <v>0</v>
          </cell>
          <cell r="FS23">
            <v>139642.22999999992</v>
          </cell>
          <cell r="FT23">
            <v>28049.780000000002</v>
          </cell>
          <cell r="FU23">
            <v>8375.6899999999987</v>
          </cell>
          <cell r="FV23">
            <v>4451.53</v>
          </cell>
          <cell r="FW23">
            <v>180519.22999999992</v>
          </cell>
          <cell r="FX23">
            <v>0</v>
          </cell>
          <cell r="FY23">
            <v>0</v>
          </cell>
          <cell r="FZ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L23">
            <v>0</v>
          </cell>
          <cell r="GR23">
            <v>0</v>
          </cell>
          <cell r="GX23">
            <v>0</v>
          </cell>
          <cell r="HD23">
            <v>0</v>
          </cell>
          <cell r="HF23">
            <v>23</v>
          </cell>
        </row>
        <row r="24">
          <cell r="A24">
            <v>24</v>
          </cell>
          <cell r="B24">
            <v>37347</v>
          </cell>
          <cell r="C24" t="str">
            <v>200204</v>
          </cell>
          <cell r="D24">
            <v>424455.99000000121</v>
          </cell>
          <cell r="E24">
            <v>80056.260000000126</v>
          </cell>
          <cell r="F24">
            <v>13552.11</v>
          </cell>
          <cell r="G24">
            <v>6758.9900000000143</v>
          </cell>
          <cell r="H24">
            <v>53188.47</v>
          </cell>
          <cell r="I24">
            <v>13668.41</v>
          </cell>
          <cell r="J24">
            <v>3204.9400000000087</v>
          </cell>
          <cell r="K24">
            <v>1584.97</v>
          </cell>
          <cell r="L24">
            <v>13458.83</v>
          </cell>
          <cell r="M24">
            <v>3993.07</v>
          </cell>
          <cell r="N24">
            <v>1278.44</v>
          </cell>
          <cell r="O24">
            <v>624.61</v>
          </cell>
          <cell r="P24">
            <v>4379.3100000000004</v>
          </cell>
          <cell r="Q24">
            <v>1251.1400000000001</v>
          </cell>
          <cell r="R24">
            <v>262.18</v>
          </cell>
          <cell r="S24">
            <v>535.79</v>
          </cell>
          <cell r="T24">
            <v>1906.32</v>
          </cell>
          <cell r="U24">
            <v>327.18</v>
          </cell>
          <cell r="V24">
            <v>227.86</v>
          </cell>
          <cell r="W24">
            <v>110.8</v>
          </cell>
          <cell r="X24">
            <v>1657.62</v>
          </cell>
          <cell r="Y24">
            <v>531.08000000000004</v>
          </cell>
          <cell r="Z24">
            <v>340.38</v>
          </cell>
          <cell r="AA24">
            <v>159.94999999999999</v>
          </cell>
          <cell r="FL24">
            <v>499046.54000000126</v>
          </cell>
          <cell r="FM24">
            <v>99827.14000000013</v>
          </cell>
          <cell r="FN24">
            <v>18865.910000000011</v>
          </cell>
          <cell r="FO24">
            <v>9775.1100000000151</v>
          </cell>
          <cell r="FR24">
            <v>0</v>
          </cell>
          <cell r="FS24">
            <v>638688.77000000118</v>
          </cell>
          <cell r="FT24">
            <v>127876.92000000013</v>
          </cell>
          <cell r="FU24">
            <v>27241.600000000009</v>
          </cell>
          <cell r="FV24">
            <v>14226.640000000014</v>
          </cell>
          <cell r="FW24">
            <v>808033.93000000133</v>
          </cell>
          <cell r="FX24">
            <v>0</v>
          </cell>
          <cell r="FY24">
            <v>0</v>
          </cell>
          <cell r="FZ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L24">
            <v>0</v>
          </cell>
          <cell r="GR24">
            <v>0</v>
          </cell>
          <cell r="GX24">
            <v>0</v>
          </cell>
          <cell r="HD24">
            <v>0</v>
          </cell>
          <cell r="HF24">
            <v>24</v>
          </cell>
        </row>
        <row r="25">
          <cell r="A25">
            <v>25</v>
          </cell>
          <cell r="B25">
            <v>37377</v>
          </cell>
          <cell r="C25" t="str">
            <v>200205</v>
          </cell>
          <cell r="D25">
            <v>1387884.34</v>
          </cell>
          <cell r="E25">
            <v>334187.77</v>
          </cell>
          <cell r="F25">
            <v>11357.42</v>
          </cell>
          <cell r="G25">
            <v>5698.5499999999911</v>
          </cell>
          <cell r="H25">
            <v>285841.57</v>
          </cell>
          <cell r="I25">
            <v>58004.639999999861</v>
          </cell>
          <cell r="J25">
            <v>9596.1900000000478</v>
          </cell>
          <cell r="K25">
            <v>4786.0100000000084</v>
          </cell>
          <cell r="L25">
            <v>51001.15</v>
          </cell>
          <cell r="M25">
            <v>10294.700000000001</v>
          </cell>
          <cell r="N25">
            <v>2934.64</v>
          </cell>
          <cell r="O25">
            <v>1453.16</v>
          </cell>
          <cell r="P25">
            <v>16843.73</v>
          </cell>
          <cell r="Q25">
            <v>3875.06</v>
          </cell>
          <cell r="R25">
            <v>728.12</v>
          </cell>
          <cell r="S25">
            <v>1477.51</v>
          </cell>
          <cell r="T25">
            <v>4293</v>
          </cell>
          <cell r="U25">
            <v>874.08</v>
          </cell>
          <cell r="V25">
            <v>542.09</v>
          </cell>
          <cell r="W25">
            <v>260.51</v>
          </cell>
          <cell r="X25">
            <v>3540.34</v>
          </cell>
          <cell r="Y25">
            <v>1059.58</v>
          </cell>
          <cell r="Z25">
            <v>439.64</v>
          </cell>
          <cell r="AA25">
            <v>213.59</v>
          </cell>
          <cell r="FL25">
            <v>1749404.1300000001</v>
          </cell>
          <cell r="FM25">
            <v>408295.8299999999</v>
          </cell>
          <cell r="FN25">
            <v>25598.100000000046</v>
          </cell>
          <cell r="FO25">
            <v>13889.33</v>
          </cell>
          <cell r="FP25">
            <v>1817414</v>
          </cell>
          <cell r="FQ25">
            <v>424836</v>
          </cell>
          <cell r="FR25">
            <v>2242250</v>
          </cell>
          <cell r="FS25">
            <v>2388092.9000000013</v>
          </cell>
          <cell r="FT25">
            <v>536172.75</v>
          </cell>
          <cell r="FU25">
            <v>52839.700000000055</v>
          </cell>
          <cell r="FV25">
            <v>28115.970000000016</v>
          </cell>
          <cell r="FW25">
            <v>3005221.3200000017</v>
          </cell>
          <cell r="FX25">
            <v>1817414</v>
          </cell>
          <cell r="FY25">
            <v>424836</v>
          </cell>
          <cell r="FZ25">
            <v>2242250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H25">
            <v>538745.2900000012</v>
          </cell>
          <cell r="GI25">
            <v>101167.85000000012</v>
          </cell>
          <cell r="GJ25">
            <v>19253.669999999998</v>
          </cell>
          <cell r="GK25">
            <v>9574.9200000000146</v>
          </cell>
          <cell r="GL25">
            <v>668741.73000000138</v>
          </cell>
          <cell r="GN25">
            <v>1387884.34</v>
          </cell>
          <cell r="GO25">
            <v>334187.77</v>
          </cell>
          <cell r="GP25">
            <v>11357.42</v>
          </cell>
          <cell r="GQ25">
            <v>5698.5499999999911</v>
          </cell>
          <cell r="GR25">
            <v>1739128.08</v>
          </cell>
          <cell r="GT25">
            <v>36174.959999999999</v>
          </cell>
          <cell r="GU25">
            <v>9535.4600000000009</v>
          </cell>
          <cell r="GV25">
            <v>0</v>
          </cell>
          <cell r="GW25">
            <v>0</v>
          </cell>
          <cell r="GX25">
            <v>45710.42</v>
          </cell>
          <cell r="GZ25">
            <v>266239.3</v>
          </cell>
          <cell r="HA25">
            <v>4226.66</v>
          </cell>
          <cell r="HB25">
            <v>0</v>
          </cell>
          <cell r="HC25">
            <v>0</v>
          </cell>
          <cell r="HD25">
            <v>270465.95999999996</v>
          </cell>
          <cell r="HF25">
            <v>25</v>
          </cell>
        </row>
        <row r="26">
          <cell r="A26">
            <v>26</v>
          </cell>
          <cell r="B26">
            <v>37408</v>
          </cell>
          <cell r="C26" t="str">
            <v>200206</v>
          </cell>
          <cell r="D26">
            <v>35914.81</v>
          </cell>
          <cell r="E26">
            <v>9528.7000000000007</v>
          </cell>
          <cell r="F26">
            <v>0</v>
          </cell>
          <cell r="G26">
            <v>0</v>
          </cell>
          <cell r="H26">
            <v>1266641.51</v>
          </cell>
          <cell r="I26">
            <v>302368.76999999885</v>
          </cell>
          <cell r="J26">
            <v>455.25</v>
          </cell>
          <cell r="K26">
            <v>228.09</v>
          </cell>
          <cell r="L26">
            <v>257355.67</v>
          </cell>
          <cell r="M26">
            <v>51761.18</v>
          </cell>
          <cell r="N26">
            <v>8424.49</v>
          </cell>
          <cell r="O26">
            <v>4200.95</v>
          </cell>
          <cell r="P26">
            <v>48774.7</v>
          </cell>
          <cell r="Q26">
            <v>9675.99</v>
          </cell>
          <cell r="R26">
            <v>1280.57</v>
          </cell>
          <cell r="S26">
            <v>2580.65</v>
          </cell>
          <cell r="T26">
            <v>13895.25</v>
          </cell>
          <cell r="U26">
            <v>3366.94</v>
          </cell>
          <cell r="V26">
            <v>1157.67</v>
          </cell>
          <cell r="W26">
            <v>570.82000000000005</v>
          </cell>
          <cell r="X26">
            <v>6591.68</v>
          </cell>
          <cell r="Y26">
            <v>1606.07</v>
          </cell>
          <cell r="Z26">
            <v>670.06</v>
          </cell>
          <cell r="AA26">
            <v>328.26</v>
          </cell>
          <cell r="FL26">
            <v>1629173.6199999999</v>
          </cell>
          <cell r="FM26">
            <v>378307.64999999886</v>
          </cell>
          <cell r="FN26">
            <v>11988.039999999999</v>
          </cell>
          <cell r="FO26">
            <v>7908.77</v>
          </cell>
          <cell r="FP26">
            <v>1707414</v>
          </cell>
          <cell r="FQ26">
            <v>398897</v>
          </cell>
          <cell r="FR26">
            <v>2106311</v>
          </cell>
          <cell r="FS26">
            <v>4017266.5200000014</v>
          </cell>
          <cell r="FT26">
            <v>914480.39999999886</v>
          </cell>
          <cell r="FU26">
            <v>64827.740000000056</v>
          </cell>
          <cell r="FV26">
            <v>36024.74000000002</v>
          </cell>
          <cell r="FW26">
            <v>5032599.4000000004</v>
          </cell>
          <cell r="FX26">
            <v>3524828</v>
          </cell>
          <cell r="FY26">
            <v>823733</v>
          </cell>
          <cell r="FZ26">
            <v>4348561</v>
          </cell>
          <cell r="GB26">
            <v>35914.81</v>
          </cell>
          <cell r="GC26">
            <v>9528.7000000000007</v>
          </cell>
          <cell r="GD26">
            <v>0</v>
          </cell>
          <cell r="GE26">
            <v>0</v>
          </cell>
          <cell r="GF26">
            <v>45443.509999999995</v>
          </cell>
          <cell r="GH26">
            <v>356819.68</v>
          </cell>
          <cell r="GI26">
            <v>76677.899999999863</v>
          </cell>
          <cell r="GJ26">
            <v>14476.200000000055</v>
          </cell>
          <cell r="GK26">
            <v>7195.2700000000086</v>
          </cell>
          <cell r="GL26">
            <v>455169.04999999993</v>
          </cell>
          <cell r="GN26">
            <v>1266641.51</v>
          </cell>
          <cell r="GO26">
            <v>302368.76999999885</v>
          </cell>
          <cell r="GP26">
            <v>455.25</v>
          </cell>
          <cell r="GQ26">
            <v>228.09</v>
          </cell>
          <cell r="GR26">
            <v>1569693.6199999989</v>
          </cell>
          <cell r="GT26">
            <v>21601.54</v>
          </cell>
          <cell r="GU26">
            <v>5824.24</v>
          </cell>
          <cell r="GV26">
            <v>0</v>
          </cell>
          <cell r="GW26">
            <v>0</v>
          </cell>
          <cell r="GX26">
            <v>27425.78</v>
          </cell>
          <cell r="GZ26">
            <v>138659.37</v>
          </cell>
          <cell r="HA26">
            <v>1658.9</v>
          </cell>
          <cell r="HB26">
            <v>0</v>
          </cell>
          <cell r="HC26">
            <v>0</v>
          </cell>
          <cell r="HD26">
            <v>140318.26999999999</v>
          </cell>
          <cell r="HF26">
            <v>26</v>
          </cell>
        </row>
        <row r="27">
          <cell r="A27">
            <v>27</v>
          </cell>
          <cell r="B27">
            <v>37438</v>
          </cell>
          <cell r="C27" t="str">
            <v>200207</v>
          </cell>
          <cell r="D27">
            <v>260.14999999999998</v>
          </cell>
          <cell r="E27">
            <v>6.76</v>
          </cell>
          <cell r="F27">
            <v>0</v>
          </cell>
          <cell r="G27">
            <v>0</v>
          </cell>
          <cell r="H27">
            <v>21340.43</v>
          </cell>
          <cell r="I27">
            <v>5802.53</v>
          </cell>
          <cell r="J27">
            <v>0</v>
          </cell>
          <cell r="K27">
            <v>0</v>
          </cell>
          <cell r="L27">
            <v>1048834.96</v>
          </cell>
          <cell r="M27">
            <v>244308.01</v>
          </cell>
          <cell r="N27">
            <v>1594.16</v>
          </cell>
          <cell r="O27">
            <v>799.08</v>
          </cell>
          <cell r="P27">
            <v>188220.97</v>
          </cell>
          <cell r="Q27">
            <v>38973.769999999997</v>
          </cell>
          <cell r="R27">
            <v>2743.25</v>
          </cell>
          <cell r="S27">
            <v>5499.07</v>
          </cell>
          <cell r="T27">
            <v>32801.68</v>
          </cell>
          <cell r="U27">
            <v>7008.71</v>
          </cell>
          <cell r="V27">
            <v>1830.95</v>
          </cell>
          <cell r="W27">
            <v>908.33</v>
          </cell>
          <cell r="X27">
            <v>13620.5</v>
          </cell>
          <cell r="Y27">
            <v>3097.59</v>
          </cell>
          <cell r="Z27">
            <v>1060.8800000000001</v>
          </cell>
          <cell r="AA27">
            <v>522.87</v>
          </cell>
          <cell r="FL27">
            <v>1305078.69</v>
          </cell>
          <cell r="FM27">
            <v>299197.37000000005</v>
          </cell>
          <cell r="FN27">
            <v>7229.24</v>
          </cell>
          <cell r="FO27">
            <v>7729.3499999999995</v>
          </cell>
          <cell r="FP27">
            <v>1391561</v>
          </cell>
          <cell r="FQ27">
            <v>322679</v>
          </cell>
          <cell r="FR27">
            <v>1714240</v>
          </cell>
          <cell r="FS27">
            <v>5322345.2100000009</v>
          </cell>
          <cell r="FT27">
            <v>1213677.7699999989</v>
          </cell>
          <cell r="FU27">
            <v>72056.980000000054</v>
          </cell>
          <cell r="FV27">
            <v>43754.090000000018</v>
          </cell>
          <cell r="FW27">
            <v>6651834.0499999998</v>
          </cell>
          <cell r="FX27">
            <v>4916389</v>
          </cell>
          <cell r="FY27">
            <v>1146412</v>
          </cell>
          <cell r="FZ27">
            <v>6062801</v>
          </cell>
          <cell r="GB27">
            <v>21600.58</v>
          </cell>
          <cell r="GC27">
            <v>5809.29</v>
          </cell>
          <cell r="GD27">
            <v>0</v>
          </cell>
          <cell r="GE27">
            <v>0</v>
          </cell>
          <cell r="GF27">
            <v>27409.870000000003</v>
          </cell>
          <cell r="GH27">
            <v>325197.99</v>
          </cell>
          <cell r="GI27">
            <v>66722.27</v>
          </cell>
          <cell r="GJ27">
            <v>13062.72</v>
          </cell>
          <cell r="GK27">
            <v>6478.9400000000005</v>
          </cell>
          <cell r="GL27">
            <v>411461.92</v>
          </cell>
          <cell r="GN27">
            <v>1048834.96</v>
          </cell>
          <cell r="GO27">
            <v>244308.01</v>
          </cell>
          <cell r="GP27">
            <v>1594.16</v>
          </cell>
          <cell r="GQ27">
            <v>799.08</v>
          </cell>
          <cell r="GR27">
            <v>1295536.21</v>
          </cell>
          <cell r="GT27">
            <v>18635.349999999999</v>
          </cell>
          <cell r="GU27">
            <v>5982.1799999999994</v>
          </cell>
          <cell r="GV27">
            <v>0</v>
          </cell>
          <cell r="GW27">
            <v>0</v>
          </cell>
          <cell r="GX27">
            <v>24617.53</v>
          </cell>
          <cell r="GZ27">
            <v>43790.239999999998</v>
          </cell>
          <cell r="HA27">
            <v>669.79</v>
          </cell>
          <cell r="HB27">
            <v>0</v>
          </cell>
          <cell r="HC27">
            <v>0</v>
          </cell>
          <cell r="HD27">
            <v>44460.03</v>
          </cell>
          <cell r="HF27">
            <v>27</v>
          </cell>
        </row>
        <row r="28">
          <cell r="A28">
            <v>28</v>
          </cell>
          <cell r="B28">
            <v>37469</v>
          </cell>
          <cell r="C28" t="str">
            <v>200208</v>
          </cell>
          <cell r="H28">
            <v>261.11</v>
          </cell>
          <cell r="I28">
            <v>21.71</v>
          </cell>
          <cell r="J28">
            <v>0</v>
          </cell>
          <cell r="K28">
            <v>0</v>
          </cell>
          <cell r="L28">
            <v>18365.919999999998</v>
          </cell>
          <cell r="M28">
            <v>5965.98</v>
          </cell>
          <cell r="N28">
            <v>0</v>
          </cell>
          <cell r="O28">
            <v>0</v>
          </cell>
          <cell r="P28">
            <v>891944.33</v>
          </cell>
          <cell r="Q28">
            <v>235056.51</v>
          </cell>
          <cell r="R28">
            <v>242.77</v>
          </cell>
          <cell r="S28">
            <v>484.43</v>
          </cell>
          <cell r="T28">
            <v>148872</v>
          </cell>
          <cell r="U28">
            <v>35359.870000000003</v>
          </cell>
          <cell r="V28">
            <v>4049.16</v>
          </cell>
          <cell r="W28">
            <v>2019.01</v>
          </cell>
          <cell r="X28">
            <v>32601.86</v>
          </cell>
          <cell r="Y28">
            <v>7239.2</v>
          </cell>
          <cell r="Z28">
            <v>1588.63</v>
          </cell>
          <cell r="AA28">
            <v>784.47</v>
          </cell>
          <cell r="FL28">
            <v>1092045.22</v>
          </cell>
          <cell r="FM28">
            <v>283643.27</v>
          </cell>
          <cell r="FN28">
            <v>5880.56</v>
          </cell>
          <cell r="FO28">
            <v>3287.91</v>
          </cell>
          <cell r="FP28">
            <v>1186032</v>
          </cell>
          <cell r="FQ28">
            <v>310447</v>
          </cell>
          <cell r="FR28">
            <v>1496479</v>
          </cell>
          <cell r="FS28">
            <v>6414390.4300000006</v>
          </cell>
          <cell r="FT28">
            <v>1497321.0399999989</v>
          </cell>
          <cell r="FU28">
            <v>77937.540000000052</v>
          </cell>
          <cell r="FV28">
            <v>47042.000000000015</v>
          </cell>
          <cell r="FW28">
            <v>8036691.0099999998</v>
          </cell>
          <cell r="FX28">
            <v>6102421</v>
          </cell>
          <cell r="FY28">
            <v>1456859</v>
          </cell>
          <cell r="FZ28">
            <v>7559280</v>
          </cell>
          <cell r="GB28">
            <v>18627.03</v>
          </cell>
          <cell r="GC28">
            <v>5987.69</v>
          </cell>
          <cell r="GD28">
            <v>0</v>
          </cell>
          <cell r="GE28">
            <v>0</v>
          </cell>
          <cell r="GF28">
            <v>24614.719999999998</v>
          </cell>
          <cell r="GH28">
            <v>260596.61</v>
          </cell>
          <cell r="GI28">
            <v>54548.78</v>
          </cell>
          <cell r="GJ28">
            <v>5228.22</v>
          </cell>
          <cell r="GK28">
            <v>10534.17</v>
          </cell>
          <cell r="GL28">
            <v>330907.77999999997</v>
          </cell>
          <cell r="GN28">
            <v>891944.33</v>
          </cell>
          <cell r="GO28">
            <v>235056.51</v>
          </cell>
          <cell r="GP28">
            <v>242.77</v>
          </cell>
          <cell r="GQ28">
            <v>484.43</v>
          </cell>
          <cell r="GR28">
            <v>1127728.0399999998</v>
          </cell>
          <cell r="GT28">
            <v>36099.49</v>
          </cell>
          <cell r="GU28">
            <v>9494.89</v>
          </cell>
          <cell r="GV28">
            <v>0</v>
          </cell>
          <cell r="GW28">
            <v>0</v>
          </cell>
          <cell r="GX28">
            <v>45594.38</v>
          </cell>
          <cell r="GZ28">
            <v>47754.26</v>
          </cell>
          <cell r="HA28">
            <v>781.6</v>
          </cell>
          <cell r="HB28">
            <v>0</v>
          </cell>
          <cell r="HC28">
            <v>0</v>
          </cell>
          <cell r="HD28">
            <v>48535.86</v>
          </cell>
          <cell r="HF28">
            <v>28</v>
          </cell>
        </row>
        <row r="29">
          <cell r="A29">
            <v>29</v>
          </cell>
          <cell r="B29">
            <v>37500</v>
          </cell>
          <cell r="C29" t="str">
            <v>200209</v>
          </cell>
          <cell r="L29">
            <v>269.43</v>
          </cell>
          <cell r="M29">
            <v>16.2</v>
          </cell>
          <cell r="N29">
            <v>0</v>
          </cell>
          <cell r="O29">
            <v>0</v>
          </cell>
          <cell r="P29">
            <v>36099.49</v>
          </cell>
          <cell r="Q29">
            <v>9494.89</v>
          </cell>
          <cell r="R29">
            <v>0</v>
          </cell>
          <cell r="S29">
            <v>0</v>
          </cell>
          <cell r="T29">
            <v>779442.33</v>
          </cell>
          <cell r="U29">
            <v>203112.92</v>
          </cell>
          <cell r="V29">
            <v>233.03</v>
          </cell>
          <cell r="W29">
            <v>116.73</v>
          </cell>
          <cell r="X29">
            <v>125576.36</v>
          </cell>
          <cell r="Y29">
            <v>29326.74</v>
          </cell>
          <cell r="Z29">
            <v>3267.37</v>
          </cell>
          <cell r="AA29">
            <v>1629.96</v>
          </cell>
          <cell r="FL29">
            <v>941387.61</v>
          </cell>
          <cell r="FM29">
            <v>241950.75</v>
          </cell>
          <cell r="FN29">
            <v>3500.4</v>
          </cell>
          <cell r="FO29">
            <v>1746.69</v>
          </cell>
          <cell r="FP29">
            <v>1055995</v>
          </cell>
          <cell r="FQ29">
            <v>273887</v>
          </cell>
          <cell r="FR29">
            <v>1329882</v>
          </cell>
          <cell r="FS29">
            <v>7355778.040000001</v>
          </cell>
          <cell r="FT29">
            <v>1739271.7899999989</v>
          </cell>
          <cell r="FU29">
            <v>81437.940000000046</v>
          </cell>
          <cell r="FV29">
            <v>48788.690000000017</v>
          </cell>
          <cell r="FW29">
            <v>9225276.459999999</v>
          </cell>
          <cell r="FX29">
            <v>7158416</v>
          </cell>
          <cell r="FY29">
            <v>1730746</v>
          </cell>
          <cell r="FZ29">
            <v>8889162</v>
          </cell>
          <cell r="GB29">
            <v>36368.92</v>
          </cell>
          <cell r="GC29">
            <v>9511.09</v>
          </cell>
          <cell r="GD29">
            <v>0</v>
          </cell>
          <cell r="GE29">
            <v>0</v>
          </cell>
          <cell r="GF29">
            <v>45880.009999999995</v>
          </cell>
          <cell r="GH29">
            <v>202716.82</v>
          </cell>
          <cell r="GI29">
            <v>47199.100000000006</v>
          </cell>
          <cell r="GJ29">
            <v>8011.34</v>
          </cell>
          <cell r="GK29">
            <v>3967.8100000000004</v>
          </cell>
          <cell r="GL29">
            <v>261895.07</v>
          </cell>
          <cell r="GN29">
            <v>779442.33</v>
          </cell>
          <cell r="GO29">
            <v>203112.92</v>
          </cell>
          <cell r="GP29">
            <v>233.03</v>
          </cell>
          <cell r="GQ29">
            <v>116.73</v>
          </cell>
          <cell r="GR29">
            <v>982905.01</v>
          </cell>
          <cell r="GT29">
            <v>28977.979999999996</v>
          </cell>
          <cell r="GU29">
            <v>7035.3899999999994</v>
          </cell>
          <cell r="GV29">
            <v>0</v>
          </cell>
          <cell r="GW29">
            <v>0</v>
          </cell>
          <cell r="GX29">
            <v>36013.369999999995</v>
          </cell>
          <cell r="GZ29">
            <v>62041.06</v>
          </cell>
          <cell r="HA29">
            <v>760.87</v>
          </cell>
          <cell r="HB29">
            <v>0</v>
          </cell>
          <cell r="HC29">
            <v>0</v>
          </cell>
          <cell r="HD29">
            <v>62801.93</v>
          </cell>
          <cell r="HF29">
            <v>29</v>
          </cell>
        </row>
        <row r="30">
          <cell r="A30">
            <v>30</v>
          </cell>
          <cell r="B30">
            <v>37530</v>
          </cell>
          <cell r="C30" t="str">
            <v>200210</v>
          </cell>
          <cell r="T30">
            <v>28779.42</v>
          </cell>
          <cell r="U30">
            <v>6899.04</v>
          </cell>
          <cell r="V30">
            <v>0</v>
          </cell>
          <cell r="W30">
            <v>0</v>
          </cell>
          <cell r="X30">
            <v>699227.36</v>
          </cell>
          <cell r="Y30">
            <v>173910.3</v>
          </cell>
          <cell r="Z30">
            <v>331.02</v>
          </cell>
          <cell r="AA30">
            <v>165.77</v>
          </cell>
          <cell r="FL30">
            <v>728006.78</v>
          </cell>
          <cell r="FM30">
            <v>180809.34</v>
          </cell>
          <cell r="FN30">
            <v>331.02</v>
          </cell>
          <cell r="FO30">
            <v>165.77</v>
          </cell>
          <cell r="FP30">
            <v>940369</v>
          </cell>
          <cell r="FQ30">
            <v>234080</v>
          </cell>
          <cell r="FR30">
            <v>1174449</v>
          </cell>
          <cell r="FS30">
            <v>8083784.8200000012</v>
          </cell>
          <cell r="FT30">
            <v>1920081.129999999</v>
          </cell>
          <cell r="FU30">
            <v>81768.96000000005</v>
          </cell>
          <cell r="FV30">
            <v>48954.460000000014</v>
          </cell>
          <cell r="FW30">
            <v>10134589.370000001</v>
          </cell>
          <cell r="FX30">
            <v>8098785</v>
          </cell>
          <cell r="FY30">
            <v>1964826</v>
          </cell>
          <cell r="FZ30">
            <v>10063611</v>
          </cell>
          <cell r="GB30">
            <v>28779.42</v>
          </cell>
          <cell r="GC30">
            <v>6899.04</v>
          </cell>
          <cell r="GD30">
            <v>0</v>
          </cell>
          <cell r="GE30">
            <v>0</v>
          </cell>
          <cell r="GF30">
            <v>35678.46</v>
          </cell>
          <cell r="GH30">
            <v>184442.84</v>
          </cell>
          <cell r="GI30">
            <v>43085.14</v>
          </cell>
          <cell r="GJ30">
            <v>7523.16</v>
          </cell>
          <cell r="GK30">
            <v>3710.7</v>
          </cell>
          <cell r="GL30">
            <v>238761.84</v>
          </cell>
          <cell r="GN30">
            <v>699227.36</v>
          </cell>
          <cell r="GO30">
            <v>173910.3</v>
          </cell>
          <cell r="GP30">
            <v>331.02</v>
          </cell>
          <cell r="GQ30">
            <v>165.77</v>
          </cell>
          <cell r="GR30">
            <v>873634.45</v>
          </cell>
          <cell r="GT30">
            <v>39604.75</v>
          </cell>
          <cell r="GU30">
            <v>10536.8</v>
          </cell>
          <cell r="GV30">
            <v>0</v>
          </cell>
          <cell r="GW30">
            <v>0</v>
          </cell>
          <cell r="GX30">
            <v>50141.55</v>
          </cell>
          <cell r="GZ30">
            <v>62041.06</v>
          </cell>
          <cell r="HA30">
            <v>760.87</v>
          </cell>
          <cell r="HB30">
            <v>0</v>
          </cell>
          <cell r="HC30">
            <v>0</v>
          </cell>
          <cell r="HD30">
            <v>62801.93</v>
          </cell>
          <cell r="HF30">
            <v>30</v>
          </cell>
        </row>
        <row r="31">
          <cell r="A31">
            <v>31</v>
          </cell>
          <cell r="B31">
            <v>37561</v>
          </cell>
          <cell r="C31" t="str">
            <v>200211</v>
          </cell>
          <cell r="T31">
            <v>121.1</v>
          </cell>
          <cell r="U31">
            <v>70.91</v>
          </cell>
          <cell r="V31">
            <v>0</v>
          </cell>
          <cell r="W31">
            <v>0</v>
          </cell>
          <cell r="X31">
            <v>39604.75</v>
          </cell>
          <cell r="Y31">
            <v>10536.8</v>
          </cell>
          <cell r="Z31">
            <v>0</v>
          </cell>
          <cell r="AA31">
            <v>0</v>
          </cell>
          <cell r="FL31">
            <v>39725.85</v>
          </cell>
          <cell r="FM31">
            <v>10607.71</v>
          </cell>
          <cell r="FN31">
            <v>0</v>
          </cell>
          <cell r="FO31">
            <v>0</v>
          </cell>
          <cell r="FP31">
            <v>809585</v>
          </cell>
          <cell r="FQ31">
            <v>222532</v>
          </cell>
          <cell r="FR31">
            <v>1032117</v>
          </cell>
          <cell r="FS31">
            <v>8123510.6700000009</v>
          </cell>
          <cell r="FT31">
            <v>1930688.8399999989</v>
          </cell>
          <cell r="FU31">
            <v>81768.96000000005</v>
          </cell>
          <cell r="FV31">
            <v>48954.460000000014</v>
          </cell>
          <cell r="FW31">
            <v>10184922.930000002</v>
          </cell>
          <cell r="FX31">
            <v>8908370</v>
          </cell>
          <cell r="FY31">
            <v>2187358</v>
          </cell>
          <cell r="FZ31">
            <v>11095728</v>
          </cell>
          <cell r="GB31">
            <v>39725.85</v>
          </cell>
          <cell r="GC31">
            <v>10607.71</v>
          </cell>
          <cell r="GD31">
            <v>0</v>
          </cell>
          <cell r="GE31">
            <v>0</v>
          </cell>
          <cell r="GF31">
            <v>50333.56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Z31">
            <v>62041.06</v>
          </cell>
          <cell r="HA31">
            <v>760.87</v>
          </cell>
          <cell r="HB31">
            <v>0</v>
          </cell>
          <cell r="HC31">
            <v>0</v>
          </cell>
          <cell r="HD31">
            <v>62801.93</v>
          </cell>
          <cell r="HF31">
            <v>31</v>
          </cell>
        </row>
        <row r="32">
          <cell r="A32">
            <v>32</v>
          </cell>
          <cell r="B32">
            <v>37591</v>
          </cell>
          <cell r="C32" t="str">
            <v>200212</v>
          </cell>
          <cell r="T32">
            <v>77.459999999999994</v>
          </cell>
          <cell r="U32">
            <v>65.44</v>
          </cell>
          <cell r="V32">
            <v>0</v>
          </cell>
          <cell r="W32">
            <v>0</v>
          </cell>
          <cell r="FL32">
            <v>77.459999999999994</v>
          </cell>
          <cell r="FM32">
            <v>65.44</v>
          </cell>
          <cell r="FN32">
            <v>0</v>
          </cell>
          <cell r="FO32">
            <v>0</v>
          </cell>
          <cell r="FP32">
            <v>741279</v>
          </cell>
          <cell r="FQ32">
            <v>192779</v>
          </cell>
          <cell r="FR32">
            <v>934058</v>
          </cell>
          <cell r="FS32">
            <v>8123588.1300000008</v>
          </cell>
          <cell r="FT32">
            <v>1930754.2799999989</v>
          </cell>
          <cell r="FU32">
            <v>81768.96000000005</v>
          </cell>
          <cell r="FV32">
            <v>48954.460000000014</v>
          </cell>
          <cell r="FW32">
            <v>10185065.830000002</v>
          </cell>
          <cell r="FX32">
            <v>9649649</v>
          </cell>
          <cell r="FY32">
            <v>2380137</v>
          </cell>
          <cell r="FZ32">
            <v>12029786</v>
          </cell>
          <cell r="GB32">
            <v>77.459999999999994</v>
          </cell>
          <cell r="GC32">
            <v>65.44</v>
          </cell>
          <cell r="GD32">
            <v>0</v>
          </cell>
          <cell r="GE32">
            <v>0</v>
          </cell>
          <cell r="GF32">
            <v>142.89999999999998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Z32">
            <v>62041.06</v>
          </cell>
          <cell r="HA32">
            <v>760.87</v>
          </cell>
          <cell r="HB32">
            <v>0</v>
          </cell>
          <cell r="HC32">
            <v>0</v>
          </cell>
          <cell r="HD32">
            <v>62801.93</v>
          </cell>
          <cell r="HF32">
            <v>32</v>
          </cell>
        </row>
        <row r="33">
          <cell r="A33">
            <v>33</v>
          </cell>
          <cell r="B33">
            <v>37622</v>
          </cell>
          <cell r="C33" t="str">
            <v>200301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661807</v>
          </cell>
          <cell r="FQ33">
            <v>176335</v>
          </cell>
          <cell r="FR33">
            <v>838142</v>
          </cell>
          <cell r="FS33">
            <v>8123588.1300000008</v>
          </cell>
          <cell r="FT33">
            <v>1930754.2799999989</v>
          </cell>
          <cell r="FU33">
            <v>81768.96000000005</v>
          </cell>
          <cell r="FV33">
            <v>48954.460000000014</v>
          </cell>
          <cell r="FW33">
            <v>10185065.830000002</v>
          </cell>
          <cell r="FX33">
            <v>10311456</v>
          </cell>
          <cell r="FY33">
            <v>2556472</v>
          </cell>
          <cell r="FZ33">
            <v>12867928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F33">
            <v>33</v>
          </cell>
        </row>
        <row r="34">
          <cell r="A34">
            <v>34</v>
          </cell>
          <cell r="B34">
            <v>37653</v>
          </cell>
          <cell r="C34" t="str">
            <v>200302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606211</v>
          </cell>
          <cell r="FQ34">
            <v>166357</v>
          </cell>
          <cell r="FR34">
            <v>772568</v>
          </cell>
          <cell r="FS34">
            <v>8123588.1300000008</v>
          </cell>
          <cell r="FT34">
            <v>1930754.2799999989</v>
          </cell>
          <cell r="FU34">
            <v>81768.96000000005</v>
          </cell>
          <cell r="FV34">
            <v>48954.460000000014</v>
          </cell>
          <cell r="FW34">
            <v>10185065.830000002</v>
          </cell>
          <cell r="FX34">
            <v>10917667</v>
          </cell>
          <cell r="FY34">
            <v>2722829</v>
          </cell>
          <cell r="FZ34">
            <v>13640496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F34">
            <v>34</v>
          </cell>
        </row>
        <row r="35">
          <cell r="A35">
            <v>35</v>
          </cell>
          <cell r="B35">
            <v>37681</v>
          </cell>
          <cell r="C35" t="str">
            <v>200303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562981</v>
          </cell>
          <cell r="FQ35">
            <v>130563</v>
          </cell>
          <cell r="FR35">
            <v>693544</v>
          </cell>
          <cell r="FS35">
            <v>8123588.1300000008</v>
          </cell>
          <cell r="FT35">
            <v>1930754.2799999989</v>
          </cell>
          <cell r="FU35">
            <v>81768.96000000005</v>
          </cell>
          <cell r="FV35">
            <v>48954.460000000014</v>
          </cell>
          <cell r="FW35">
            <v>10185065.830000002</v>
          </cell>
          <cell r="FX35">
            <v>11480648</v>
          </cell>
          <cell r="FY35">
            <v>2853392</v>
          </cell>
          <cell r="FZ35">
            <v>14334040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F35">
            <v>35</v>
          </cell>
        </row>
        <row r="36">
          <cell r="A36">
            <v>36</v>
          </cell>
          <cell r="B36">
            <v>37712</v>
          </cell>
          <cell r="C36" t="str">
            <v>200304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512002</v>
          </cell>
          <cell r="FQ36">
            <v>124624</v>
          </cell>
          <cell r="FR36">
            <v>636626</v>
          </cell>
          <cell r="FS36">
            <v>8123588.1300000008</v>
          </cell>
          <cell r="FT36">
            <v>1930754.2799999989</v>
          </cell>
          <cell r="FU36">
            <v>81768.96000000005</v>
          </cell>
          <cell r="FV36">
            <v>48954.460000000014</v>
          </cell>
          <cell r="FW36">
            <v>10185065.830000002</v>
          </cell>
          <cell r="FX36">
            <v>11992650</v>
          </cell>
          <cell r="FY36">
            <v>2978016</v>
          </cell>
          <cell r="FZ36">
            <v>14970666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0</v>
          </cell>
          <cell r="HF36">
            <v>36</v>
          </cell>
        </row>
        <row r="37">
          <cell r="A37">
            <v>37</v>
          </cell>
          <cell r="B37">
            <v>37742</v>
          </cell>
          <cell r="C37" t="str">
            <v>200305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470189</v>
          </cell>
          <cell r="FQ37">
            <v>113755</v>
          </cell>
          <cell r="FR37">
            <v>583944</v>
          </cell>
          <cell r="FS37">
            <v>8123588.1300000008</v>
          </cell>
          <cell r="FT37">
            <v>1930754.2799999989</v>
          </cell>
          <cell r="FU37">
            <v>81768.96000000005</v>
          </cell>
          <cell r="FV37">
            <v>48954.460000000014</v>
          </cell>
          <cell r="FW37">
            <v>10185065.830000002</v>
          </cell>
          <cell r="FX37">
            <v>12462839</v>
          </cell>
          <cell r="FY37">
            <v>3091771</v>
          </cell>
          <cell r="FZ37">
            <v>15554610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F37">
            <v>37</v>
          </cell>
        </row>
        <row r="38">
          <cell r="A38">
            <v>38</v>
          </cell>
          <cell r="B38">
            <v>37773</v>
          </cell>
          <cell r="C38" t="str">
            <v>200306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416826</v>
          </cell>
          <cell r="FQ38">
            <v>102722</v>
          </cell>
          <cell r="FR38">
            <v>519548</v>
          </cell>
          <cell r="FS38">
            <v>8123588.1300000008</v>
          </cell>
          <cell r="FT38">
            <v>1930754.2799999989</v>
          </cell>
          <cell r="FU38">
            <v>81768.96000000005</v>
          </cell>
          <cell r="FV38">
            <v>48954.460000000014</v>
          </cell>
          <cell r="FW38">
            <v>10185065.830000002</v>
          </cell>
          <cell r="FX38">
            <v>12879665</v>
          </cell>
          <cell r="FY38">
            <v>3194493</v>
          </cell>
          <cell r="FZ38">
            <v>16074158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F38">
            <v>38</v>
          </cell>
        </row>
        <row r="39">
          <cell r="A39">
            <v>39</v>
          </cell>
          <cell r="B39">
            <v>37803</v>
          </cell>
          <cell r="C39" t="str">
            <v>200307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397257</v>
          </cell>
          <cell r="FQ39">
            <v>87530</v>
          </cell>
          <cell r="FR39">
            <v>484787</v>
          </cell>
          <cell r="FS39">
            <v>8123588.1300000008</v>
          </cell>
          <cell r="FT39">
            <v>1930754.2799999989</v>
          </cell>
          <cell r="FU39">
            <v>81768.96000000005</v>
          </cell>
          <cell r="FV39">
            <v>48954.460000000014</v>
          </cell>
          <cell r="FW39">
            <v>10185065.830000002</v>
          </cell>
          <cell r="FX39">
            <v>13276922</v>
          </cell>
          <cell r="FY39">
            <v>3282023</v>
          </cell>
          <cell r="FZ39">
            <v>16558945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0</v>
          </cell>
          <cell r="HF39">
            <v>39</v>
          </cell>
        </row>
        <row r="40">
          <cell r="A40">
            <v>40</v>
          </cell>
          <cell r="B40">
            <v>37834</v>
          </cell>
          <cell r="C40" t="str">
            <v>200308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369622</v>
          </cell>
          <cell r="FQ40">
            <v>82119</v>
          </cell>
          <cell r="FR40">
            <v>451741</v>
          </cell>
          <cell r="FS40">
            <v>8123588.1300000008</v>
          </cell>
          <cell r="FT40">
            <v>1930754.2799999989</v>
          </cell>
          <cell r="FU40">
            <v>81768.96000000005</v>
          </cell>
          <cell r="FV40">
            <v>48954.460000000014</v>
          </cell>
          <cell r="FW40">
            <v>10185065.830000002</v>
          </cell>
          <cell r="FX40">
            <v>13646544</v>
          </cell>
          <cell r="FY40">
            <v>3364142</v>
          </cell>
          <cell r="FZ40">
            <v>17010686</v>
          </cell>
          <cell r="GF40">
            <v>0</v>
          </cell>
          <cell r="GL40">
            <v>0</v>
          </cell>
          <cell r="GR40">
            <v>0</v>
          </cell>
          <cell r="GX40">
            <v>0</v>
          </cell>
          <cell r="HD40">
            <v>0</v>
          </cell>
          <cell r="HF40">
            <v>40</v>
          </cell>
        </row>
        <row r="41">
          <cell r="A41">
            <v>41</v>
          </cell>
          <cell r="B41">
            <v>37865</v>
          </cell>
          <cell r="C41" t="str">
            <v>200309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367140</v>
          </cell>
          <cell r="FQ41">
            <v>70276</v>
          </cell>
          <cell r="FR41">
            <v>437416</v>
          </cell>
          <cell r="FS41">
            <v>8123588.1300000008</v>
          </cell>
          <cell r="FT41">
            <v>1930754.2799999989</v>
          </cell>
          <cell r="FU41">
            <v>81768.96000000005</v>
          </cell>
          <cell r="FV41">
            <v>48954.460000000014</v>
          </cell>
          <cell r="FW41">
            <v>10185065.830000002</v>
          </cell>
          <cell r="FX41">
            <v>14013684</v>
          </cell>
          <cell r="FY41">
            <v>3434418</v>
          </cell>
          <cell r="FZ41">
            <v>17448102</v>
          </cell>
          <cell r="GF41">
            <v>0</v>
          </cell>
          <cell r="GL41">
            <v>0</v>
          </cell>
          <cell r="GR41">
            <v>0</v>
          </cell>
          <cell r="GX41">
            <v>0</v>
          </cell>
          <cell r="HD41">
            <v>0</v>
          </cell>
          <cell r="HF41">
            <v>41</v>
          </cell>
        </row>
        <row r="42">
          <cell r="A42">
            <v>42</v>
          </cell>
          <cell r="B42">
            <v>37895</v>
          </cell>
          <cell r="C42" t="str">
            <v>200310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336924</v>
          </cell>
          <cell r="FQ42">
            <v>59438</v>
          </cell>
          <cell r="FR42">
            <v>396362</v>
          </cell>
          <cell r="FS42">
            <v>8123588.1300000008</v>
          </cell>
          <cell r="FT42">
            <v>1930754.2799999989</v>
          </cell>
          <cell r="FU42">
            <v>81768.96000000005</v>
          </cell>
          <cell r="FV42">
            <v>48954.460000000014</v>
          </cell>
          <cell r="FW42">
            <v>10185065.830000002</v>
          </cell>
          <cell r="FX42">
            <v>14350608</v>
          </cell>
          <cell r="FY42">
            <v>3493856</v>
          </cell>
          <cell r="FZ42">
            <v>17844464</v>
          </cell>
          <cell r="GF42">
            <v>0</v>
          </cell>
          <cell r="GL42">
            <v>0</v>
          </cell>
          <cell r="GR42">
            <v>0</v>
          </cell>
          <cell r="GX42">
            <v>0</v>
          </cell>
          <cell r="HD42">
            <v>0</v>
          </cell>
          <cell r="HF42">
            <v>42</v>
          </cell>
        </row>
        <row r="43">
          <cell r="A43">
            <v>43</v>
          </cell>
          <cell r="B43">
            <v>37926</v>
          </cell>
          <cell r="C43" t="str">
            <v>200311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289271</v>
          </cell>
          <cell r="FQ43">
            <v>53350</v>
          </cell>
          <cell r="FR43">
            <v>342621</v>
          </cell>
          <cell r="FS43">
            <v>8123588.1300000008</v>
          </cell>
          <cell r="FT43">
            <v>1930754.2799999989</v>
          </cell>
          <cell r="FU43">
            <v>81768.96000000005</v>
          </cell>
          <cell r="FV43">
            <v>48954.460000000014</v>
          </cell>
          <cell r="FW43">
            <v>10185065.830000002</v>
          </cell>
          <cell r="FX43">
            <v>14639879</v>
          </cell>
          <cell r="FY43">
            <v>3547206</v>
          </cell>
          <cell r="FZ43">
            <v>18187085</v>
          </cell>
          <cell r="GF43">
            <v>0</v>
          </cell>
          <cell r="GL43">
            <v>0</v>
          </cell>
          <cell r="GR43">
            <v>0</v>
          </cell>
          <cell r="GX43">
            <v>0</v>
          </cell>
          <cell r="HD43">
            <v>0</v>
          </cell>
          <cell r="HF43">
            <v>43</v>
          </cell>
        </row>
        <row r="44">
          <cell r="A44">
            <v>44</v>
          </cell>
          <cell r="B44">
            <v>37956</v>
          </cell>
          <cell r="C44" t="str">
            <v>200312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262647</v>
          </cell>
          <cell r="FQ44">
            <v>42010</v>
          </cell>
          <cell r="FR44">
            <v>304657</v>
          </cell>
          <cell r="FS44">
            <v>8123588.1300000008</v>
          </cell>
          <cell r="FT44">
            <v>1930754.2799999989</v>
          </cell>
          <cell r="FU44">
            <v>81768.96000000005</v>
          </cell>
          <cell r="FV44">
            <v>48954.460000000014</v>
          </cell>
          <cell r="FW44">
            <v>10185065.830000002</v>
          </cell>
          <cell r="FX44">
            <v>14902526</v>
          </cell>
          <cell r="FY44">
            <v>3589216</v>
          </cell>
          <cell r="FZ44">
            <v>18491742</v>
          </cell>
          <cell r="GF44">
            <v>0</v>
          </cell>
          <cell r="GL44">
            <v>0</v>
          </cell>
          <cell r="GR44">
            <v>0</v>
          </cell>
          <cell r="GX44">
            <v>0</v>
          </cell>
          <cell r="HD44">
            <v>0</v>
          </cell>
          <cell r="HF44">
            <v>44</v>
          </cell>
        </row>
        <row r="45">
          <cell r="A45">
            <v>45</v>
          </cell>
          <cell r="B45">
            <v>37987</v>
          </cell>
          <cell r="C45" t="str">
            <v>200401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241991</v>
          </cell>
          <cell r="FQ45">
            <v>38058</v>
          </cell>
          <cell r="FR45">
            <v>280049</v>
          </cell>
          <cell r="FS45">
            <v>8123588.1300000008</v>
          </cell>
          <cell r="FT45">
            <v>1930754.2799999989</v>
          </cell>
          <cell r="FU45">
            <v>81768.96000000005</v>
          </cell>
          <cell r="FV45">
            <v>48954.460000000014</v>
          </cell>
          <cell r="FW45">
            <v>10185065.830000002</v>
          </cell>
          <cell r="FX45">
            <v>15144517</v>
          </cell>
          <cell r="FY45">
            <v>3627274</v>
          </cell>
          <cell r="FZ45">
            <v>18771791</v>
          </cell>
          <cell r="GF45">
            <v>0</v>
          </cell>
          <cell r="GL45">
            <v>0</v>
          </cell>
          <cell r="GR45">
            <v>0</v>
          </cell>
          <cell r="GX45">
            <v>0</v>
          </cell>
          <cell r="HD45">
            <v>0</v>
          </cell>
          <cell r="HF45">
            <v>45</v>
          </cell>
        </row>
        <row r="46">
          <cell r="A46">
            <v>46</v>
          </cell>
          <cell r="B46">
            <v>38018</v>
          </cell>
          <cell r="C46" t="str">
            <v>200402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233519</v>
          </cell>
          <cell r="FQ46">
            <v>30514</v>
          </cell>
          <cell r="FR46">
            <v>264033</v>
          </cell>
          <cell r="FS46">
            <v>8123588.1300000008</v>
          </cell>
          <cell r="FT46">
            <v>1930754.2799999989</v>
          </cell>
          <cell r="FU46">
            <v>81768.96000000005</v>
          </cell>
          <cell r="FV46">
            <v>48954.460000000014</v>
          </cell>
          <cell r="FW46">
            <v>10185065.830000002</v>
          </cell>
          <cell r="FX46">
            <v>15378036</v>
          </cell>
          <cell r="FY46">
            <v>3657788</v>
          </cell>
          <cell r="FZ46">
            <v>19035824</v>
          </cell>
          <cell r="GF46">
            <v>0</v>
          </cell>
          <cell r="GL46">
            <v>0</v>
          </cell>
          <cell r="GR46">
            <v>0</v>
          </cell>
          <cell r="GX46">
            <v>0</v>
          </cell>
          <cell r="HD46">
            <v>0</v>
          </cell>
          <cell r="HF46">
            <v>46</v>
          </cell>
        </row>
        <row r="47">
          <cell r="A47">
            <v>47</v>
          </cell>
          <cell r="B47">
            <v>38047</v>
          </cell>
          <cell r="C47" t="str">
            <v>200403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239805</v>
          </cell>
          <cell r="FQ47">
            <v>22893</v>
          </cell>
          <cell r="FR47">
            <v>262698</v>
          </cell>
          <cell r="FS47">
            <v>8123588.1300000008</v>
          </cell>
          <cell r="FT47">
            <v>1930754.2799999989</v>
          </cell>
          <cell r="FU47">
            <v>81768.96000000005</v>
          </cell>
          <cell r="FV47">
            <v>48954.460000000014</v>
          </cell>
          <cell r="FW47">
            <v>10185065.830000002</v>
          </cell>
          <cell r="FX47">
            <v>15617841</v>
          </cell>
          <cell r="FY47">
            <v>3680681</v>
          </cell>
          <cell r="FZ47">
            <v>19298522</v>
          </cell>
          <cell r="GF47">
            <v>0</v>
          </cell>
          <cell r="GL47">
            <v>0</v>
          </cell>
          <cell r="GR47">
            <v>0</v>
          </cell>
          <cell r="GX47">
            <v>0</v>
          </cell>
          <cell r="HD47">
            <v>0</v>
          </cell>
          <cell r="HF47">
            <v>47</v>
          </cell>
        </row>
        <row r="48">
          <cell r="A48">
            <v>48</v>
          </cell>
          <cell r="B48">
            <v>38078</v>
          </cell>
          <cell r="C48" t="str">
            <v>200404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214042</v>
          </cell>
          <cell r="FQ48">
            <v>18539</v>
          </cell>
          <cell r="FR48">
            <v>232581</v>
          </cell>
          <cell r="FS48">
            <v>8123588.1300000008</v>
          </cell>
          <cell r="FT48">
            <v>1930754.2799999989</v>
          </cell>
          <cell r="FU48">
            <v>81768.96000000005</v>
          </cell>
          <cell r="FV48">
            <v>48954.460000000014</v>
          </cell>
          <cell r="FW48">
            <v>10185065.830000002</v>
          </cell>
          <cell r="FX48">
            <v>15831883</v>
          </cell>
          <cell r="FY48">
            <v>3699220</v>
          </cell>
          <cell r="FZ48">
            <v>19531103</v>
          </cell>
          <cell r="GF48">
            <v>0</v>
          </cell>
          <cell r="GL48">
            <v>0</v>
          </cell>
          <cell r="GR48">
            <v>0</v>
          </cell>
          <cell r="GX48">
            <v>0</v>
          </cell>
          <cell r="HD48">
            <v>0</v>
          </cell>
          <cell r="HF48">
            <v>48</v>
          </cell>
        </row>
        <row r="49">
          <cell r="A49">
            <v>49</v>
          </cell>
          <cell r="B49">
            <v>38108</v>
          </cell>
          <cell r="C49" t="str">
            <v>200405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156078</v>
          </cell>
          <cell r="FQ49">
            <v>12253</v>
          </cell>
          <cell r="FR49">
            <v>168331</v>
          </cell>
          <cell r="FS49">
            <v>8123588.1300000008</v>
          </cell>
          <cell r="FT49">
            <v>1930754.2799999989</v>
          </cell>
          <cell r="FU49">
            <v>81768.96000000005</v>
          </cell>
          <cell r="FV49">
            <v>48954.460000000014</v>
          </cell>
          <cell r="FW49">
            <v>10185065.830000002</v>
          </cell>
          <cell r="FX49">
            <v>15987961</v>
          </cell>
          <cell r="FY49">
            <v>3711473</v>
          </cell>
          <cell r="FZ49">
            <v>19699434</v>
          </cell>
          <cell r="GF49">
            <v>0</v>
          </cell>
          <cell r="GL49">
            <v>0</v>
          </cell>
          <cell r="GR49">
            <v>0</v>
          </cell>
          <cell r="GX49">
            <v>0</v>
          </cell>
          <cell r="HD49">
            <v>0</v>
          </cell>
          <cell r="HF49">
            <v>49</v>
          </cell>
        </row>
        <row r="50">
          <cell r="A50">
            <v>50</v>
          </cell>
          <cell r="B50">
            <v>38139</v>
          </cell>
          <cell r="C50" t="str">
            <v>200406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89618</v>
          </cell>
          <cell r="FQ50">
            <v>7989</v>
          </cell>
          <cell r="FR50">
            <v>97607</v>
          </cell>
          <cell r="FS50">
            <v>8123588.1300000008</v>
          </cell>
          <cell r="FT50">
            <v>1930754.2799999989</v>
          </cell>
          <cell r="FU50">
            <v>81768.96000000005</v>
          </cell>
          <cell r="FV50">
            <v>48954.460000000014</v>
          </cell>
          <cell r="FW50">
            <v>10185065.830000002</v>
          </cell>
          <cell r="FX50">
            <v>16077579</v>
          </cell>
          <cell r="FY50">
            <v>3719462</v>
          </cell>
          <cell r="FZ50">
            <v>19797041</v>
          </cell>
          <cell r="GF50">
            <v>0</v>
          </cell>
          <cell r="GL50">
            <v>0</v>
          </cell>
          <cell r="GR50">
            <v>0</v>
          </cell>
          <cell r="GX50">
            <v>0</v>
          </cell>
          <cell r="HD50">
            <v>0</v>
          </cell>
          <cell r="HF50">
            <v>50</v>
          </cell>
        </row>
        <row r="51">
          <cell r="A51">
            <v>51</v>
          </cell>
          <cell r="B51">
            <v>38169</v>
          </cell>
          <cell r="C51" t="str">
            <v>200407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66855</v>
          </cell>
          <cell r="FQ51">
            <v>5838</v>
          </cell>
          <cell r="FR51">
            <v>72693</v>
          </cell>
          <cell r="FS51">
            <v>8123588.1300000008</v>
          </cell>
          <cell r="FT51">
            <v>1930754.2799999989</v>
          </cell>
          <cell r="FU51">
            <v>81768.96000000005</v>
          </cell>
          <cell r="FV51">
            <v>48954.460000000014</v>
          </cell>
          <cell r="FW51">
            <v>10185065.830000002</v>
          </cell>
          <cell r="FX51">
            <v>12529694</v>
          </cell>
          <cell r="FY51">
            <v>3097609</v>
          </cell>
          <cell r="FZ51">
            <v>15627303</v>
          </cell>
          <cell r="GF51">
            <v>0</v>
          </cell>
          <cell r="GL51">
            <v>0</v>
          </cell>
          <cell r="GR51">
            <v>0</v>
          </cell>
          <cell r="GX51">
            <v>0</v>
          </cell>
          <cell r="HD51">
            <v>0</v>
          </cell>
          <cell r="HF51">
            <v>38</v>
          </cell>
        </row>
        <row r="52">
          <cell r="A52">
            <v>52</v>
          </cell>
          <cell r="B52">
            <v>38200</v>
          </cell>
          <cell r="C52" t="str">
            <v>200408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56224</v>
          </cell>
          <cell r="FQ52">
            <v>3990</v>
          </cell>
          <cell r="FR52">
            <v>60214</v>
          </cell>
          <cell r="FS52">
            <v>8123588.1300000008</v>
          </cell>
          <cell r="FT52">
            <v>1930754.2799999989</v>
          </cell>
          <cell r="FU52">
            <v>81768.96000000005</v>
          </cell>
          <cell r="FV52">
            <v>48954.460000000014</v>
          </cell>
          <cell r="FW52">
            <v>10185065.830000002</v>
          </cell>
          <cell r="FX52">
            <v>12935889</v>
          </cell>
          <cell r="FY52">
            <v>3198483</v>
          </cell>
          <cell r="FZ52">
            <v>16134372</v>
          </cell>
          <cell r="GF52">
            <v>0</v>
          </cell>
          <cell r="GL52">
            <v>0</v>
          </cell>
          <cell r="GR52">
            <v>0</v>
          </cell>
          <cell r="GX52">
            <v>0</v>
          </cell>
          <cell r="HD52">
            <v>0</v>
          </cell>
          <cell r="HF52">
            <v>39</v>
          </cell>
        </row>
        <row r="53">
          <cell r="A53">
            <v>53</v>
          </cell>
          <cell r="B53">
            <v>38231</v>
          </cell>
          <cell r="C53" t="str">
            <v>200409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45159</v>
          </cell>
          <cell r="FQ53">
            <v>2514</v>
          </cell>
          <cell r="FR53">
            <v>47673</v>
          </cell>
          <cell r="FS53">
            <v>8123588.1300000008</v>
          </cell>
          <cell r="FT53">
            <v>1930754.2799999989</v>
          </cell>
          <cell r="FU53">
            <v>81768.96000000005</v>
          </cell>
          <cell r="FV53">
            <v>48954.460000000014</v>
          </cell>
          <cell r="FW53">
            <v>10185065.830000002</v>
          </cell>
          <cell r="FX53">
            <v>13322081</v>
          </cell>
          <cell r="FY53">
            <v>3284537</v>
          </cell>
          <cell r="FZ53">
            <v>16606618</v>
          </cell>
          <cell r="GF53">
            <v>0</v>
          </cell>
          <cell r="GL53">
            <v>0</v>
          </cell>
          <cell r="GR53">
            <v>0</v>
          </cell>
          <cell r="GX53">
            <v>0</v>
          </cell>
          <cell r="HD53">
            <v>0</v>
          </cell>
          <cell r="HF53">
            <v>40</v>
          </cell>
        </row>
        <row r="54">
          <cell r="A54">
            <v>54</v>
          </cell>
          <cell r="B54">
            <v>38261</v>
          </cell>
          <cell r="C54" t="str">
            <v>200410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30868</v>
          </cell>
          <cell r="FQ54">
            <v>1322</v>
          </cell>
          <cell r="FR54">
            <v>32190</v>
          </cell>
          <cell r="FS54">
            <v>8123588.1300000008</v>
          </cell>
          <cell r="FT54">
            <v>1930754.2799999989</v>
          </cell>
          <cell r="FU54">
            <v>81768.96000000005</v>
          </cell>
          <cell r="FV54">
            <v>48954.460000000014</v>
          </cell>
          <cell r="FW54">
            <v>10185065.830000002</v>
          </cell>
          <cell r="FX54">
            <v>13677412</v>
          </cell>
          <cell r="FY54">
            <v>3365464</v>
          </cell>
          <cell r="FZ54">
            <v>17042876</v>
          </cell>
          <cell r="GF54">
            <v>0</v>
          </cell>
          <cell r="GL54">
            <v>0</v>
          </cell>
          <cell r="GR54">
            <v>0</v>
          </cell>
          <cell r="GX54">
            <v>0</v>
          </cell>
          <cell r="HD54">
            <v>0</v>
          </cell>
          <cell r="HF54">
            <v>41</v>
          </cell>
        </row>
        <row r="55">
          <cell r="A55">
            <v>55</v>
          </cell>
          <cell r="B55">
            <v>38292</v>
          </cell>
          <cell r="C55" t="str">
            <v>200411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16376</v>
          </cell>
          <cell r="FQ55">
            <v>487</v>
          </cell>
          <cell r="FR55">
            <v>16863</v>
          </cell>
          <cell r="FS55">
            <v>8123588.1300000008</v>
          </cell>
          <cell r="FT55">
            <v>1930754.2799999989</v>
          </cell>
          <cell r="FU55">
            <v>81768.96000000005</v>
          </cell>
          <cell r="FV55">
            <v>48954.460000000014</v>
          </cell>
          <cell r="FW55">
            <v>10185065.830000002</v>
          </cell>
          <cell r="FX55">
            <v>14030060</v>
          </cell>
          <cell r="FY55">
            <v>3434905</v>
          </cell>
          <cell r="FZ55">
            <v>17464965</v>
          </cell>
          <cell r="GF55">
            <v>0</v>
          </cell>
          <cell r="GL55">
            <v>0</v>
          </cell>
          <cell r="GR55">
            <v>0</v>
          </cell>
          <cell r="GX55">
            <v>0</v>
          </cell>
          <cell r="HD55">
            <v>0</v>
          </cell>
          <cell r="HF55">
            <v>42</v>
          </cell>
        </row>
        <row r="56">
          <cell r="A56">
            <v>56</v>
          </cell>
          <cell r="B56">
            <v>38322</v>
          </cell>
          <cell r="C56" t="str">
            <v>200412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1413</v>
          </cell>
          <cell r="FQ56">
            <v>63</v>
          </cell>
          <cell r="FR56">
            <v>1476</v>
          </cell>
          <cell r="FS56">
            <v>8123588.1300000008</v>
          </cell>
          <cell r="FT56">
            <v>1930754.2799999989</v>
          </cell>
          <cell r="FU56">
            <v>81768.96000000005</v>
          </cell>
          <cell r="FV56">
            <v>48954.460000000014</v>
          </cell>
          <cell r="FW56">
            <v>10185065.830000002</v>
          </cell>
          <cell r="FX56">
            <v>14352021</v>
          </cell>
          <cell r="FY56">
            <v>3493919</v>
          </cell>
          <cell r="FZ56">
            <v>17845940</v>
          </cell>
          <cell r="GF56">
            <v>0</v>
          </cell>
          <cell r="GL56">
            <v>0</v>
          </cell>
          <cell r="GR56">
            <v>0</v>
          </cell>
          <cell r="GX56">
            <v>0</v>
          </cell>
          <cell r="HD56">
            <v>0</v>
          </cell>
          <cell r="HF56">
            <v>43</v>
          </cell>
        </row>
        <row r="57">
          <cell r="A57">
            <v>57</v>
          </cell>
          <cell r="B57">
            <v>38353</v>
          </cell>
          <cell r="C57" t="str">
            <v>200501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265</v>
          </cell>
          <cell r="FQ57">
            <v>26</v>
          </cell>
          <cell r="FR57">
            <v>291</v>
          </cell>
          <cell r="FS57">
            <v>8123588.1300000008</v>
          </cell>
          <cell r="FT57">
            <v>1930754.2799999989</v>
          </cell>
          <cell r="FU57">
            <v>81768.96000000005</v>
          </cell>
          <cell r="FV57">
            <v>48954.460000000014</v>
          </cell>
          <cell r="FW57">
            <v>10185065.830000002</v>
          </cell>
          <cell r="FX57">
            <v>13277187</v>
          </cell>
          <cell r="FY57">
            <v>3282049</v>
          </cell>
          <cell r="FZ57">
            <v>16559236</v>
          </cell>
          <cell r="GF57">
            <v>0</v>
          </cell>
          <cell r="GL57">
            <v>0</v>
          </cell>
          <cell r="GR57">
            <v>0</v>
          </cell>
          <cell r="GX57">
            <v>0</v>
          </cell>
          <cell r="HD57">
            <v>0</v>
          </cell>
          <cell r="HF57">
            <v>40</v>
          </cell>
        </row>
        <row r="58">
          <cell r="A58">
            <v>58</v>
          </cell>
          <cell r="B58">
            <v>38384</v>
          </cell>
          <cell r="C58" t="str">
            <v>200502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272</v>
          </cell>
          <cell r="FQ58">
            <v>18</v>
          </cell>
          <cell r="FR58">
            <v>290</v>
          </cell>
          <cell r="FS58">
            <v>8123588.1300000008</v>
          </cell>
          <cell r="FT58">
            <v>1930754.2799999989</v>
          </cell>
          <cell r="FU58">
            <v>81768.96000000005</v>
          </cell>
          <cell r="FV58">
            <v>48954.460000000014</v>
          </cell>
          <cell r="FW58">
            <v>10185065.830000002</v>
          </cell>
          <cell r="FX58">
            <v>13646816</v>
          </cell>
          <cell r="FY58">
            <v>3364160</v>
          </cell>
          <cell r="FZ58">
            <v>17010976</v>
          </cell>
          <cell r="GF58">
            <v>0</v>
          </cell>
          <cell r="GL58">
            <v>0</v>
          </cell>
          <cell r="GR58">
            <v>0</v>
          </cell>
          <cell r="GX58">
            <v>0</v>
          </cell>
          <cell r="HD58">
            <v>0</v>
          </cell>
          <cell r="HF58">
            <v>41</v>
          </cell>
        </row>
        <row r="59">
          <cell r="A59">
            <v>59</v>
          </cell>
          <cell r="B59">
            <v>38412</v>
          </cell>
          <cell r="C59" t="str">
            <v>200503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285</v>
          </cell>
          <cell r="FQ59">
            <v>10</v>
          </cell>
          <cell r="FR59">
            <v>295</v>
          </cell>
          <cell r="FS59">
            <v>8123588.1300000008</v>
          </cell>
          <cell r="FT59">
            <v>1930754.2799999989</v>
          </cell>
          <cell r="FU59">
            <v>81768.96000000005</v>
          </cell>
          <cell r="FV59">
            <v>48954.460000000014</v>
          </cell>
          <cell r="FW59">
            <v>10185065.830000002</v>
          </cell>
          <cell r="FX59">
            <v>14013969</v>
          </cell>
          <cell r="FY59">
            <v>3434428</v>
          </cell>
          <cell r="FZ59">
            <v>17448397</v>
          </cell>
          <cell r="GF59">
            <v>0</v>
          </cell>
          <cell r="GL59">
            <v>0</v>
          </cell>
          <cell r="GR59">
            <v>0</v>
          </cell>
          <cell r="GX59">
            <v>0</v>
          </cell>
          <cell r="HD59">
            <v>0</v>
          </cell>
          <cell r="HF59">
            <v>42</v>
          </cell>
        </row>
        <row r="60">
          <cell r="A60">
            <v>60</v>
          </cell>
          <cell r="B60">
            <v>38443</v>
          </cell>
          <cell r="C60" t="str">
            <v>200504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144</v>
          </cell>
          <cell r="FQ60">
            <v>4</v>
          </cell>
          <cell r="FR60">
            <v>148</v>
          </cell>
          <cell r="FS60">
            <v>8123588.1300000008</v>
          </cell>
          <cell r="FT60">
            <v>1930754.2799999989</v>
          </cell>
          <cell r="FU60">
            <v>81768.96000000005</v>
          </cell>
          <cell r="FV60">
            <v>48954.460000000014</v>
          </cell>
          <cell r="FW60">
            <v>10185065.830000002</v>
          </cell>
          <cell r="FX60">
            <v>14350752</v>
          </cell>
          <cell r="FY60">
            <v>3493860</v>
          </cell>
          <cell r="FZ60">
            <v>17844612</v>
          </cell>
          <cell r="GF60">
            <v>0</v>
          </cell>
          <cell r="GL60">
            <v>0</v>
          </cell>
          <cell r="GR60">
            <v>0</v>
          </cell>
          <cell r="GX60">
            <v>0</v>
          </cell>
          <cell r="HD60">
            <v>0</v>
          </cell>
          <cell r="HF60">
            <v>43</v>
          </cell>
        </row>
        <row r="61">
          <cell r="A61">
            <v>61</v>
          </cell>
          <cell r="B61">
            <v>38473</v>
          </cell>
          <cell r="C61" t="str">
            <v>200505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S61">
            <v>8123588.1300000008</v>
          </cell>
          <cell r="FT61">
            <v>1930754.2799999989</v>
          </cell>
          <cell r="FU61">
            <v>81768.96000000005</v>
          </cell>
          <cell r="FV61">
            <v>48954.460000000014</v>
          </cell>
          <cell r="FW61">
            <v>10185065.830000002</v>
          </cell>
          <cell r="FX61">
            <v>14639879</v>
          </cell>
          <cell r="FY61">
            <v>3547206</v>
          </cell>
          <cell r="FZ61">
            <v>18187085</v>
          </cell>
          <cell r="GF61">
            <v>0</v>
          </cell>
          <cell r="GL61">
            <v>0</v>
          </cell>
          <cell r="GR61">
            <v>0</v>
          </cell>
          <cell r="GX61">
            <v>0</v>
          </cell>
          <cell r="HD61">
            <v>0</v>
          </cell>
          <cell r="HF61">
            <v>44</v>
          </cell>
        </row>
        <row r="62">
          <cell r="A62">
            <v>62</v>
          </cell>
          <cell r="B62">
            <v>38504</v>
          </cell>
          <cell r="C62" t="str">
            <v>200506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S62">
            <v>8123588.1300000008</v>
          </cell>
          <cell r="FT62">
            <v>1930754.2799999989</v>
          </cell>
          <cell r="FU62">
            <v>81768.96000000005</v>
          </cell>
          <cell r="FV62">
            <v>48954.460000000014</v>
          </cell>
          <cell r="FW62">
            <v>10185065.830000002</v>
          </cell>
          <cell r="FX62">
            <v>14902526</v>
          </cell>
          <cell r="FY62">
            <v>3589216</v>
          </cell>
          <cell r="FZ62">
            <v>18491742</v>
          </cell>
          <cell r="GF62">
            <v>0</v>
          </cell>
          <cell r="GL62">
            <v>0</v>
          </cell>
          <cell r="GR62">
            <v>0</v>
          </cell>
          <cell r="GX62">
            <v>0</v>
          </cell>
          <cell r="HD62">
            <v>0</v>
          </cell>
          <cell r="HF62">
            <v>45</v>
          </cell>
        </row>
        <row r="63">
          <cell r="A63">
            <v>63</v>
          </cell>
          <cell r="B63">
            <v>38534</v>
          </cell>
          <cell r="C63" t="str">
            <v>200507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S63">
            <v>8123588.1300000008</v>
          </cell>
          <cell r="FT63">
            <v>1930754.2799999989</v>
          </cell>
          <cell r="FU63">
            <v>81768.96000000005</v>
          </cell>
          <cell r="FV63">
            <v>48954.460000000014</v>
          </cell>
          <cell r="FW63">
            <v>10185065.830000002</v>
          </cell>
          <cell r="FX63">
            <v>15144517</v>
          </cell>
          <cell r="FY63">
            <v>3627274</v>
          </cell>
          <cell r="FZ63">
            <v>18771791</v>
          </cell>
          <cell r="GF63">
            <v>0</v>
          </cell>
          <cell r="GL63">
            <v>0</v>
          </cell>
          <cell r="GR63">
            <v>0</v>
          </cell>
          <cell r="GX63">
            <v>0</v>
          </cell>
          <cell r="HD63">
            <v>0</v>
          </cell>
          <cell r="HF63">
            <v>46</v>
          </cell>
        </row>
        <row r="64">
          <cell r="A64">
            <v>64</v>
          </cell>
          <cell r="B64">
            <v>38565</v>
          </cell>
          <cell r="C64" t="str">
            <v>200508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S64">
            <v>8123588.1300000008</v>
          </cell>
          <cell r="FT64">
            <v>1930754.2799999989</v>
          </cell>
          <cell r="FU64">
            <v>81768.96000000005</v>
          </cell>
          <cell r="FV64">
            <v>48954.460000000014</v>
          </cell>
          <cell r="FW64">
            <v>10185065.830000002</v>
          </cell>
          <cell r="FX64">
            <v>15378036</v>
          </cell>
          <cell r="FY64">
            <v>3657788</v>
          </cell>
          <cell r="FZ64">
            <v>19035824</v>
          </cell>
          <cell r="GF64">
            <v>0</v>
          </cell>
          <cell r="GL64">
            <v>0</v>
          </cell>
          <cell r="GR64">
            <v>0</v>
          </cell>
          <cell r="GX64">
            <v>0</v>
          </cell>
          <cell r="HD64">
            <v>0</v>
          </cell>
          <cell r="HF64">
            <v>47</v>
          </cell>
        </row>
        <row r="65">
          <cell r="A65">
            <v>65</v>
          </cell>
          <cell r="B65">
            <v>38596</v>
          </cell>
          <cell r="C65" t="str">
            <v>200509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S65">
            <v>8123588.1300000008</v>
          </cell>
          <cell r="FT65">
            <v>1930754.2799999989</v>
          </cell>
          <cell r="FU65">
            <v>81768.96000000005</v>
          </cell>
          <cell r="FV65">
            <v>48954.460000000014</v>
          </cell>
          <cell r="FW65">
            <v>10185065.830000002</v>
          </cell>
          <cell r="FX65">
            <v>15617841</v>
          </cell>
          <cell r="FY65">
            <v>3680681</v>
          </cell>
          <cell r="FZ65">
            <v>19298522</v>
          </cell>
          <cell r="GF65">
            <v>0</v>
          </cell>
          <cell r="GL65">
            <v>0</v>
          </cell>
          <cell r="GR65">
            <v>0</v>
          </cell>
          <cell r="GX65">
            <v>0</v>
          </cell>
          <cell r="HD65">
            <v>0</v>
          </cell>
          <cell r="HF65">
            <v>48</v>
          </cell>
        </row>
        <row r="66">
          <cell r="A66">
            <v>66</v>
          </cell>
          <cell r="B66">
            <v>38626</v>
          </cell>
          <cell r="C66" t="str">
            <v>200510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S66">
            <v>8123588.1300000008</v>
          </cell>
          <cell r="FT66">
            <v>1930754.2799999989</v>
          </cell>
          <cell r="FU66">
            <v>81768.96000000005</v>
          </cell>
          <cell r="FV66">
            <v>48954.460000000014</v>
          </cell>
          <cell r="FW66">
            <v>10185065.830000002</v>
          </cell>
          <cell r="FX66">
            <v>15831883</v>
          </cell>
          <cell r="FY66">
            <v>3699220</v>
          </cell>
          <cell r="FZ66">
            <v>19531103</v>
          </cell>
          <cell r="GF66">
            <v>0</v>
          </cell>
          <cell r="GL66">
            <v>0</v>
          </cell>
          <cell r="GR66">
            <v>0</v>
          </cell>
          <cell r="GX66">
            <v>0</v>
          </cell>
          <cell r="HD66">
            <v>0</v>
          </cell>
          <cell r="HF66">
            <v>49</v>
          </cell>
        </row>
        <row r="67">
          <cell r="A67">
            <v>67</v>
          </cell>
          <cell r="B67">
            <v>38657</v>
          </cell>
          <cell r="C67" t="str">
            <v>200511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S67">
            <v>8123588.1300000008</v>
          </cell>
          <cell r="FT67">
            <v>1930754.2799999989</v>
          </cell>
          <cell r="FU67">
            <v>81768.96000000005</v>
          </cell>
          <cell r="FV67">
            <v>48954.460000000014</v>
          </cell>
          <cell r="FW67">
            <v>10185065.830000002</v>
          </cell>
          <cell r="FX67">
            <v>15987961</v>
          </cell>
          <cell r="FY67">
            <v>3711473</v>
          </cell>
          <cell r="FZ67">
            <v>19699434</v>
          </cell>
          <cell r="GF67">
            <v>0</v>
          </cell>
          <cell r="GL67">
            <v>0</v>
          </cell>
          <cell r="GR67">
            <v>0</v>
          </cell>
          <cell r="GX67">
            <v>0</v>
          </cell>
          <cell r="HD67">
            <v>0</v>
          </cell>
          <cell r="HF67">
            <v>50</v>
          </cell>
        </row>
        <row r="68">
          <cell r="A68">
            <v>68</v>
          </cell>
          <cell r="B68">
            <v>38687</v>
          </cell>
          <cell r="C68" t="str">
            <v>200512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S68">
            <v>8123588.1300000008</v>
          </cell>
          <cell r="FT68">
            <v>1930754.2799999989</v>
          </cell>
          <cell r="FU68">
            <v>81768.96000000005</v>
          </cell>
          <cell r="FV68">
            <v>48954.460000000014</v>
          </cell>
          <cell r="FW68">
            <v>10185065.830000002</v>
          </cell>
          <cell r="FX68">
            <v>16077579</v>
          </cell>
          <cell r="FY68">
            <v>3719462</v>
          </cell>
          <cell r="FZ68">
            <v>19797041</v>
          </cell>
          <cell r="GF68">
            <v>0</v>
          </cell>
          <cell r="GL68">
            <v>0</v>
          </cell>
          <cell r="GR68">
            <v>0</v>
          </cell>
          <cell r="GX68">
            <v>0</v>
          </cell>
          <cell r="HD68">
            <v>0</v>
          </cell>
          <cell r="HF68">
            <v>51</v>
          </cell>
        </row>
      </sheetData>
      <sheetData sheetId="11" refreshError="1"/>
      <sheetData sheetId="12">
        <row r="5">
          <cell r="A5">
            <v>1141818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 seguros total"/>
      <sheetName val="Personales 20-06"/>
      <sheetName val="Pmos Individuos"/>
      <sheetName val="Pers orig."/>
      <sheetName val="Hipot."/>
      <sheetName val="Pmos Hipotec."/>
      <sheetName val="T.C. final"/>
      <sheetName val="Tarjetas"/>
      <sheetName val="Tarjetas orig."/>
      <sheetName val="Seguros total"/>
      <sheetName val="Personales_20-06"/>
      <sheetName val="Pmos_Individuos"/>
      <sheetName val="Pers_orig_"/>
      <sheetName val="Hipot_"/>
      <sheetName val="Pmos_Hipotec_"/>
      <sheetName val="T_C__final"/>
      <sheetName val="Tarjetas_orig_"/>
      <sheetName val="Dist__seguros_total"/>
      <sheetName val="Seguros_total"/>
      <sheetName val="Lead"/>
      <sheetName val="Resultados"/>
      <sheetName val="ASIENTO FDO GTIA."/>
      <sheetName val="Assumptions"/>
      <sheetName val="04-06-01"/>
      <sheetName val="Proforma (US$)"/>
      <sheetName val="XREF"/>
      <sheetName val="Pg Am"/>
    </sheetNames>
    <sheetDataSet>
      <sheetData sheetId="0" refreshError="1">
        <row r="3">
          <cell r="A3">
            <v>0</v>
          </cell>
          <cell r="B3">
            <v>5.3600000000000002E-2</v>
          </cell>
          <cell r="C3">
            <v>16</v>
          </cell>
          <cell r="D3">
            <v>16</v>
          </cell>
          <cell r="E3">
            <v>19</v>
          </cell>
          <cell r="F3">
            <v>21</v>
          </cell>
          <cell r="G3">
            <v>21</v>
          </cell>
          <cell r="H3">
            <v>21</v>
          </cell>
          <cell r="I3">
            <v>46</v>
          </cell>
          <cell r="J3">
            <v>46</v>
          </cell>
          <cell r="K3">
            <v>51</v>
          </cell>
          <cell r="L3">
            <v>72</v>
          </cell>
          <cell r="M3">
            <v>72</v>
          </cell>
          <cell r="N3">
            <v>72</v>
          </cell>
          <cell r="O3">
            <v>473</v>
          </cell>
        </row>
        <row r="4">
          <cell r="A4">
            <v>1</v>
          </cell>
          <cell r="B4">
            <v>1.8800000000000001E-2</v>
          </cell>
          <cell r="C4">
            <v>6</v>
          </cell>
          <cell r="D4">
            <v>6</v>
          </cell>
          <cell r="E4">
            <v>7</v>
          </cell>
          <cell r="F4">
            <v>7</v>
          </cell>
          <cell r="G4">
            <v>7</v>
          </cell>
          <cell r="H4">
            <v>7</v>
          </cell>
          <cell r="I4">
            <v>16</v>
          </cell>
          <cell r="J4">
            <v>16</v>
          </cell>
          <cell r="K4">
            <v>18</v>
          </cell>
          <cell r="L4">
            <v>25</v>
          </cell>
          <cell r="M4">
            <v>25</v>
          </cell>
          <cell r="N4">
            <v>25</v>
          </cell>
          <cell r="O4">
            <v>165</v>
          </cell>
        </row>
        <row r="5">
          <cell r="A5">
            <v>2</v>
          </cell>
          <cell r="B5">
            <v>1.8800000000000001E-2</v>
          </cell>
          <cell r="C5">
            <v>6</v>
          </cell>
          <cell r="D5">
            <v>6</v>
          </cell>
          <cell r="E5">
            <v>7</v>
          </cell>
          <cell r="F5">
            <v>7</v>
          </cell>
          <cell r="G5">
            <v>7</v>
          </cell>
          <cell r="H5">
            <v>7</v>
          </cell>
          <cell r="I5">
            <v>16</v>
          </cell>
          <cell r="J5">
            <v>16</v>
          </cell>
          <cell r="K5">
            <v>18</v>
          </cell>
          <cell r="L5">
            <v>25</v>
          </cell>
          <cell r="M5">
            <v>25</v>
          </cell>
          <cell r="N5">
            <v>25</v>
          </cell>
          <cell r="O5">
            <v>165</v>
          </cell>
        </row>
        <row r="6">
          <cell r="A6">
            <v>3</v>
          </cell>
          <cell r="B6">
            <v>1.5599999999999999E-2</v>
          </cell>
          <cell r="C6">
            <v>5</v>
          </cell>
          <cell r="D6">
            <v>5</v>
          </cell>
          <cell r="E6">
            <v>5</v>
          </cell>
          <cell r="F6">
            <v>6</v>
          </cell>
          <cell r="G6">
            <v>6</v>
          </cell>
          <cell r="H6">
            <v>6</v>
          </cell>
          <cell r="I6">
            <v>14</v>
          </cell>
          <cell r="J6">
            <v>14</v>
          </cell>
          <cell r="K6">
            <v>15</v>
          </cell>
          <cell r="L6">
            <v>21</v>
          </cell>
          <cell r="M6">
            <v>21</v>
          </cell>
          <cell r="N6">
            <v>21</v>
          </cell>
          <cell r="O6">
            <v>139</v>
          </cell>
        </row>
        <row r="7">
          <cell r="A7">
            <v>4</v>
          </cell>
          <cell r="B7">
            <v>1.72E-2</v>
          </cell>
          <cell r="C7">
            <v>5</v>
          </cell>
          <cell r="D7">
            <v>5</v>
          </cell>
          <cell r="E7">
            <v>6</v>
          </cell>
          <cell r="F7">
            <v>7</v>
          </cell>
          <cell r="G7">
            <v>7</v>
          </cell>
          <cell r="H7">
            <v>7</v>
          </cell>
          <cell r="I7">
            <v>15</v>
          </cell>
          <cell r="J7">
            <v>15</v>
          </cell>
          <cell r="K7">
            <v>16</v>
          </cell>
          <cell r="L7">
            <v>23</v>
          </cell>
          <cell r="M7">
            <v>23</v>
          </cell>
          <cell r="N7">
            <v>23</v>
          </cell>
          <cell r="O7">
            <v>152</v>
          </cell>
        </row>
        <row r="8">
          <cell r="A8">
            <v>5</v>
          </cell>
          <cell r="B8">
            <v>1.44E-2</v>
          </cell>
          <cell r="C8">
            <v>4</v>
          </cell>
          <cell r="D8">
            <v>4</v>
          </cell>
          <cell r="E8">
            <v>5</v>
          </cell>
          <cell r="F8">
            <v>5</v>
          </cell>
          <cell r="G8">
            <v>5</v>
          </cell>
          <cell r="H8">
            <v>5</v>
          </cell>
          <cell r="I8">
            <v>12</v>
          </cell>
          <cell r="J8">
            <v>12</v>
          </cell>
          <cell r="K8">
            <v>14</v>
          </cell>
          <cell r="L8">
            <v>19</v>
          </cell>
          <cell r="M8">
            <v>19</v>
          </cell>
          <cell r="N8">
            <v>19</v>
          </cell>
          <cell r="O8">
            <v>123</v>
          </cell>
        </row>
        <row r="9">
          <cell r="A9">
            <v>6</v>
          </cell>
          <cell r="B9">
            <v>1.72E-2</v>
          </cell>
          <cell r="C9">
            <v>5</v>
          </cell>
          <cell r="D9">
            <v>5</v>
          </cell>
          <cell r="E9">
            <v>6</v>
          </cell>
          <cell r="F9">
            <v>7</v>
          </cell>
          <cell r="G9">
            <v>7</v>
          </cell>
          <cell r="H9">
            <v>7</v>
          </cell>
          <cell r="I9">
            <v>15</v>
          </cell>
          <cell r="J9">
            <v>15</v>
          </cell>
          <cell r="K9">
            <v>16</v>
          </cell>
          <cell r="L9">
            <v>23</v>
          </cell>
          <cell r="M9">
            <v>23</v>
          </cell>
          <cell r="N9">
            <v>23</v>
          </cell>
          <cell r="O9">
            <v>152</v>
          </cell>
        </row>
        <row r="10">
          <cell r="A10">
            <v>8</v>
          </cell>
          <cell r="B10">
            <v>2.24E-2</v>
          </cell>
          <cell r="C10">
            <v>7</v>
          </cell>
          <cell r="D10">
            <v>7</v>
          </cell>
          <cell r="E10">
            <v>8</v>
          </cell>
          <cell r="F10">
            <v>8</v>
          </cell>
          <cell r="G10">
            <v>8</v>
          </cell>
          <cell r="H10">
            <v>8</v>
          </cell>
          <cell r="I10">
            <v>19</v>
          </cell>
          <cell r="J10">
            <v>19</v>
          </cell>
          <cell r="K10">
            <v>21</v>
          </cell>
          <cell r="L10">
            <v>30</v>
          </cell>
          <cell r="M10">
            <v>30</v>
          </cell>
          <cell r="N10">
            <v>30</v>
          </cell>
          <cell r="O10">
            <v>195</v>
          </cell>
        </row>
        <row r="11">
          <cell r="A11">
            <v>21</v>
          </cell>
          <cell r="B11">
            <v>5.1999999999999998E-3</v>
          </cell>
          <cell r="C11">
            <v>2</v>
          </cell>
          <cell r="D11">
            <v>2</v>
          </cell>
          <cell r="E11">
            <v>2</v>
          </cell>
          <cell r="F11">
            <v>2</v>
          </cell>
          <cell r="G11">
            <v>2</v>
          </cell>
          <cell r="H11">
            <v>2</v>
          </cell>
          <cell r="I11">
            <v>4</v>
          </cell>
          <cell r="J11">
            <v>4</v>
          </cell>
          <cell r="K11">
            <v>5</v>
          </cell>
          <cell r="L11">
            <v>7</v>
          </cell>
          <cell r="M11">
            <v>7</v>
          </cell>
          <cell r="N11">
            <v>7</v>
          </cell>
          <cell r="O11">
            <v>46</v>
          </cell>
        </row>
        <row r="12">
          <cell r="A12">
            <v>22</v>
          </cell>
          <cell r="B12">
            <v>2.1999999999999999E-2</v>
          </cell>
          <cell r="C12">
            <v>7</v>
          </cell>
          <cell r="D12">
            <v>7</v>
          </cell>
          <cell r="E12">
            <v>8</v>
          </cell>
          <cell r="F12">
            <v>8</v>
          </cell>
          <cell r="G12">
            <v>8</v>
          </cell>
          <cell r="H12">
            <v>8</v>
          </cell>
          <cell r="I12">
            <v>19</v>
          </cell>
          <cell r="J12">
            <v>19</v>
          </cell>
          <cell r="K12">
            <v>21</v>
          </cell>
          <cell r="L12">
            <v>30</v>
          </cell>
          <cell r="M12">
            <v>30</v>
          </cell>
          <cell r="N12">
            <v>30</v>
          </cell>
          <cell r="O12">
            <v>195</v>
          </cell>
        </row>
        <row r="13">
          <cell r="A13">
            <v>23</v>
          </cell>
          <cell r="B13">
            <v>1.6E-2</v>
          </cell>
          <cell r="C13">
            <v>5</v>
          </cell>
          <cell r="D13">
            <v>5</v>
          </cell>
          <cell r="E13">
            <v>5</v>
          </cell>
          <cell r="F13">
            <v>6</v>
          </cell>
          <cell r="G13">
            <v>6</v>
          </cell>
          <cell r="H13">
            <v>6</v>
          </cell>
          <cell r="I13">
            <v>14</v>
          </cell>
          <cell r="J13">
            <v>14</v>
          </cell>
          <cell r="K13">
            <v>15</v>
          </cell>
          <cell r="L13">
            <v>22</v>
          </cell>
          <cell r="M13">
            <v>22</v>
          </cell>
          <cell r="N13">
            <v>22</v>
          </cell>
          <cell r="O13">
            <v>142</v>
          </cell>
        </row>
        <row r="14">
          <cell r="A14">
            <v>24</v>
          </cell>
          <cell r="B14">
            <v>1.6E-2</v>
          </cell>
          <cell r="C14">
            <v>5</v>
          </cell>
          <cell r="D14">
            <v>5</v>
          </cell>
          <cell r="E14">
            <v>5</v>
          </cell>
          <cell r="F14">
            <v>6</v>
          </cell>
          <cell r="G14">
            <v>6</v>
          </cell>
          <cell r="H14">
            <v>6</v>
          </cell>
          <cell r="I14">
            <v>14</v>
          </cell>
          <cell r="J14">
            <v>14</v>
          </cell>
          <cell r="K14">
            <v>15</v>
          </cell>
          <cell r="L14">
            <v>22</v>
          </cell>
          <cell r="M14">
            <v>22</v>
          </cell>
          <cell r="N14">
            <v>22</v>
          </cell>
          <cell r="O14">
            <v>142</v>
          </cell>
        </row>
        <row r="15">
          <cell r="A15">
            <v>25</v>
          </cell>
          <cell r="B15">
            <v>1.72E-2</v>
          </cell>
          <cell r="C15">
            <v>5</v>
          </cell>
          <cell r="D15">
            <v>5</v>
          </cell>
          <cell r="E15">
            <v>6</v>
          </cell>
          <cell r="F15">
            <v>7</v>
          </cell>
          <cell r="G15">
            <v>7</v>
          </cell>
          <cell r="H15">
            <v>7</v>
          </cell>
          <cell r="I15">
            <v>15</v>
          </cell>
          <cell r="J15">
            <v>15</v>
          </cell>
          <cell r="K15">
            <v>16</v>
          </cell>
          <cell r="L15">
            <v>23</v>
          </cell>
          <cell r="M15">
            <v>23</v>
          </cell>
          <cell r="N15">
            <v>23</v>
          </cell>
          <cell r="O15">
            <v>152</v>
          </cell>
        </row>
        <row r="16">
          <cell r="A16">
            <v>26</v>
          </cell>
          <cell r="B16">
            <v>1.52E-2</v>
          </cell>
          <cell r="C16">
            <v>5</v>
          </cell>
          <cell r="D16">
            <v>5</v>
          </cell>
          <cell r="E16">
            <v>5</v>
          </cell>
          <cell r="F16">
            <v>6</v>
          </cell>
          <cell r="G16">
            <v>6</v>
          </cell>
          <cell r="H16">
            <v>6</v>
          </cell>
          <cell r="I16">
            <v>13</v>
          </cell>
          <cell r="J16">
            <v>13</v>
          </cell>
          <cell r="K16">
            <v>14</v>
          </cell>
          <cell r="L16">
            <v>21</v>
          </cell>
          <cell r="M16">
            <v>21</v>
          </cell>
          <cell r="N16">
            <v>21</v>
          </cell>
          <cell r="O16">
            <v>136</v>
          </cell>
        </row>
        <row r="17">
          <cell r="A17">
            <v>27</v>
          </cell>
          <cell r="B17">
            <v>7.1999999999999998E-3</v>
          </cell>
          <cell r="C17">
            <v>2</v>
          </cell>
          <cell r="D17">
            <v>2</v>
          </cell>
          <cell r="E17">
            <v>3</v>
          </cell>
          <cell r="F17">
            <v>3</v>
          </cell>
          <cell r="G17">
            <v>3</v>
          </cell>
          <cell r="H17">
            <v>3</v>
          </cell>
          <cell r="I17">
            <v>6</v>
          </cell>
          <cell r="J17">
            <v>6</v>
          </cell>
          <cell r="K17">
            <v>7</v>
          </cell>
          <cell r="L17">
            <v>10</v>
          </cell>
          <cell r="M17">
            <v>10</v>
          </cell>
          <cell r="N17">
            <v>10</v>
          </cell>
          <cell r="O17">
            <v>65</v>
          </cell>
        </row>
        <row r="18">
          <cell r="A18">
            <v>28</v>
          </cell>
          <cell r="B18">
            <v>1.6799999999999999E-2</v>
          </cell>
          <cell r="C18">
            <v>5</v>
          </cell>
          <cell r="D18">
            <v>5</v>
          </cell>
          <cell r="E18">
            <v>6</v>
          </cell>
          <cell r="F18">
            <v>6</v>
          </cell>
          <cell r="G18">
            <v>6</v>
          </cell>
          <cell r="H18">
            <v>6</v>
          </cell>
          <cell r="I18">
            <v>14</v>
          </cell>
          <cell r="J18">
            <v>14</v>
          </cell>
          <cell r="K18">
            <v>16</v>
          </cell>
          <cell r="L18">
            <v>23</v>
          </cell>
          <cell r="M18">
            <v>23</v>
          </cell>
          <cell r="N18">
            <v>23</v>
          </cell>
          <cell r="O18">
            <v>147</v>
          </cell>
        </row>
        <row r="19">
          <cell r="A19">
            <v>30</v>
          </cell>
          <cell r="B19">
            <v>1.32E-2</v>
          </cell>
          <cell r="C19">
            <v>4</v>
          </cell>
          <cell r="D19">
            <v>4</v>
          </cell>
          <cell r="E19">
            <v>5</v>
          </cell>
          <cell r="F19">
            <v>5</v>
          </cell>
          <cell r="G19">
            <v>5</v>
          </cell>
          <cell r="H19">
            <v>5</v>
          </cell>
          <cell r="I19">
            <v>11</v>
          </cell>
          <cell r="J19">
            <v>11</v>
          </cell>
          <cell r="K19">
            <v>13</v>
          </cell>
          <cell r="L19">
            <v>18</v>
          </cell>
          <cell r="M19">
            <v>18</v>
          </cell>
          <cell r="N19">
            <v>18</v>
          </cell>
          <cell r="O19">
            <v>117</v>
          </cell>
        </row>
        <row r="20">
          <cell r="A20">
            <v>31</v>
          </cell>
          <cell r="B20">
            <v>6.0000000000000001E-3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5</v>
          </cell>
          <cell r="J20">
            <v>5</v>
          </cell>
          <cell r="K20">
            <v>6</v>
          </cell>
          <cell r="L20">
            <v>8</v>
          </cell>
          <cell r="M20">
            <v>8</v>
          </cell>
          <cell r="N20">
            <v>8</v>
          </cell>
          <cell r="O20">
            <v>52</v>
          </cell>
        </row>
        <row r="21">
          <cell r="A21">
            <v>32</v>
          </cell>
          <cell r="B21">
            <v>1.6000000000000001E-3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16</v>
          </cell>
        </row>
        <row r="22">
          <cell r="A22">
            <v>33</v>
          </cell>
          <cell r="B22">
            <v>0.01</v>
          </cell>
          <cell r="C22">
            <v>3</v>
          </cell>
          <cell r="D22">
            <v>3</v>
          </cell>
          <cell r="E22">
            <v>4</v>
          </cell>
          <cell r="F22">
            <v>4</v>
          </cell>
          <cell r="G22">
            <v>4</v>
          </cell>
          <cell r="H22">
            <v>4</v>
          </cell>
          <cell r="I22">
            <v>9</v>
          </cell>
          <cell r="J22">
            <v>9</v>
          </cell>
          <cell r="K22">
            <v>10</v>
          </cell>
          <cell r="L22">
            <v>14</v>
          </cell>
          <cell r="M22">
            <v>14</v>
          </cell>
          <cell r="N22">
            <v>14</v>
          </cell>
          <cell r="O22">
            <v>92</v>
          </cell>
        </row>
        <row r="23">
          <cell r="A23">
            <v>34</v>
          </cell>
          <cell r="B23">
            <v>5.1999999999999998E-3</v>
          </cell>
          <cell r="C23">
            <v>2</v>
          </cell>
          <cell r="D23">
            <v>2</v>
          </cell>
          <cell r="E23">
            <v>2</v>
          </cell>
          <cell r="F23">
            <v>2</v>
          </cell>
          <cell r="G23">
            <v>2</v>
          </cell>
          <cell r="H23">
            <v>2</v>
          </cell>
          <cell r="I23">
            <v>4</v>
          </cell>
          <cell r="J23">
            <v>4</v>
          </cell>
          <cell r="K23">
            <v>5</v>
          </cell>
          <cell r="L23">
            <v>7</v>
          </cell>
          <cell r="M23">
            <v>7</v>
          </cell>
          <cell r="N23">
            <v>7</v>
          </cell>
          <cell r="O23">
            <v>46</v>
          </cell>
        </row>
        <row r="24">
          <cell r="A24">
            <v>35</v>
          </cell>
          <cell r="B24">
            <v>4.4000000000000003E-3</v>
          </cell>
          <cell r="C24">
            <v>1</v>
          </cell>
          <cell r="D24">
            <v>1</v>
          </cell>
          <cell r="E24">
            <v>2</v>
          </cell>
          <cell r="F24">
            <v>2</v>
          </cell>
          <cell r="G24">
            <v>2</v>
          </cell>
          <cell r="H24">
            <v>2</v>
          </cell>
          <cell r="I24">
            <v>4</v>
          </cell>
          <cell r="J24">
            <v>4</v>
          </cell>
          <cell r="K24">
            <v>4</v>
          </cell>
          <cell r="L24">
            <v>6</v>
          </cell>
          <cell r="M24">
            <v>6</v>
          </cell>
          <cell r="N24">
            <v>6</v>
          </cell>
          <cell r="O24">
            <v>40</v>
          </cell>
        </row>
        <row r="25">
          <cell r="A25">
            <v>36</v>
          </cell>
          <cell r="B25">
            <v>1.04E-2</v>
          </cell>
          <cell r="C25">
            <v>3</v>
          </cell>
          <cell r="D25">
            <v>3</v>
          </cell>
          <cell r="E25">
            <v>4</v>
          </cell>
          <cell r="F25">
            <v>4</v>
          </cell>
          <cell r="G25">
            <v>4</v>
          </cell>
          <cell r="H25">
            <v>4</v>
          </cell>
          <cell r="I25">
            <v>9</v>
          </cell>
          <cell r="J25">
            <v>9</v>
          </cell>
          <cell r="K25">
            <v>10</v>
          </cell>
          <cell r="L25">
            <v>14</v>
          </cell>
          <cell r="M25">
            <v>14</v>
          </cell>
          <cell r="N25">
            <v>14</v>
          </cell>
          <cell r="O25">
            <v>92</v>
          </cell>
        </row>
        <row r="26">
          <cell r="A26">
            <v>37</v>
          </cell>
          <cell r="B26">
            <v>2.8E-3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2</v>
          </cell>
          <cell r="J26">
            <v>2</v>
          </cell>
          <cell r="K26">
            <v>3</v>
          </cell>
          <cell r="L26">
            <v>4</v>
          </cell>
          <cell r="M26">
            <v>4</v>
          </cell>
          <cell r="N26">
            <v>4</v>
          </cell>
          <cell r="O26">
            <v>25</v>
          </cell>
        </row>
        <row r="27">
          <cell r="A27">
            <v>38</v>
          </cell>
          <cell r="B27">
            <v>4.0000000000000001E-3</v>
          </cell>
          <cell r="C27">
            <v>1</v>
          </cell>
          <cell r="D27">
            <v>1</v>
          </cell>
          <cell r="E27">
            <v>1</v>
          </cell>
          <cell r="F27">
            <v>2</v>
          </cell>
          <cell r="G27">
            <v>2</v>
          </cell>
          <cell r="H27">
            <v>2</v>
          </cell>
          <cell r="I27">
            <v>3</v>
          </cell>
          <cell r="J27">
            <v>3</v>
          </cell>
          <cell r="K27">
            <v>4</v>
          </cell>
          <cell r="L27">
            <v>5</v>
          </cell>
          <cell r="M27">
            <v>5</v>
          </cell>
          <cell r="N27">
            <v>5</v>
          </cell>
          <cell r="O27">
            <v>34</v>
          </cell>
        </row>
        <row r="28">
          <cell r="A28">
            <v>40</v>
          </cell>
          <cell r="B28">
            <v>2.8E-3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2</v>
          </cell>
          <cell r="J28">
            <v>2</v>
          </cell>
          <cell r="K28">
            <v>3</v>
          </cell>
          <cell r="L28">
            <v>4</v>
          </cell>
          <cell r="M28">
            <v>4</v>
          </cell>
          <cell r="N28">
            <v>4</v>
          </cell>
          <cell r="O28">
            <v>25</v>
          </cell>
        </row>
        <row r="29">
          <cell r="A29">
            <v>41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A30">
            <v>42</v>
          </cell>
          <cell r="B30">
            <v>8.0000000000000002E-3</v>
          </cell>
          <cell r="C30">
            <v>2</v>
          </cell>
          <cell r="D30">
            <v>2</v>
          </cell>
          <cell r="E30">
            <v>3</v>
          </cell>
          <cell r="F30">
            <v>3</v>
          </cell>
          <cell r="G30">
            <v>3</v>
          </cell>
          <cell r="H30">
            <v>3</v>
          </cell>
          <cell r="I30">
            <v>7</v>
          </cell>
          <cell r="J30">
            <v>7</v>
          </cell>
          <cell r="K30">
            <v>8</v>
          </cell>
          <cell r="L30">
            <v>11</v>
          </cell>
          <cell r="M30">
            <v>11</v>
          </cell>
          <cell r="N30">
            <v>11</v>
          </cell>
          <cell r="O30">
            <v>71</v>
          </cell>
        </row>
        <row r="31">
          <cell r="A31">
            <v>43</v>
          </cell>
          <cell r="B31">
            <v>5.1999999999999998E-3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4</v>
          </cell>
          <cell r="J31">
            <v>4</v>
          </cell>
          <cell r="K31">
            <v>5</v>
          </cell>
          <cell r="L31">
            <v>7</v>
          </cell>
          <cell r="M31">
            <v>7</v>
          </cell>
          <cell r="N31">
            <v>7</v>
          </cell>
          <cell r="O31">
            <v>46</v>
          </cell>
        </row>
        <row r="32">
          <cell r="A32">
            <v>44</v>
          </cell>
          <cell r="B32">
            <v>2.8E-3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2</v>
          </cell>
          <cell r="J32">
            <v>2</v>
          </cell>
          <cell r="K32">
            <v>3</v>
          </cell>
          <cell r="L32">
            <v>4</v>
          </cell>
          <cell r="M32">
            <v>4</v>
          </cell>
          <cell r="N32">
            <v>4</v>
          </cell>
          <cell r="O32">
            <v>25</v>
          </cell>
        </row>
        <row r="33">
          <cell r="A33">
            <v>45</v>
          </cell>
          <cell r="B33">
            <v>4.7999999999999996E-3</v>
          </cell>
          <cell r="C33">
            <v>1</v>
          </cell>
          <cell r="D33">
            <v>1</v>
          </cell>
          <cell r="E33">
            <v>1</v>
          </cell>
          <cell r="F33">
            <v>2</v>
          </cell>
          <cell r="G33">
            <v>2</v>
          </cell>
          <cell r="H33">
            <v>2</v>
          </cell>
          <cell r="I33">
            <v>4</v>
          </cell>
          <cell r="J33">
            <v>4</v>
          </cell>
          <cell r="K33">
            <v>5</v>
          </cell>
          <cell r="L33">
            <v>6</v>
          </cell>
          <cell r="M33">
            <v>6</v>
          </cell>
          <cell r="N33">
            <v>6</v>
          </cell>
          <cell r="O33">
            <v>40</v>
          </cell>
        </row>
        <row r="34">
          <cell r="A34">
            <v>46</v>
          </cell>
          <cell r="B34">
            <v>4.0000000000000001E-3</v>
          </cell>
          <cell r="C34">
            <v>1</v>
          </cell>
          <cell r="D34">
            <v>1</v>
          </cell>
          <cell r="E34">
            <v>1</v>
          </cell>
          <cell r="F34">
            <v>2</v>
          </cell>
          <cell r="G34">
            <v>2</v>
          </cell>
          <cell r="H34">
            <v>2</v>
          </cell>
          <cell r="I34">
            <v>3</v>
          </cell>
          <cell r="J34">
            <v>3</v>
          </cell>
          <cell r="K34">
            <v>4</v>
          </cell>
          <cell r="L34">
            <v>5</v>
          </cell>
          <cell r="M34">
            <v>5</v>
          </cell>
          <cell r="N34">
            <v>5</v>
          </cell>
          <cell r="O34">
            <v>34</v>
          </cell>
        </row>
        <row r="35">
          <cell r="A35">
            <v>48</v>
          </cell>
          <cell r="B35">
            <v>4.4000000000000003E-3</v>
          </cell>
          <cell r="C35">
            <v>1</v>
          </cell>
          <cell r="D35">
            <v>1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4</v>
          </cell>
          <cell r="J35">
            <v>4</v>
          </cell>
          <cell r="K35">
            <v>4</v>
          </cell>
          <cell r="L35">
            <v>6</v>
          </cell>
          <cell r="M35">
            <v>6</v>
          </cell>
          <cell r="N35">
            <v>6</v>
          </cell>
          <cell r="O35">
            <v>40</v>
          </cell>
        </row>
        <row r="36">
          <cell r="A36">
            <v>50</v>
          </cell>
          <cell r="B36">
            <v>9.5999999999999992E-3</v>
          </cell>
          <cell r="C36">
            <v>3</v>
          </cell>
          <cell r="D36">
            <v>3</v>
          </cell>
          <cell r="E36">
            <v>3</v>
          </cell>
          <cell r="F36">
            <v>4</v>
          </cell>
          <cell r="G36">
            <v>4</v>
          </cell>
          <cell r="H36">
            <v>4</v>
          </cell>
          <cell r="I36">
            <v>8</v>
          </cell>
          <cell r="J36">
            <v>8</v>
          </cell>
          <cell r="K36">
            <v>9</v>
          </cell>
          <cell r="L36">
            <v>13</v>
          </cell>
          <cell r="M36">
            <v>13</v>
          </cell>
          <cell r="N36">
            <v>13</v>
          </cell>
          <cell r="O36">
            <v>85</v>
          </cell>
        </row>
        <row r="37">
          <cell r="A37">
            <v>51</v>
          </cell>
          <cell r="B37">
            <v>2E-3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2</v>
          </cell>
          <cell r="J37">
            <v>2</v>
          </cell>
          <cell r="K37">
            <v>2</v>
          </cell>
          <cell r="L37">
            <v>3</v>
          </cell>
          <cell r="M37">
            <v>3</v>
          </cell>
          <cell r="N37">
            <v>3</v>
          </cell>
          <cell r="O37">
            <v>21</v>
          </cell>
        </row>
        <row r="38">
          <cell r="A38">
            <v>54</v>
          </cell>
          <cell r="B38">
            <v>4.0000000000000001E-3</v>
          </cell>
          <cell r="C38">
            <v>1</v>
          </cell>
          <cell r="D38">
            <v>1</v>
          </cell>
          <cell r="E38">
            <v>1</v>
          </cell>
          <cell r="F38">
            <v>2</v>
          </cell>
          <cell r="G38">
            <v>2</v>
          </cell>
          <cell r="H38">
            <v>2</v>
          </cell>
          <cell r="I38">
            <v>3</v>
          </cell>
          <cell r="J38">
            <v>3</v>
          </cell>
          <cell r="K38">
            <v>4</v>
          </cell>
          <cell r="L38">
            <v>5</v>
          </cell>
          <cell r="M38">
            <v>5</v>
          </cell>
          <cell r="N38">
            <v>5</v>
          </cell>
          <cell r="O38">
            <v>34</v>
          </cell>
        </row>
        <row r="39">
          <cell r="A39">
            <v>55</v>
          </cell>
          <cell r="B39">
            <v>4.7999999999999996E-3</v>
          </cell>
          <cell r="C39">
            <v>1</v>
          </cell>
          <cell r="D39">
            <v>1</v>
          </cell>
          <cell r="E39">
            <v>1</v>
          </cell>
          <cell r="F39">
            <v>2</v>
          </cell>
          <cell r="G39">
            <v>2</v>
          </cell>
          <cell r="H39">
            <v>2</v>
          </cell>
          <cell r="I39">
            <v>4</v>
          </cell>
          <cell r="J39">
            <v>4</v>
          </cell>
          <cell r="K39">
            <v>5</v>
          </cell>
          <cell r="L39">
            <v>6</v>
          </cell>
          <cell r="M39">
            <v>6</v>
          </cell>
          <cell r="N39">
            <v>6</v>
          </cell>
          <cell r="O39">
            <v>40</v>
          </cell>
        </row>
        <row r="40">
          <cell r="A40">
            <v>56</v>
          </cell>
          <cell r="B40">
            <v>8.3999999999999995E-3</v>
          </cell>
          <cell r="C40">
            <v>2</v>
          </cell>
          <cell r="D40">
            <v>2</v>
          </cell>
          <cell r="E40">
            <v>3</v>
          </cell>
          <cell r="F40">
            <v>3</v>
          </cell>
          <cell r="G40">
            <v>3</v>
          </cell>
          <cell r="H40">
            <v>3</v>
          </cell>
          <cell r="I40">
            <v>7</v>
          </cell>
          <cell r="J40">
            <v>7</v>
          </cell>
          <cell r="K40">
            <v>8</v>
          </cell>
          <cell r="L40">
            <v>11</v>
          </cell>
          <cell r="M40">
            <v>11</v>
          </cell>
          <cell r="N40">
            <v>11</v>
          </cell>
          <cell r="O40">
            <v>71</v>
          </cell>
        </row>
        <row r="41">
          <cell r="A41">
            <v>57</v>
          </cell>
          <cell r="B41">
            <v>4.4000000000000003E-3</v>
          </cell>
          <cell r="C41">
            <v>1</v>
          </cell>
          <cell r="D41">
            <v>1</v>
          </cell>
          <cell r="E41">
            <v>2</v>
          </cell>
          <cell r="F41">
            <v>2</v>
          </cell>
          <cell r="G41">
            <v>2</v>
          </cell>
          <cell r="H41">
            <v>2</v>
          </cell>
          <cell r="I41">
            <v>4</v>
          </cell>
          <cell r="J41">
            <v>4</v>
          </cell>
          <cell r="K41">
            <v>4</v>
          </cell>
          <cell r="L41">
            <v>6</v>
          </cell>
          <cell r="M41">
            <v>6</v>
          </cell>
          <cell r="N41">
            <v>6</v>
          </cell>
          <cell r="O41">
            <v>40</v>
          </cell>
        </row>
        <row r="42">
          <cell r="A42">
            <v>58</v>
          </cell>
          <cell r="B42">
            <v>2E-3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2</v>
          </cell>
          <cell r="J42">
            <v>2</v>
          </cell>
          <cell r="K42">
            <v>2</v>
          </cell>
          <cell r="L42">
            <v>3</v>
          </cell>
          <cell r="M42">
            <v>3</v>
          </cell>
          <cell r="N42">
            <v>3</v>
          </cell>
          <cell r="O42">
            <v>21</v>
          </cell>
        </row>
        <row r="43">
          <cell r="A43">
            <v>59</v>
          </cell>
          <cell r="B43">
            <v>2E-3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2</v>
          </cell>
          <cell r="J43">
            <v>2</v>
          </cell>
          <cell r="K43">
            <v>2</v>
          </cell>
          <cell r="L43">
            <v>3</v>
          </cell>
          <cell r="M43">
            <v>3</v>
          </cell>
          <cell r="N43">
            <v>3</v>
          </cell>
          <cell r="O43">
            <v>21</v>
          </cell>
        </row>
        <row r="44">
          <cell r="A44">
            <v>61</v>
          </cell>
          <cell r="B44">
            <v>3.2000000000000002E-3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3</v>
          </cell>
          <cell r="J44">
            <v>3</v>
          </cell>
          <cell r="K44">
            <v>3</v>
          </cell>
          <cell r="L44">
            <v>4</v>
          </cell>
          <cell r="M44">
            <v>4</v>
          </cell>
          <cell r="N44">
            <v>4</v>
          </cell>
          <cell r="O44">
            <v>27</v>
          </cell>
        </row>
        <row r="45">
          <cell r="A45">
            <v>62</v>
          </cell>
          <cell r="B45">
            <v>2.8E-3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2</v>
          </cell>
          <cell r="J45">
            <v>2</v>
          </cell>
          <cell r="K45">
            <v>3</v>
          </cell>
          <cell r="L45">
            <v>4</v>
          </cell>
          <cell r="M45">
            <v>4</v>
          </cell>
          <cell r="N45">
            <v>4</v>
          </cell>
          <cell r="O45">
            <v>25</v>
          </cell>
        </row>
        <row r="46">
          <cell r="A46">
            <v>67</v>
          </cell>
          <cell r="B46">
            <v>2.8E-3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2</v>
          </cell>
          <cell r="J46">
            <v>2</v>
          </cell>
          <cell r="K46">
            <v>3</v>
          </cell>
          <cell r="L46">
            <v>4</v>
          </cell>
          <cell r="M46">
            <v>4</v>
          </cell>
          <cell r="N46">
            <v>4</v>
          </cell>
          <cell r="O46">
            <v>25</v>
          </cell>
        </row>
        <row r="47">
          <cell r="A47">
            <v>71</v>
          </cell>
          <cell r="B47">
            <v>7.6E-3</v>
          </cell>
          <cell r="C47">
            <v>2</v>
          </cell>
          <cell r="D47">
            <v>2</v>
          </cell>
          <cell r="E47">
            <v>2</v>
          </cell>
          <cell r="F47">
            <v>3</v>
          </cell>
          <cell r="G47">
            <v>3</v>
          </cell>
          <cell r="H47">
            <v>3</v>
          </cell>
          <cell r="I47">
            <v>6</v>
          </cell>
          <cell r="J47">
            <v>6</v>
          </cell>
          <cell r="K47">
            <v>7</v>
          </cell>
          <cell r="L47">
            <v>10</v>
          </cell>
          <cell r="M47">
            <v>10</v>
          </cell>
          <cell r="N47">
            <v>10</v>
          </cell>
          <cell r="O47">
            <v>64</v>
          </cell>
        </row>
        <row r="48">
          <cell r="A48">
            <v>74</v>
          </cell>
          <cell r="B48">
            <v>1.52E-2</v>
          </cell>
          <cell r="C48">
            <v>4</v>
          </cell>
          <cell r="D48">
            <v>4</v>
          </cell>
          <cell r="E48">
            <v>5</v>
          </cell>
          <cell r="F48">
            <v>6</v>
          </cell>
          <cell r="G48">
            <v>6</v>
          </cell>
          <cell r="H48">
            <v>6</v>
          </cell>
          <cell r="I48">
            <v>13</v>
          </cell>
          <cell r="J48">
            <v>13</v>
          </cell>
          <cell r="K48">
            <v>14</v>
          </cell>
          <cell r="L48">
            <v>21</v>
          </cell>
          <cell r="M48">
            <v>21</v>
          </cell>
          <cell r="N48">
            <v>21</v>
          </cell>
          <cell r="O48">
            <v>134</v>
          </cell>
        </row>
        <row r="49">
          <cell r="A49">
            <v>76</v>
          </cell>
          <cell r="B49">
            <v>0.01</v>
          </cell>
          <cell r="C49">
            <v>3</v>
          </cell>
          <cell r="D49">
            <v>3</v>
          </cell>
          <cell r="E49">
            <v>3</v>
          </cell>
          <cell r="F49">
            <v>3</v>
          </cell>
          <cell r="G49">
            <v>3</v>
          </cell>
          <cell r="H49">
            <v>3</v>
          </cell>
          <cell r="I49">
            <v>9</v>
          </cell>
          <cell r="J49">
            <v>9</v>
          </cell>
          <cell r="K49">
            <v>10</v>
          </cell>
          <cell r="L49">
            <v>14</v>
          </cell>
          <cell r="M49">
            <v>14</v>
          </cell>
          <cell r="N49">
            <v>14</v>
          </cell>
          <cell r="O49">
            <v>88</v>
          </cell>
        </row>
        <row r="50">
          <cell r="A50">
            <v>500</v>
          </cell>
          <cell r="B50">
            <v>6.6000000000000003E-2</v>
          </cell>
          <cell r="C50">
            <v>19</v>
          </cell>
          <cell r="D50">
            <v>19</v>
          </cell>
          <cell r="E50">
            <v>23</v>
          </cell>
          <cell r="F50">
            <v>25</v>
          </cell>
          <cell r="G50">
            <v>25</v>
          </cell>
          <cell r="H50">
            <v>25</v>
          </cell>
          <cell r="I50">
            <v>56</v>
          </cell>
          <cell r="J50">
            <v>56</v>
          </cell>
          <cell r="K50">
            <v>63</v>
          </cell>
          <cell r="L50">
            <v>89</v>
          </cell>
          <cell r="M50">
            <v>89</v>
          </cell>
          <cell r="N50">
            <v>89</v>
          </cell>
          <cell r="O50">
            <v>578</v>
          </cell>
        </row>
        <row r="51">
          <cell r="A51">
            <v>501</v>
          </cell>
          <cell r="B51">
            <v>0.01</v>
          </cell>
          <cell r="C51">
            <v>3</v>
          </cell>
          <cell r="D51">
            <v>3</v>
          </cell>
          <cell r="E51">
            <v>4</v>
          </cell>
          <cell r="F51">
            <v>4</v>
          </cell>
          <cell r="G51">
            <v>4</v>
          </cell>
          <cell r="H51">
            <v>4</v>
          </cell>
          <cell r="I51">
            <v>9</v>
          </cell>
          <cell r="J51">
            <v>9</v>
          </cell>
          <cell r="K51">
            <v>10</v>
          </cell>
          <cell r="L51">
            <v>14</v>
          </cell>
          <cell r="M51">
            <v>14</v>
          </cell>
          <cell r="N51">
            <v>14</v>
          </cell>
          <cell r="O51">
            <v>92</v>
          </cell>
        </row>
        <row r="52">
          <cell r="A52">
            <v>502</v>
          </cell>
          <cell r="B52">
            <v>0.01</v>
          </cell>
          <cell r="C52">
            <v>3</v>
          </cell>
          <cell r="D52">
            <v>3</v>
          </cell>
          <cell r="E52">
            <v>4</v>
          </cell>
          <cell r="F52">
            <v>4</v>
          </cell>
          <cell r="G52">
            <v>4</v>
          </cell>
          <cell r="H52">
            <v>4</v>
          </cell>
          <cell r="I52">
            <v>9</v>
          </cell>
          <cell r="J52">
            <v>9</v>
          </cell>
          <cell r="K52">
            <v>10</v>
          </cell>
          <cell r="L52">
            <v>14</v>
          </cell>
          <cell r="M52">
            <v>14</v>
          </cell>
          <cell r="N52">
            <v>14</v>
          </cell>
          <cell r="O52">
            <v>92</v>
          </cell>
        </row>
        <row r="53">
          <cell r="A53">
            <v>503</v>
          </cell>
          <cell r="B53">
            <v>0.01</v>
          </cell>
          <cell r="C53">
            <v>3</v>
          </cell>
          <cell r="D53">
            <v>3</v>
          </cell>
          <cell r="E53">
            <v>4</v>
          </cell>
          <cell r="F53">
            <v>4</v>
          </cell>
          <cell r="G53">
            <v>4</v>
          </cell>
          <cell r="H53">
            <v>4</v>
          </cell>
          <cell r="I53">
            <v>9</v>
          </cell>
          <cell r="J53">
            <v>9</v>
          </cell>
          <cell r="K53">
            <v>10</v>
          </cell>
          <cell r="L53">
            <v>14</v>
          </cell>
          <cell r="M53">
            <v>14</v>
          </cell>
          <cell r="N53">
            <v>14</v>
          </cell>
          <cell r="O53">
            <v>92</v>
          </cell>
        </row>
        <row r="54">
          <cell r="A54">
            <v>504</v>
          </cell>
          <cell r="B54">
            <v>0.01</v>
          </cell>
          <cell r="C54">
            <v>3</v>
          </cell>
          <cell r="D54">
            <v>3</v>
          </cell>
          <cell r="E54">
            <v>4</v>
          </cell>
          <cell r="F54">
            <v>4</v>
          </cell>
          <cell r="G54">
            <v>4</v>
          </cell>
          <cell r="H54">
            <v>4</v>
          </cell>
          <cell r="I54">
            <v>9</v>
          </cell>
          <cell r="J54">
            <v>9</v>
          </cell>
          <cell r="K54">
            <v>10</v>
          </cell>
          <cell r="L54">
            <v>14</v>
          </cell>
          <cell r="M54">
            <v>14</v>
          </cell>
          <cell r="N54">
            <v>14</v>
          </cell>
          <cell r="O54">
            <v>92</v>
          </cell>
        </row>
        <row r="55">
          <cell r="A55">
            <v>505</v>
          </cell>
          <cell r="B55">
            <v>6.0000000000000001E-3</v>
          </cell>
          <cell r="C55">
            <v>2</v>
          </cell>
          <cell r="D55">
            <v>2</v>
          </cell>
          <cell r="E55">
            <v>2</v>
          </cell>
          <cell r="F55">
            <v>2</v>
          </cell>
          <cell r="G55">
            <v>2</v>
          </cell>
          <cell r="H55">
            <v>2</v>
          </cell>
          <cell r="I55">
            <v>5</v>
          </cell>
          <cell r="J55">
            <v>5</v>
          </cell>
          <cell r="K55">
            <v>6</v>
          </cell>
          <cell r="L55">
            <v>8</v>
          </cell>
          <cell r="M55">
            <v>8</v>
          </cell>
          <cell r="N55">
            <v>8</v>
          </cell>
          <cell r="O55">
            <v>52</v>
          </cell>
        </row>
        <row r="56">
          <cell r="A56">
            <v>506</v>
          </cell>
          <cell r="B56">
            <v>1.6400000000000001E-2</v>
          </cell>
          <cell r="C56">
            <v>4</v>
          </cell>
          <cell r="D56">
            <v>4</v>
          </cell>
          <cell r="E56">
            <v>6</v>
          </cell>
          <cell r="F56">
            <v>6</v>
          </cell>
          <cell r="G56">
            <v>6</v>
          </cell>
          <cell r="H56">
            <v>6</v>
          </cell>
          <cell r="I56">
            <v>14</v>
          </cell>
          <cell r="J56">
            <v>14</v>
          </cell>
          <cell r="K56">
            <v>16</v>
          </cell>
          <cell r="L56">
            <v>22</v>
          </cell>
          <cell r="M56">
            <v>22</v>
          </cell>
          <cell r="N56">
            <v>22</v>
          </cell>
          <cell r="O56">
            <v>142</v>
          </cell>
        </row>
        <row r="57">
          <cell r="A57">
            <v>507</v>
          </cell>
          <cell r="B57">
            <v>2E-3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2</v>
          </cell>
          <cell r="J57">
            <v>2</v>
          </cell>
          <cell r="K57">
            <v>2</v>
          </cell>
          <cell r="L57">
            <v>3</v>
          </cell>
          <cell r="M57">
            <v>3</v>
          </cell>
          <cell r="N57">
            <v>3</v>
          </cell>
          <cell r="O57">
            <v>21</v>
          </cell>
        </row>
        <row r="58">
          <cell r="A58">
            <v>508</v>
          </cell>
          <cell r="B58">
            <v>4.7999999999999996E-3</v>
          </cell>
          <cell r="C58">
            <v>1</v>
          </cell>
          <cell r="D58">
            <v>1</v>
          </cell>
          <cell r="E58">
            <v>2</v>
          </cell>
          <cell r="F58">
            <v>2</v>
          </cell>
          <cell r="G58">
            <v>2</v>
          </cell>
          <cell r="H58">
            <v>2</v>
          </cell>
          <cell r="I58">
            <v>4</v>
          </cell>
          <cell r="J58">
            <v>4</v>
          </cell>
          <cell r="K58">
            <v>5</v>
          </cell>
          <cell r="L58">
            <v>6</v>
          </cell>
          <cell r="M58">
            <v>6</v>
          </cell>
          <cell r="N58">
            <v>6</v>
          </cell>
          <cell r="O58">
            <v>41</v>
          </cell>
        </row>
        <row r="59">
          <cell r="A59">
            <v>509</v>
          </cell>
          <cell r="B59">
            <v>1.44E-2</v>
          </cell>
          <cell r="C59">
            <v>4</v>
          </cell>
          <cell r="D59">
            <v>4</v>
          </cell>
          <cell r="E59">
            <v>5</v>
          </cell>
          <cell r="F59">
            <v>6</v>
          </cell>
          <cell r="G59">
            <v>6</v>
          </cell>
          <cell r="H59">
            <v>6</v>
          </cell>
          <cell r="I59">
            <v>12</v>
          </cell>
          <cell r="J59">
            <v>12</v>
          </cell>
          <cell r="K59">
            <v>13</v>
          </cell>
          <cell r="L59">
            <v>19</v>
          </cell>
          <cell r="M59">
            <v>19</v>
          </cell>
          <cell r="N59">
            <v>19</v>
          </cell>
          <cell r="O59">
            <v>125</v>
          </cell>
        </row>
        <row r="60">
          <cell r="A60">
            <v>510</v>
          </cell>
          <cell r="B60">
            <v>5.5999999999999999E-3</v>
          </cell>
          <cell r="C60">
            <v>2</v>
          </cell>
          <cell r="D60">
            <v>2</v>
          </cell>
          <cell r="E60">
            <v>2</v>
          </cell>
          <cell r="F60">
            <v>2</v>
          </cell>
          <cell r="G60">
            <v>2</v>
          </cell>
          <cell r="H60">
            <v>2</v>
          </cell>
          <cell r="I60">
            <v>5</v>
          </cell>
          <cell r="J60">
            <v>5</v>
          </cell>
          <cell r="K60">
            <v>5</v>
          </cell>
          <cell r="L60">
            <v>8</v>
          </cell>
          <cell r="M60">
            <v>8</v>
          </cell>
          <cell r="N60">
            <v>8</v>
          </cell>
          <cell r="O60">
            <v>51</v>
          </cell>
        </row>
        <row r="61">
          <cell r="A61">
            <v>511</v>
          </cell>
          <cell r="B61">
            <v>5.5999999999999999E-3</v>
          </cell>
          <cell r="C61">
            <v>1</v>
          </cell>
          <cell r="D61">
            <v>1</v>
          </cell>
          <cell r="E61">
            <v>2</v>
          </cell>
          <cell r="F61">
            <v>2</v>
          </cell>
          <cell r="G61">
            <v>2</v>
          </cell>
          <cell r="H61">
            <v>2</v>
          </cell>
          <cell r="I61">
            <v>5</v>
          </cell>
          <cell r="J61">
            <v>5</v>
          </cell>
          <cell r="K61">
            <v>5</v>
          </cell>
          <cell r="L61">
            <v>8</v>
          </cell>
          <cell r="M61">
            <v>8</v>
          </cell>
          <cell r="N61">
            <v>8</v>
          </cell>
          <cell r="O61">
            <v>49</v>
          </cell>
        </row>
        <row r="62">
          <cell r="A62">
            <v>512</v>
          </cell>
          <cell r="B62">
            <v>6.0000000000000001E-3</v>
          </cell>
          <cell r="C62">
            <v>2</v>
          </cell>
          <cell r="D62">
            <v>2</v>
          </cell>
          <cell r="E62">
            <v>2</v>
          </cell>
          <cell r="F62">
            <v>2</v>
          </cell>
          <cell r="G62">
            <v>2</v>
          </cell>
          <cell r="H62">
            <v>2</v>
          </cell>
          <cell r="I62">
            <v>5</v>
          </cell>
          <cell r="J62">
            <v>5</v>
          </cell>
          <cell r="K62">
            <v>6</v>
          </cell>
          <cell r="L62">
            <v>8</v>
          </cell>
          <cell r="M62">
            <v>8</v>
          </cell>
          <cell r="N62">
            <v>8</v>
          </cell>
          <cell r="O62">
            <v>52</v>
          </cell>
        </row>
        <row r="63">
          <cell r="A63">
            <v>514</v>
          </cell>
          <cell r="B63">
            <v>1.12E-2</v>
          </cell>
          <cell r="C63">
            <v>3</v>
          </cell>
          <cell r="D63">
            <v>3</v>
          </cell>
          <cell r="E63">
            <v>4</v>
          </cell>
          <cell r="F63">
            <v>4</v>
          </cell>
          <cell r="G63">
            <v>4</v>
          </cell>
          <cell r="H63">
            <v>4</v>
          </cell>
          <cell r="I63">
            <v>10</v>
          </cell>
          <cell r="J63">
            <v>10</v>
          </cell>
          <cell r="K63">
            <v>11</v>
          </cell>
          <cell r="L63">
            <v>15</v>
          </cell>
          <cell r="M63">
            <v>15</v>
          </cell>
          <cell r="N63">
            <v>15</v>
          </cell>
          <cell r="O63">
            <v>98</v>
          </cell>
        </row>
        <row r="64">
          <cell r="A64">
            <v>515</v>
          </cell>
          <cell r="B64">
            <v>0.01</v>
          </cell>
          <cell r="C64">
            <v>3</v>
          </cell>
          <cell r="D64">
            <v>3</v>
          </cell>
          <cell r="E64">
            <v>3</v>
          </cell>
          <cell r="F64">
            <v>4</v>
          </cell>
          <cell r="G64">
            <v>4</v>
          </cell>
          <cell r="H64">
            <v>4</v>
          </cell>
          <cell r="I64">
            <v>9</v>
          </cell>
          <cell r="J64">
            <v>9</v>
          </cell>
          <cell r="K64">
            <v>10</v>
          </cell>
          <cell r="L64">
            <v>14</v>
          </cell>
          <cell r="M64">
            <v>14</v>
          </cell>
          <cell r="N64">
            <v>14</v>
          </cell>
          <cell r="O64">
            <v>91</v>
          </cell>
        </row>
        <row r="65">
          <cell r="A65">
            <v>516</v>
          </cell>
          <cell r="B65">
            <v>4.0000000000000001E-3</v>
          </cell>
          <cell r="C65">
            <v>1</v>
          </cell>
          <cell r="D65">
            <v>1</v>
          </cell>
          <cell r="E65">
            <v>1</v>
          </cell>
          <cell r="F65">
            <v>2</v>
          </cell>
          <cell r="G65">
            <v>2</v>
          </cell>
          <cell r="H65">
            <v>2</v>
          </cell>
          <cell r="I65">
            <v>3</v>
          </cell>
          <cell r="J65">
            <v>3</v>
          </cell>
          <cell r="K65">
            <v>4</v>
          </cell>
          <cell r="L65">
            <v>5</v>
          </cell>
          <cell r="M65">
            <v>5</v>
          </cell>
          <cell r="N65">
            <v>5</v>
          </cell>
          <cell r="O65">
            <v>34</v>
          </cell>
        </row>
        <row r="66">
          <cell r="A66">
            <v>517</v>
          </cell>
          <cell r="B66">
            <v>6.4000000000000003E-3</v>
          </cell>
          <cell r="C66">
            <v>2</v>
          </cell>
          <cell r="D66">
            <v>2</v>
          </cell>
          <cell r="E66">
            <v>2</v>
          </cell>
          <cell r="F66">
            <v>2</v>
          </cell>
          <cell r="G66">
            <v>2</v>
          </cell>
          <cell r="H66">
            <v>2</v>
          </cell>
          <cell r="I66">
            <v>5</v>
          </cell>
          <cell r="J66">
            <v>5</v>
          </cell>
          <cell r="K66">
            <v>6</v>
          </cell>
          <cell r="L66">
            <v>9</v>
          </cell>
          <cell r="M66">
            <v>9</v>
          </cell>
          <cell r="N66">
            <v>9</v>
          </cell>
          <cell r="O66">
            <v>55</v>
          </cell>
        </row>
        <row r="67">
          <cell r="A67">
            <v>518</v>
          </cell>
          <cell r="B67">
            <v>1.2E-2</v>
          </cell>
          <cell r="C67">
            <v>4</v>
          </cell>
          <cell r="D67">
            <v>4</v>
          </cell>
          <cell r="E67">
            <v>4</v>
          </cell>
          <cell r="F67">
            <v>5</v>
          </cell>
          <cell r="G67">
            <v>5</v>
          </cell>
          <cell r="H67">
            <v>5</v>
          </cell>
          <cell r="I67">
            <v>10</v>
          </cell>
          <cell r="J67">
            <v>10</v>
          </cell>
          <cell r="K67">
            <v>11</v>
          </cell>
          <cell r="L67">
            <v>16</v>
          </cell>
          <cell r="M67">
            <v>16</v>
          </cell>
          <cell r="N67">
            <v>16</v>
          </cell>
          <cell r="O67">
            <v>106</v>
          </cell>
        </row>
        <row r="68">
          <cell r="A68">
            <v>519</v>
          </cell>
          <cell r="B68">
            <v>7.1999999999999998E-3</v>
          </cell>
          <cell r="C68">
            <v>2</v>
          </cell>
          <cell r="D68">
            <v>2</v>
          </cell>
          <cell r="E68">
            <v>2</v>
          </cell>
          <cell r="F68">
            <v>3</v>
          </cell>
          <cell r="G68">
            <v>3</v>
          </cell>
          <cell r="H68">
            <v>3</v>
          </cell>
          <cell r="I68">
            <v>6</v>
          </cell>
          <cell r="J68">
            <v>6</v>
          </cell>
          <cell r="K68">
            <v>7</v>
          </cell>
          <cell r="L68">
            <v>10</v>
          </cell>
          <cell r="M68">
            <v>10</v>
          </cell>
          <cell r="N68">
            <v>10</v>
          </cell>
          <cell r="O68">
            <v>64</v>
          </cell>
        </row>
        <row r="69">
          <cell r="A69">
            <v>520</v>
          </cell>
          <cell r="B69">
            <v>5.16E-2</v>
          </cell>
          <cell r="C69">
            <v>15</v>
          </cell>
          <cell r="D69">
            <v>15</v>
          </cell>
          <cell r="E69">
            <v>18</v>
          </cell>
          <cell r="F69">
            <v>20</v>
          </cell>
          <cell r="G69">
            <v>20</v>
          </cell>
          <cell r="H69">
            <v>20</v>
          </cell>
          <cell r="I69">
            <v>44</v>
          </cell>
          <cell r="J69">
            <v>44</v>
          </cell>
          <cell r="K69">
            <v>48</v>
          </cell>
          <cell r="L69">
            <v>69</v>
          </cell>
          <cell r="M69">
            <v>69</v>
          </cell>
          <cell r="N69">
            <v>69</v>
          </cell>
          <cell r="O69">
            <v>451</v>
          </cell>
        </row>
        <row r="70">
          <cell r="A70">
            <v>521</v>
          </cell>
          <cell r="B70">
            <v>4.4000000000000003E-3</v>
          </cell>
          <cell r="C70">
            <v>1</v>
          </cell>
          <cell r="D70">
            <v>1</v>
          </cell>
          <cell r="E70">
            <v>1</v>
          </cell>
          <cell r="F70">
            <v>2</v>
          </cell>
          <cell r="G70">
            <v>2</v>
          </cell>
          <cell r="H70">
            <v>2</v>
          </cell>
          <cell r="I70">
            <v>4</v>
          </cell>
          <cell r="J70">
            <v>4</v>
          </cell>
          <cell r="K70">
            <v>4</v>
          </cell>
          <cell r="L70">
            <v>6</v>
          </cell>
          <cell r="M70">
            <v>6</v>
          </cell>
          <cell r="N70">
            <v>6</v>
          </cell>
          <cell r="O70">
            <v>39</v>
          </cell>
        </row>
        <row r="71">
          <cell r="A71">
            <v>522</v>
          </cell>
          <cell r="B71">
            <v>4.0000000000000001E-3</v>
          </cell>
          <cell r="C71">
            <v>1</v>
          </cell>
          <cell r="D71">
            <v>1</v>
          </cell>
          <cell r="E71">
            <v>1</v>
          </cell>
          <cell r="F71">
            <v>2</v>
          </cell>
          <cell r="G71">
            <v>2</v>
          </cell>
          <cell r="H71">
            <v>2</v>
          </cell>
          <cell r="I71">
            <v>3</v>
          </cell>
          <cell r="J71">
            <v>3</v>
          </cell>
          <cell r="K71">
            <v>4</v>
          </cell>
          <cell r="L71">
            <v>5</v>
          </cell>
          <cell r="M71">
            <v>5</v>
          </cell>
          <cell r="N71">
            <v>5</v>
          </cell>
          <cell r="O71">
            <v>34</v>
          </cell>
        </row>
        <row r="72">
          <cell r="A72">
            <v>523</v>
          </cell>
          <cell r="B72">
            <v>2.3999999999999998E-3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2</v>
          </cell>
          <cell r="J72">
            <v>2</v>
          </cell>
          <cell r="K72">
            <v>2</v>
          </cell>
          <cell r="L72">
            <v>3</v>
          </cell>
          <cell r="M72">
            <v>3</v>
          </cell>
          <cell r="N72">
            <v>3</v>
          </cell>
          <cell r="O72">
            <v>21</v>
          </cell>
        </row>
        <row r="73">
          <cell r="A73">
            <v>524</v>
          </cell>
          <cell r="B73">
            <v>6.7999999999999996E-3</v>
          </cell>
          <cell r="C73">
            <v>2</v>
          </cell>
          <cell r="D73">
            <v>2</v>
          </cell>
          <cell r="E73">
            <v>2</v>
          </cell>
          <cell r="F73">
            <v>3</v>
          </cell>
          <cell r="G73">
            <v>3</v>
          </cell>
          <cell r="H73">
            <v>3</v>
          </cell>
          <cell r="I73">
            <v>6</v>
          </cell>
          <cell r="J73">
            <v>6</v>
          </cell>
          <cell r="K73">
            <v>6</v>
          </cell>
          <cell r="L73">
            <v>9</v>
          </cell>
          <cell r="M73">
            <v>9</v>
          </cell>
          <cell r="N73">
            <v>9</v>
          </cell>
          <cell r="O73">
            <v>60</v>
          </cell>
        </row>
        <row r="74">
          <cell r="A74">
            <v>526</v>
          </cell>
          <cell r="B74">
            <v>5.1999999999999998E-3</v>
          </cell>
          <cell r="C74">
            <v>2</v>
          </cell>
          <cell r="D74">
            <v>2</v>
          </cell>
          <cell r="E74">
            <v>2</v>
          </cell>
          <cell r="F74">
            <v>2</v>
          </cell>
          <cell r="G74">
            <v>2</v>
          </cell>
          <cell r="H74">
            <v>2</v>
          </cell>
          <cell r="I74">
            <v>4</v>
          </cell>
          <cell r="J74">
            <v>4</v>
          </cell>
          <cell r="K74">
            <v>5</v>
          </cell>
          <cell r="L74">
            <v>7</v>
          </cell>
          <cell r="M74">
            <v>7</v>
          </cell>
          <cell r="N74">
            <v>7</v>
          </cell>
          <cell r="O74">
            <v>46</v>
          </cell>
        </row>
        <row r="75">
          <cell r="A75">
            <v>527</v>
          </cell>
          <cell r="B75">
            <v>8.3999999999999995E-3</v>
          </cell>
          <cell r="C75">
            <v>3</v>
          </cell>
          <cell r="D75">
            <v>3</v>
          </cell>
          <cell r="E75">
            <v>3</v>
          </cell>
          <cell r="F75">
            <v>3</v>
          </cell>
          <cell r="G75">
            <v>3</v>
          </cell>
          <cell r="H75">
            <v>3</v>
          </cell>
          <cell r="I75">
            <v>7</v>
          </cell>
          <cell r="J75">
            <v>7</v>
          </cell>
          <cell r="K75">
            <v>8</v>
          </cell>
          <cell r="L75">
            <v>11</v>
          </cell>
          <cell r="M75">
            <v>11</v>
          </cell>
          <cell r="N75">
            <v>11</v>
          </cell>
          <cell r="O75">
            <v>73</v>
          </cell>
        </row>
        <row r="76">
          <cell r="A76">
            <v>528</v>
          </cell>
          <cell r="B76">
            <v>4.0000000000000001E-3</v>
          </cell>
          <cell r="C76">
            <v>1</v>
          </cell>
          <cell r="D76">
            <v>1</v>
          </cell>
          <cell r="E76">
            <v>1</v>
          </cell>
          <cell r="F76">
            <v>2</v>
          </cell>
          <cell r="G76">
            <v>2</v>
          </cell>
          <cell r="H76">
            <v>2</v>
          </cell>
          <cell r="I76">
            <v>3</v>
          </cell>
          <cell r="J76">
            <v>3</v>
          </cell>
          <cell r="K76">
            <v>4</v>
          </cell>
          <cell r="L76">
            <v>5</v>
          </cell>
          <cell r="M76">
            <v>5</v>
          </cell>
          <cell r="N76">
            <v>5</v>
          </cell>
          <cell r="O76">
            <v>34</v>
          </cell>
        </row>
        <row r="77">
          <cell r="A77">
            <v>530</v>
          </cell>
          <cell r="B77">
            <v>3.5999999999999999E-3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3</v>
          </cell>
          <cell r="J77">
            <v>3</v>
          </cell>
          <cell r="K77">
            <v>3</v>
          </cell>
          <cell r="L77">
            <v>5</v>
          </cell>
          <cell r="M77">
            <v>5</v>
          </cell>
          <cell r="N77">
            <v>5</v>
          </cell>
          <cell r="O77">
            <v>30</v>
          </cell>
        </row>
        <row r="78">
          <cell r="A78">
            <v>531</v>
          </cell>
          <cell r="B78">
            <v>1.6000000000000001E-3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1</v>
          </cell>
          <cell r="J78">
            <v>1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16</v>
          </cell>
        </row>
        <row r="79">
          <cell r="A79">
            <v>532</v>
          </cell>
          <cell r="B79">
            <v>4.4000000000000003E-3</v>
          </cell>
          <cell r="C79">
            <v>1</v>
          </cell>
          <cell r="D79">
            <v>1</v>
          </cell>
          <cell r="E79">
            <v>2</v>
          </cell>
          <cell r="F79">
            <v>1</v>
          </cell>
          <cell r="G79">
            <v>1</v>
          </cell>
          <cell r="H79">
            <v>1</v>
          </cell>
          <cell r="I79">
            <v>4</v>
          </cell>
          <cell r="J79">
            <v>4</v>
          </cell>
          <cell r="K79">
            <v>4</v>
          </cell>
          <cell r="L79">
            <v>6</v>
          </cell>
          <cell r="M79">
            <v>6</v>
          </cell>
          <cell r="N79">
            <v>6</v>
          </cell>
          <cell r="O79">
            <v>37</v>
          </cell>
        </row>
        <row r="80">
          <cell r="A80">
            <v>533</v>
          </cell>
          <cell r="B80">
            <v>4.0000000000000001E-3</v>
          </cell>
          <cell r="C80">
            <v>1</v>
          </cell>
          <cell r="D80">
            <v>1</v>
          </cell>
          <cell r="E80">
            <v>1</v>
          </cell>
          <cell r="F80">
            <v>2</v>
          </cell>
          <cell r="G80">
            <v>2</v>
          </cell>
          <cell r="H80">
            <v>2</v>
          </cell>
          <cell r="I80">
            <v>3</v>
          </cell>
          <cell r="J80">
            <v>3</v>
          </cell>
          <cell r="K80">
            <v>4</v>
          </cell>
          <cell r="L80">
            <v>5</v>
          </cell>
          <cell r="M80">
            <v>5</v>
          </cell>
          <cell r="N80">
            <v>5</v>
          </cell>
          <cell r="O80">
            <v>34</v>
          </cell>
        </row>
        <row r="81">
          <cell r="A81">
            <v>534</v>
          </cell>
          <cell r="B81">
            <v>0.01</v>
          </cell>
          <cell r="C81">
            <v>3</v>
          </cell>
          <cell r="D81">
            <v>3</v>
          </cell>
          <cell r="E81">
            <v>4</v>
          </cell>
          <cell r="F81">
            <v>3</v>
          </cell>
          <cell r="G81">
            <v>3</v>
          </cell>
          <cell r="H81">
            <v>3</v>
          </cell>
          <cell r="I81">
            <v>9</v>
          </cell>
          <cell r="J81">
            <v>9</v>
          </cell>
          <cell r="K81">
            <v>9</v>
          </cell>
          <cell r="L81">
            <v>14</v>
          </cell>
          <cell r="M81">
            <v>14</v>
          </cell>
          <cell r="N81">
            <v>14</v>
          </cell>
          <cell r="O81">
            <v>88</v>
          </cell>
        </row>
        <row r="82">
          <cell r="A82">
            <v>535</v>
          </cell>
          <cell r="B82">
            <v>2.3999999999999998E-3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2</v>
          </cell>
          <cell r="J82">
            <v>2</v>
          </cell>
          <cell r="K82">
            <v>2</v>
          </cell>
          <cell r="L82">
            <v>3</v>
          </cell>
          <cell r="M82">
            <v>3</v>
          </cell>
          <cell r="N82">
            <v>3</v>
          </cell>
          <cell r="O82">
            <v>21</v>
          </cell>
        </row>
        <row r="83">
          <cell r="A83">
            <v>536</v>
          </cell>
          <cell r="B83">
            <v>3.2000000000000001E-2</v>
          </cell>
          <cell r="C83">
            <v>10</v>
          </cell>
          <cell r="D83">
            <v>10</v>
          </cell>
          <cell r="E83">
            <v>11</v>
          </cell>
          <cell r="F83">
            <v>12</v>
          </cell>
          <cell r="G83">
            <v>12</v>
          </cell>
          <cell r="H83">
            <v>12</v>
          </cell>
          <cell r="I83">
            <v>27</v>
          </cell>
          <cell r="J83">
            <v>27</v>
          </cell>
          <cell r="K83">
            <v>30</v>
          </cell>
          <cell r="L83">
            <v>43</v>
          </cell>
          <cell r="M83">
            <v>43</v>
          </cell>
          <cell r="N83">
            <v>43</v>
          </cell>
          <cell r="O83">
            <v>280</v>
          </cell>
        </row>
        <row r="84">
          <cell r="A84">
            <v>537</v>
          </cell>
          <cell r="B84">
            <v>2E-3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2</v>
          </cell>
          <cell r="J84">
            <v>2</v>
          </cell>
          <cell r="K84">
            <v>2</v>
          </cell>
          <cell r="L84">
            <v>3</v>
          </cell>
          <cell r="M84">
            <v>3</v>
          </cell>
          <cell r="N84">
            <v>3</v>
          </cell>
          <cell r="O84">
            <v>21</v>
          </cell>
        </row>
        <row r="85">
          <cell r="A85">
            <v>538</v>
          </cell>
          <cell r="B85">
            <v>6.4000000000000003E-3</v>
          </cell>
          <cell r="C85">
            <v>2</v>
          </cell>
          <cell r="D85">
            <v>2</v>
          </cell>
          <cell r="E85">
            <v>2</v>
          </cell>
          <cell r="F85">
            <v>2</v>
          </cell>
          <cell r="G85">
            <v>2</v>
          </cell>
          <cell r="H85">
            <v>2</v>
          </cell>
          <cell r="I85">
            <v>5</v>
          </cell>
          <cell r="J85">
            <v>5</v>
          </cell>
          <cell r="K85">
            <v>6</v>
          </cell>
          <cell r="L85">
            <v>9</v>
          </cell>
          <cell r="M85">
            <v>9</v>
          </cell>
          <cell r="N85">
            <v>9</v>
          </cell>
          <cell r="O85">
            <v>55</v>
          </cell>
        </row>
        <row r="86">
          <cell r="A86">
            <v>539</v>
          </cell>
          <cell r="B86">
            <v>9.5999999999999992E-3</v>
          </cell>
          <cell r="C86">
            <v>3</v>
          </cell>
          <cell r="D86">
            <v>3</v>
          </cell>
          <cell r="E86">
            <v>3</v>
          </cell>
          <cell r="F86">
            <v>4</v>
          </cell>
          <cell r="G86">
            <v>4</v>
          </cell>
          <cell r="H86">
            <v>4</v>
          </cell>
          <cell r="I86">
            <v>8</v>
          </cell>
          <cell r="J86">
            <v>8</v>
          </cell>
          <cell r="K86">
            <v>8</v>
          </cell>
          <cell r="L86">
            <v>13</v>
          </cell>
          <cell r="M86">
            <v>13</v>
          </cell>
          <cell r="N86">
            <v>13</v>
          </cell>
          <cell r="O86">
            <v>84</v>
          </cell>
        </row>
        <row r="87">
          <cell r="A87">
            <v>540</v>
          </cell>
          <cell r="B87">
            <v>5.5999999999999999E-3</v>
          </cell>
          <cell r="C87">
            <v>2</v>
          </cell>
          <cell r="D87">
            <v>2</v>
          </cell>
          <cell r="E87">
            <v>2</v>
          </cell>
          <cell r="F87">
            <v>2</v>
          </cell>
          <cell r="G87">
            <v>2</v>
          </cell>
          <cell r="H87">
            <v>2</v>
          </cell>
          <cell r="I87">
            <v>5</v>
          </cell>
          <cell r="J87">
            <v>5</v>
          </cell>
          <cell r="K87">
            <v>5</v>
          </cell>
          <cell r="L87">
            <v>8</v>
          </cell>
          <cell r="M87">
            <v>8</v>
          </cell>
          <cell r="N87">
            <v>8</v>
          </cell>
          <cell r="O87">
            <v>51</v>
          </cell>
        </row>
        <row r="88">
          <cell r="A88">
            <v>541</v>
          </cell>
          <cell r="B88">
            <v>4.4000000000000003E-3</v>
          </cell>
          <cell r="C88">
            <v>1</v>
          </cell>
          <cell r="D88">
            <v>1</v>
          </cell>
          <cell r="E88">
            <v>2</v>
          </cell>
          <cell r="F88">
            <v>2</v>
          </cell>
          <cell r="G88">
            <v>2</v>
          </cell>
          <cell r="H88">
            <v>2</v>
          </cell>
          <cell r="I88">
            <v>5</v>
          </cell>
          <cell r="J88">
            <v>5</v>
          </cell>
          <cell r="K88">
            <v>4</v>
          </cell>
          <cell r="L88">
            <v>6</v>
          </cell>
          <cell r="M88">
            <v>6</v>
          </cell>
          <cell r="N88">
            <v>6</v>
          </cell>
          <cell r="O88">
            <v>42</v>
          </cell>
        </row>
        <row r="89">
          <cell r="A89">
            <v>542</v>
          </cell>
          <cell r="B89">
            <v>4.0000000000000001E-3</v>
          </cell>
          <cell r="C89">
            <v>1</v>
          </cell>
          <cell r="D89">
            <v>1</v>
          </cell>
          <cell r="E89">
            <v>2</v>
          </cell>
          <cell r="F89">
            <v>2</v>
          </cell>
          <cell r="G89">
            <v>2</v>
          </cell>
          <cell r="H89">
            <v>2</v>
          </cell>
          <cell r="I89">
            <v>3</v>
          </cell>
          <cell r="J89">
            <v>3</v>
          </cell>
          <cell r="K89">
            <v>4</v>
          </cell>
          <cell r="L89">
            <v>5</v>
          </cell>
          <cell r="M89">
            <v>5</v>
          </cell>
          <cell r="N89">
            <v>5</v>
          </cell>
          <cell r="O89">
            <v>35</v>
          </cell>
        </row>
        <row r="90">
          <cell r="A90">
            <v>543</v>
          </cell>
          <cell r="B90">
            <v>4.4000000000000003E-3</v>
          </cell>
          <cell r="C90">
            <v>1</v>
          </cell>
          <cell r="D90">
            <v>1</v>
          </cell>
          <cell r="E90">
            <v>2</v>
          </cell>
          <cell r="F90">
            <v>2</v>
          </cell>
          <cell r="G90">
            <v>2</v>
          </cell>
          <cell r="H90">
            <v>2</v>
          </cell>
          <cell r="I90">
            <v>4</v>
          </cell>
          <cell r="J90">
            <v>4</v>
          </cell>
          <cell r="K90">
            <v>4</v>
          </cell>
          <cell r="L90">
            <v>6</v>
          </cell>
          <cell r="M90">
            <v>6</v>
          </cell>
          <cell r="N90">
            <v>6</v>
          </cell>
          <cell r="O90">
            <v>40</v>
          </cell>
        </row>
        <row r="91">
          <cell r="A91">
            <v>544</v>
          </cell>
          <cell r="B91">
            <v>1.2E-2</v>
          </cell>
          <cell r="C91">
            <v>3</v>
          </cell>
          <cell r="D91">
            <v>3</v>
          </cell>
          <cell r="E91">
            <v>4</v>
          </cell>
          <cell r="F91">
            <v>5</v>
          </cell>
          <cell r="G91">
            <v>5</v>
          </cell>
          <cell r="H91">
            <v>5</v>
          </cell>
          <cell r="I91">
            <v>10</v>
          </cell>
          <cell r="J91">
            <v>10</v>
          </cell>
          <cell r="K91">
            <v>11</v>
          </cell>
          <cell r="L91">
            <v>16</v>
          </cell>
          <cell r="M91">
            <v>16</v>
          </cell>
          <cell r="N91">
            <v>16</v>
          </cell>
          <cell r="O91">
            <v>104</v>
          </cell>
        </row>
        <row r="92">
          <cell r="A92">
            <v>545</v>
          </cell>
          <cell r="B92">
            <v>9.1999999999999998E-3</v>
          </cell>
          <cell r="C92">
            <v>3</v>
          </cell>
          <cell r="D92">
            <v>3</v>
          </cell>
          <cell r="E92">
            <v>3</v>
          </cell>
          <cell r="F92">
            <v>4</v>
          </cell>
          <cell r="G92">
            <v>4</v>
          </cell>
          <cell r="H92">
            <v>4</v>
          </cell>
          <cell r="I92">
            <v>8</v>
          </cell>
          <cell r="J92">
            <v>8</v>
          </cell>
          <cell r="K92">
            <v>8</v>
          </cell>
          <cell r="L92">
            <v>12</v>
          </cell>
          <cell r="M92">
            <v>12</v>
          </cell>
          <cell r="N92">
            <v>12</v>
          </cell>
          <cell r="O92">
            <v>81</v>
          </cell>
        </row>
        <row r="93">
          <cell r="A93">
            <v>546</v>
          </cell>
          <cell r="B93">
            <v>4.0000000000000001E-3</v>
          </cell>
          <cell r="C93">
            <v>1</v>
          </cell>
          <cell r="D93">
            <v>1</v>
          </cell>
          <cell r="E93">
            <v>1</v>
          </cell>
          <cell r="F93">
            <v>2</v>
          </cell>
          <cell r="G93">
            <v>2</v>
          </cell>
          <cell r="H93">
            <v>2</v>
          </cell>
          <cell r="I93">
            <v>3</v>
          </cell>
          <cell r="J93">
            <v>3</v>
          </cell>
          <cell r="K93">
            <v>4</v>
          </cell>
          <cell r="L93">
            <v>5</v>
          </cell>
          <cell r="M93">
            <v>5</v>
          </cell>
          <cell r="N93">
            <v>5</v>
          </cell>
          <cell r="O93">
            <v>34</v>
          </cell>
        </row>
        <row r="94">
          <cell r="A94">
            <v>547</v>
          </cell>
          <cell r="B94">
            <v>3.2000000000000002E-3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3</v>
          </cell>
          <cell r="J94">
            <v>3</v>
          </cell>
          <cell r="K94">
            <v>3</v>
          </cell>
          <cell r="L94">
            <v>4</v>
          </cell>
          <cell r="M94">
            <v>4</v>
          </cell>
          <cell r="N94">
            <v>4</v>
          </cell>
          <cell r="O94">
            <v>27</v>
          </cell>
        </row>
        <row r="95">
          <cell r="A95">
            <v>549</v>
          </cell>
          <cell r="B95">
            <v>6.4000000000000003E-3</v>
          </cell>
          <cell r="C95">
            <v>2</v>
          </cell>
          <cell r="D95">
            <v>2</v>
          </cell>
          <cell r="E95">
            <v>2</v>
          </cell>
          <cell r="F95">
            <v>2</v>
          </cell>
          <cell r="G95">
            <v>2</v>
          </cell>
          <cell r="H95">
            <v>2</v>
          </cell>
          <cell r="I95">
            <v>5</v>
          </cell>
          <cell r="J95">
            <v>5</v>
          </cell>
          <cell r="K95">
            <v>6</v>
          </cell>
          <cell r="L95">
            <v>9</v>
          </cell>
          <cell r="M95">
            <v>9</v>
          </cell>
          <cell r="N95">
            <v>9</v>
          </cell>
          <cell r="O95">
            <v>55</v>
          </cell>
        </row>
        <row r="96">
          <cell r="A96">
            <v>550</v>
          </cell>
          <cell r="B96">
            <v>4.0000000000000001E-3</v>
          </cell>
          <cell r="C96">
            <v>1</v>
          </cell>
          <cell r="D96">
            <v>1</v>
          </cell>
          <cell r="E96">
            <v>1</v>
          </cell>
          <cell r="F96">
            <v>2</v>
          </cell>
          <cell r="G96">
            <v>2</v>
          </cell>
          <cell r="H96">
            <v>2</v>
          </cell>
          <cell r="I96">
            <v>3</v>
          </cell>
          <cell r="J96">
            <v>3</v>
          </cell>
          <cell r="K96">
            <v>4</v>
          </cell>
          <cell r="L96">
            <v>5</v>
          </cell>
          <cell r="M96">
            <v>5</v>
          </cell>
          <cell r="N96">
            <v>5</v>
          </cell>
          <cell r="O96">
            <v>34</v>
          </cell>
        </row>
        <row r="97">
          <cell r="A97">
            <v>551</v>
          </cell>
          <cell r="B97">
            <v>6.4000000000000003E-3</v>
          </cell>
          <cell r="C97">
            <v>2</v>
          </cell>
          <cell r="D97">
            <v>2</v>
          </cell>
          <cell r="E97">
            <v>2</v>
          </cell>
          <cell r="F97">
            <v>2</v>
          </cell>
          <cell r="G97">
            <v>2</v>
          </cell>
          <cell r="H97">
            <v>2</v>
          </cell>
          <cell r="I97">
            <v>5</v>
          </cell>
          <cell r="J97">
            <v>5</v>
          </cell>
          <cell r="K97">
            <v>6</v>
          </cell>
          <cell r="L97">
            <v>9</v>
          </cell>
          <cell r="M97">
            <v>9</v>
          </cell>
          <cell r="N97">
            <v>9</v>
          </cell>
          <cell r="O97">
            <v>55</v>
          </cell>
        </row>
        <row r="98">
          <cell r="A98">
            <v>552</v>
          </cell>
          <cell r="B98">
            <v>6.7999999999999996E-3</v>
          </cell>
          <cell r="C98">
            <v>2</v>
          </cell>
          <cell r="D98">
            <v>2</v>
          </cell>
          <cell r="E98">
            <v>2</v>
          </cell>
          <cell r="F98">
            <v>3</v>
          </cell>
          <cell r="G98">
            <v>3</v>
          </cell>
          <cell r="H98">
            <v>3</v>
          </cell>
          <cell r="I98">
            <v>6</v>
          </cell>
          <cell r="J98">
            <v>6</v>
          </cell>
          <cell r="K98">
            <v>6</v>
          </cell>
          <cell r="L98">
            <v>9</v>
          </cell>
          <cell r="M98">
            <v>9</v>
          </cell>
          <cell r="N98">
            <v>9</v>
          </cell>
          <cell r="O98">
            <v>60</v>
          </cell>
        </row>
        <row r="99">
          <cell r="A99">
            <v>553</v>
          </cell>
          <cell r="B99">
            <v>1.6799999999999999E-2</v>
          </cell>
          <cell r="C99">
            <v>5</v>
          </cell>
          <cell r="D99">
            <v>5</v>
          </cell>
          <cell r="E99">
            <v>6</v>
          </cell>
          <cell r="F99">
            <v>6</v>
          </cell>
          <cell r="G99">
            <v>6</v>
          </cell>
          <cell r="H99">
            <v>6</v>
          </cell>
          <cell r="I99">
            <v>14</v>
          </cell>
          <cell r="J99">
            <v>14</v>
          </cell>
          <cell r="K99">
            <v>15</v>
          </cell>
          <cell r="L99">
            <v>23</v>
          </cell>
          <cell r="M99">
            <v>23</v>
          </cell>
          <cell r="N99">
            <v>23</v>
          </cell>
          <cell r="O99">
            <v>146</v>
          </cell>
        </row>
        <row r="100">
          <cell r="A100">
            <v>554</v>
          </cell>
          <cell r="B100">
            <v>6.4000000000000003E-3</v>
          </cell>
          <cell r="C100">
            <v>2</v>
          </cell>
          <cell r="D100">
            <v>2</v>
          </cell>
          <cell r="E100">
            <v>2</v>
          </cell>
          <cell r="F100">
            <v>2</v>
          </cell>
          <cell r="G100">
            <v>2</v>
          </cell>
          <cell r="H100">
            <v>2</v>
          </cell>
          <cell r="I100">
            <v>5</v>
          </cell>
          <cell r="J100">
            <v>5</v>
          </cell>
          <cell r="K100">
            <v>6</v>
          </cell>
          <cell r="L100">
            <v>9</v>
          </cell>
          <cell r="M100">
            <v>9</v>
          </cell>
          <cell r="N100">
            <v>9</v>
          </cell>
          <cell r="O100">
            <v>55</v>
          </cell>
        </row>
        <row r="101">
          <cell r="A101">
            <v>555</v>
          </cell>
          <cell r="B101">
            <v>8.3999999999999995E-3</v>
          </cell>
          <cell r="C101">
            <v>3</v>
          </cell>
          <cell r="D101">
            <v>3</v>
          </cell>
          <cell r="E101">
            <v>4</v>
          </cell>
          <cell r="F101">
            <v>3</v>
          </cell>
          <cell r="G101">
            <v>3</v>
          </cell>
          <cell r="H101">
            <v>3</v>
          </cell>
          <cell r="I101">
            <v>7</v>
          </cell>
          <cell r="J101">
            <v>7</v>
          </cell>
          <cell r="K101">
            <v>8</v>
          </cell>
          <cell r="L101">
            <v>11</v>
          </cell>
          <cell r="M101">
            <v>11</v>
          </cell>
          <cell r="N101">
            <v>11</v>
          </cell>
          <cell r="O101">
            <v>74</v>
          </cell>
        </row>
        <row r="102">
          <cell r="A102">
            <v>556</v>
          </cell>
          <cell r="B102">
            <v>6.7999999999999996E-3</v>
          </cell>
          <cell r="C102">
            <v>2</v>
          </cell>
          <cell r="D102">
            <v>2</v>
          </cell>
          <cell r="E102">
            <v>2</v>
          </cell>
          <cell r="F102">
            <v>2</v>
          </cell>
          <cell r="G102">
            <v>2</v>
          </cell>
          <cell r="H102">
            <v>2</v>
          </cell>
          <cell r="I102">
            <v>6</v>
          </cell>
          <cell r="J102">
            <v>6</v>
          </cell>
          <cell r="K102">
            <v>6</v>
          </cell>
          <cell r="L102">
            <v>9</v>
          </cell>
          <cell r="M102">
            <v>9</v>
          </cell>
          <cell r="N102">
            <v>9</v>
          </cell>
          <cell r="O102">
            <v>57</v>
          </cell>
        </row>
        <row r="103">
          <cell r="A103">
            <v>558</v>
          </cell>
          <cell r="B103">
            <v>8.0000000000000002E-3</v>
          </cell>
          <cell r="C103">
            <v>2</v>
          </cell>
          <cell r="D103">
            <v>2</v>
          </cell>
          <cell r="E103">
            <v>3</v>
          </cell>
          <cell r="F103">
            <v>3</v>
          </cell>
          <cell r="G103">
            <v>3</v>
          </cell>
          <cell r="H103">
            <v>3</v>
          </cell>
          <cell r="I103">
            <v>7</v>
          </cell>
          <cell r="J103">
            <v>7</v>
          </cell>
          <cell r="K103">
            <v>8</v>
          </cell>
          <cell r="L103">
            <v>11</v>
          </cell>
          <cell r="M103">
            <v>11</v>
          </cell>
          <cell r="N103">
            <v>11</v>
          </cell>
          <cell r="O103">
            <v>71</v>
          </cell>
        </row>
        <row r="104">
          <cell r="A104">
            <v>560</v>
          </cell>
          <cell r="B104">
            <v>6.7999999999999996E-3</v>
          </cell>
          <cell r="C104">
            <v>2</v>
          </cell>
          <cell r="D104">
            <v>2</v>
          </cell>
          <cell r="E104">
            <v>2</v>
          </cell>
          <cell r="F104">
            <v>2</v>
          </cell>
          <cell r="G104">
            <v>2</v>
          </cell>
          <cell r="H104">
            <v>2</v>
          </cell>
          <cell r="I104">
            <v>6</v>
          </cell>
          <cell r="J104">
            <v>6</v>
          </cell>
          <cell r="K104">
            <v>6</v>
          </cell>
          <cell r="L104">
            <v>9</v>
          </cell>
          <cell r="M104">
            <v>9</v>
          </cell>
          <cell r="N104">
            <v>9</v>
          </cell>
          <cell r="O104">
            <v>57</v>
          </cell>
        </row>
        <row r="105">
          <cell r="A105">
            <v>563</v>
          </cell>
          <cell r="B105">
            <v>0.02</v>
          </cell>
          <cell r="C105">
            <v>6</v>
          </cell>
          <cell r="D105">
            <v>6</v>
          </cell>
          <cell r="E105">
            <v>7</v>
          </cell>
          <cell r="F105">
            <v>7</v>
          </cell>
          <cell r="G105">
            <v>7</v>
          </cell>
          <cell r="H105">
            <v>7</v>
          </cell>
          <cell r="I105">
            <v>17</v>
          </cell>
          <cell r="J105">
            <v>17</v>
          </cell>
          <cell r="K105">
            <v>18</v>
          </cell>
          <cell r="L105">
            <v>27</v>
          </cell>
          <cell r="M105">
            <v>27</v>
          </cell>
          <cell r="N105">
            <v>27</v>
          </cell>
          <cell r="O105">
            <v>173</v>
          </cell>
        </row>
        <row r="106">
          <cell r="A106">
            <v>565</v>
          </cell>
          <cell r="B106">
            <v>1.6000000000000001E-3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2</v>
          </cell>
          <cell r="L106">
            <v>2</v>
          </cell>
          <cell r="M106">
            <v>2</v>
          </cell>
          <cell r="N106">
            <v>2</v>
          </cell>
          <cell r="O106">
            <v>16</v>
          </cell>
        </row>
        <row r="107">
          <cell r="A107">
            <v>566</v>
          </cell>
          <cell r="B107">
            <v>1.24E-2</v>
          </cell>
          <cell r="C107">
            <v>4</v>
          </cell>
          <cell r="D107">
            <v>4</v>
          </cell>
          <cell r="E107">
            <v>4</v>
          </cell>
          <cell r="F107">
            <v>5</v>
          </cell>
          <cell r="G107">
            <v>5</v>
          </cell>
          <cell r="H107">
            <v>5</v>
          </cell>
          <cell r="I107">
            <v>10</v>
          </cell>
          <cell r="J107">
            <v>10</v>
          </cell>
          <cell r="K107">
            <v>12</v>
          </cell>
          <cell r="L107">
            <v>17</v>
          </cell>
          <cell r="M107">
            <v>17</v>
          </cell>
          <cell r="N107">
            <v>17</v>
          </cell>
          <cell r="O107">
            <v>110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es 20-06"/>
      <sheetName val="Pmos Individuos"/>
      <sheetName val="Pers orig."/>
      <sheetName val="Hipot."/>
      <sheetName val="Pmos Hipotec."/>
      <sheetName val="T.C. final"/>
      <sheetName val="Tarjetas"/>
      <sheetName val="Tarjetas orig."/>
      <sheetName val="Dist. seguros total"/>
      <sheetName val="Seguros total"/>
      <sheetName val="Personales_20-06"/>
      <sheetName val="Pmos_Individuos"/>
      <sheetName val="Pers_orig_"/>
      <sheetName val="Hipot_"/>
      <sheetName val="Pmos_Hipotec_"/>
      <sheetName val="T_C__final"/>
      <sheetName val="Tarjetas_orig_"/>
      <sheetName val="Dist__seguros_total"/>
      <sheetName val="Seguros_total"/>
      <sheetName val="Lead"/>
      <sheetName val="Resultados"/>
      <sheetName val="ASIENTO FDO GTIA."/>
      <sheetName val="Assumptions"/>
      <sheetName val="04-06-01"/>
      <sheetName val="Proforma (US$)"/>
      <sheetName val="XREF"/>
      <sheetName val="Pg Am"/>
      <sheetName val="BANVAL"/>
      <sheetName val="Cartasur"/>
      <sheetName val="Excluidas"/>
      <sheetName val="Hoja2"/>
      <sheetName val="DI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A3">
            <v>0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8</v>
          </cell>
        </row>
        <row r="11">
          <cell r="A11">
            <v>21</v>
          </cell>
        </row>
        <row r="12">
          <cell r="A12">
            <v>22</v>
          </cell>
        </row>
        <row r="13">
          <cell r="A13">
            <v>23</v>
          </cell>
        </row>
        <row r="14">
          <cell r="A14">
            <v>24</v>
          </cell>
        </row>
        <row r="15">
          <cell r="A15">
            <v>25</v>
          </cell>
        </row>
        <row r="16">
          <cell r="A16">
            <v>26</v>
          </cell>
        </row>
        <row r="17">
          <cell r="A17">
            <v>27</v>
          </cell>
        </row>
        <row r="18">
          <cell r="A18">
            <v>28</v>
          </cell>
        </row>
        <row r="19">
          <cell r="A19">
            <v>30</v>
          </cell>
        </row>
        <row r="20">
          <cell r="A20">
            <v>31</v>
          </cell>
        </row>
        <row r="21">
          <cell r="A21">
            <v>32</v>
          </cell>
        </row>
        <row r="22">
          <cell r="A22">
            <v>33</v>
          </cell>
        </row>
        <row r="23">
          <cell r="A23">
            <v>34</v>
          </cell>
        </row>
        <row r="24">
          <cell r="A24">
            <v>35</v>
          </cell>
        </row>
        <row r="25">
          <cell r="A25">
            <v>36</v>
          </cell>
        </row>
        <row r="26">
          <cell r="A26">
            <v>37</v>
          </cell>
        </row>
        <row r="27">
          <cell r="A27">
            <v>38</v>
          </cell>
        </row>
        <row r="28">
          <cell r="A28">
            <v>40</v>
          </cell>
        </row>
        <row r="29">
          <cell r="A29">
            <v>41</v>
          </cell>
        </row>
        <row r="30">
          <cell r="A30">
            <v>42</v>
          </cell>
        </row>
        <row r="31">
          <cell r="A31">
            <v>43</v>
          </cell>
        </row>
        <row r="32">
          <cell r="A32">
            <v>44</v>
          </cell>
        </row>
        <row r="33">
          <cell r="A33">
            <v>45</v>
          </cell>
        </row>
        <row r="34">
          <cell r="A34">
            <v>46</v>
          </cell>
        </row>
        <row r="35">
          <cell r="A35">
            <v>48</v>
          </cell>
        </row>
        <row r="36">
          <cell r="A36">
            <v>50</v>
          </cell>
        </row>
        <row r="37">
          <cell r="A37">
            <v>51</v>
          </cell>
        </row>
        <row r="38">
          <cell r="A38">
            <v>54</v>
          </cell>
        </row>
        <row r="39">
          <cell r="A39">
            <v>55</v>
          </cell>
        </row>
        <row r="40">
          <cell r="A40">
            <v>56</v>
          </cell>
        </row>
        <row r="41">
          <cell r="A41">
            <v>57</v>
          </cell>
        </row>
        <row r="42">
          <cell r="A42">
            <v>58</v>
          </cell>
        </row>
        <row r="43">
          <cell r="A43">
            <v>59</v>
          </cell>
        </row>
        <row r="44">
          <cell r="A44">
            <v>61</v>
          </cell>
        </row>
        <row r="45">
          <cell r="A45">
            <v>62</v>
          </cell>
        </row>
        <row r="46">
          <cell r="A46">
            <v>67</v>
          </cell>
        </row>
        <row r="47">
          <cell r="A47">
            <v>71</v>
          </cell>
        </row>
        <row r="48">
          <cell r="A48">
            <v>74</v>
          </cell>
        </row>
        <row r="49">
          <cell r="A49">
            <v>76</v>
          </cell>
        </row>
        <row r="50">
          <cell r="A50">
            <v>500</v>
          </cell>
        </row>
        <row r="51">
          <cell r="A51">
            <v>501</v>
          </cell>
        </row>
        <row r="52">
          <cell r="A52">
            <v>502</v>
          </cell>
        </row>
        <row r="53">
          <cell r="A53">
            <v>503</v>
          </cell>
        </row>
        <row r="54">
          <cell r="A54">
            <v>504</v>
          </cell>
        </row>
        <row r="55">
          <cell r="A55">
            <v>505</v>
          </cell>
        </row>
        <row r="56">
          <cell r="A56">
            <v>506</v>
          </cell>
        </row>
        <row r="57">
          <cell r="A57">
            <v>507</v>
          </cell>
        </row>
        <row r="58">
          <cell r="A58">
            <v>508</v>
          </cell>
        </row>
        <row r="59">
          <cell r="A59">
            <v>509</v>
          </cell>
        </row>
        <row r="60">
          <cell r="A60">
            <v>510</v>
          </cell>
        </row>
        <row r="61">
          <cell r="A61">
            <v>511</v>
          </cell>
        </row>
        <row r="62">
          <cell r="A62">
            <v>512</v>
          </cell>
        </row>
        <row r="63">
          <cell r="A63">
            <v>514</v>
          </cell>
        </row>
        <row r="64">
          <cell r="A64">
            <v>515</v>
          </cell>
        </row>
        <row r="65">
          <cell r="A65">
            <v>516</v>
          </cell>
        </row>
        <row r="66">
          <cell r="A66">
            <v>517</v>
          </cell>
        </row>
        <row r="67">
          <cell r="A67">
            <v>518</v>
          </cell>
        </row>
        <row r="68">
          <cell r="A68">
            <v>519</v>
          </cell>
        </row>
        <row r="69">
          <cell r="A69">
            <v>520</v>
          </cell>
        </row>
        <row r="70">
          <cell r="A70">
            <v>521</v>
          </cell>
        </row>
        <row r="71">
          <cell r="A71">
            <v>522</v>
          </cell>
        </row>
        <row r="72">
          <cell r="A72">
            <v>523</v>
          </cell>
        </row>
        <row r="73">
          <cell r="A73">
            <v>524</v>
          </cell>
        </row>
        <row r="74">
          <cell r="A74">
            <v>526</v>
          </cell>
        </row>
        <row r="75">
          <cell r="A75">
            <v>527</v>
          </cell>
        </row>
        <row r="76">
          <cell r="A76">
            <v>528</v>
          </cell>
        </row>
        <row r="77">
          <cell r="A77">
            <v>530</v>
          </cell>
        </row>
        <row r="78">
          <cell r="A78">
            <v>531</v>
          </cell>
        </row>
        <row r="79">
          <cell r="A79">
            <v>532</v>
          </cell>
        </row>
        <row r="80">
          <cell r="A80">
            <v>533</v>
          </cell>
        </row>
        <row r="81">
          <cell r="A81">
            <v>534</v>
          </cell>
        </row>
        <row r="82">
          <cell r="A82">
            <v>535</v>
          </cell>
        </row>
        <row r="83">
          <cell r="A83">
            <v>536</v>
          </cell>
        </row>
        <row r="84">
          <cell r="A84">
            <v>537</v>
          </cell>
        </row>
        <row r="85">
          <cell r="A85">
            <v>538</v>
          </cell>
        </row>
        <row r="86">
          <cell r="A86">
            <v>539</v>
          </cell>
        </row>
        <row r="87">
          <cell r="A87">
            <v>540</v>
          </cell>
        </row>
        <row r="88">
          <cell r="A88">
            <v>541</v>
          </cell>
        </row>
        <row r="89">
          <cell r="A89">
            <v>542</v>
          </cell>
        </row>
        <row r="90">
          <cell r="A90">
            <v>543</v>
          </cell>
        </row>
        <row r="91">
          <cell r="A91">
            <v>544</v>
          </cell>
        </row>
        <row r="92">
          <cell r="A92">
            <v>545</v>
          </cell>
        </row>
        <row r="93">
          <cell r="A93">
            <v>546</v>
          </cell>
        </row>
        <row r="94">
          <cell r="A94">
            <v>547</v>
          </cell>
        </row>
        <row r="95">
          <cell r="A95">
            <v>549</v>
          </cell>
        </row>
        <row r="96">
          <cell r="A96">
            <v>550</v>
          </cell>
        </row>
        <row r="97">
          <cell r="A97">
            <v>551</v>
          </cell>
        </row>
        <row r="98">
          <cell r="A98">
            <v>552</v>
          </cell>
        </row>
        <row r="99">
          <cell r="A99">
            <v>553</v>
          </cell>
        </row>
        <row r="100">
          <cell r="A100">
            <v>554</v>
          </cell>
        </row>
        <row r="101">
          <cell r="A101">
            <v>555</v>
          </cell>
        </row>
        <row r="102">
          <cell r="A102">
            <v>556</v>
          </cell>
        </row>
        <row r="103">
          <cell r="A103">
            <v>558</v>
          </cell>
        </row>
        <row r="104">
          <cell r="A104">
            <v>560</v>
          </cell>
        </row>
        <row r="105">
          <cell r="A105">
            <v>563</v>
          </cell>
        </row>
        <row r="106">
          <cell r="A106">
            <v>565</v>
          </cell>
        </row>
        <row r="107">
          <cell r="A107">
            <v>566</v>
          </cell>
        </row>
      </sheetData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3">
          <cell r="A3" t="str">
            <v>30655808465</v>
          </cell>
        </row>
      </sheetData>
      <sheetData sheetId="28"/>
      <sheetData sheetId="29"/>
      <sheetData sheetId="30">
        <row r="3">
          <cell r="A3" t="str">
            <v>Etiquetas de fila</v>
          </cell>
        </row>
      </sheetData>
      <sheetData sheetId="3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imventarza@valo.ar" TargetMode="External"/><Relationship Id="rId2" Type="http://schemas.openxmlformats.org/officeDocument/2006/relationships/hyperlink" Target="mailto:jmontoya@valo.ar" TargetMode="External"/><Relationship Id="rId1" Type="http://schemas.openxmlformats.org/officeDocument/2006/relationships/hyperlink" Target="http://www.valo.ar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U221"/>
  <sheetViews>
    <sheetView showGridLines="0" tabSelected="1" zoomScale="67" zoomScaleNormal="47" workbookViewId="0">
      <selection activeCell="D23" sqref="D23:F23"/>
    </sheetView>
  </sheetViews>
  <sheetFormatPr baseColWidth="10" defaultColWidth="24.54296875" defaultRowHeight="16" x14ac:dyDescent="0.4"/>
  <cols>
    <col min="1" max="1" width="11.453125" style="156" customWidth="1"/>
    <col min="2" max="2" width="43.81640625" style="159" customWidth="1"/>
    <col min="3" max="3" width="40.26953125" style="159" customWidth="1"/>
    <col min="4" max="4" width="34.453125" style="159" customWidth="1"/>
    <col min="5" max="5" width="18.1796875" style="159" customWidth="1"/>
    <col min="6" max="6" width="20.453125" style="157" customWidth="1"/>
    <col min="7" max="7" width="37.81640625" style="158" bestFit="1" customWidth="1"/>
    <col min="8" max="8" width="31.453125" style="158" bestFit="1" customWidth="1"/>
    <col min="9" max="10" width="31.453125" style="159" bestFit="1" customWidth="1"/>
    <col min="11" max="11" width="26.7265625" style="225" bestFit="1" customWidth="1"/>
    <col min="12" max="12" width="24.7265625" style="161" bestFit="1" customWidth="1"/>
    <col min="13" max="13" width="37.7265625" style="161" bestFit="1" customWidth="1"/>
    <col min="14" max="15" width="24.54296875" style="161"/>
    <col min="16" max="16" width="24.54296875" style="158"/>
    <col min="17" max="16384" width="24.54296875" style="159"/>
  </cols>
  <sheetData>
    <row r="1" spans="1:19" x14ac:dyDescent="0.4">
      <c r="B1" s="156"/>
      <c r="C1" s="156"/>
      <c r="D1" s="156"/>
      <c r="E1" s="156"/>
      <c r="G1" s="157"/>
      <c r="K1" s="160"/>
    </row>
    <row r="2" spans="1:19" x14ac:dyDescent="0.4">
      <c r="B2" s="156"/>
      <c r="C2" s="156"/>
      <c r="D2" s="156"/>
      <c r="E2" s="156"/>
      <c r="G2" s="157"/>
      <c r="K2" s="160"/>
    </row>
    <row r="3" spans="1:19" x14ac:dyDescent="0.4">
      <c r="B3" s="156"/>
      <c r="C3" s="156"/>
      <c r="D3" s="156"/>
      <c r="E3" s="156"/>
      <c r="G3" s="157"/>
      <c r="K3" s="160"/>
      <c r="L3" s="162"/>
      <c r="M3" s="162"/>
      <c r="N3" s="162"/>
      <c r="O3" s="162"/>
    </row>
    <row r="4" spans="1:19" x14ac:dyDescent="0.4">
      <c r="B4" s="156"/>
      <c r="C4" s="156"/>
      <c r="D4" s="156"/>
      <c r="E4" s="156"/>
      <c r="G4" s="157"/>
      <c r="K4" s="160"/>
      <c r="L4" s="162"/>
      <c r="M4" s="162"/>
      <c r="N4" s="162"/>
      <c r="O4" s="162"/>
    </row>
    <row r="5" spans="1:19" x14ac:dyDescent="0.4">
      <c r="B5" s="156"/>
      <c r="C5" s="156"/>
      <c r="D5" s="156"/>
      <c r="E5" s="156"/>
      <c r="G5" s="157"/>
      <c r="K5" s="160"/>
      <c r="L5" s="162"/>
      <c r="M5" s="162"/>
      <c r="N5" s="162"/>
      <c r="O5" s="162"/>
    </row>
    <row r="6" spans="1:19" x14ac:dyDescent="0.4">
      <c r="B6" s="156"/>
      <c r="C6" s="156"/>
      <c r="D6" s="156"/>
      <c r="E6" s="156"/>
      <c r="G6" s="157"/>
      <c r="K6" s="160"/>
      <c r="L6" s="162"/>
      <c r="M6" s="162"/>
      <c r="N6" s="162"/>
      <c r="O6" s="162"/>
    </row>
    <row r="7" spans="1:19" x14ac:dyDescent="0.4">
      <c r="B7" s="156"/>
      <c r="C7" s="156"/>
      <c r="D7" s="156"/>
      <c r="E7" s="156"/>
      <c r="G7" s="157"/>
      <c r="K7" s="160"/>
      <c r="L7" s="162"/>
      <c r="M7" s="162"/>
      <c r="N7" s="162"/>
      <c r="O7" s="162"/>
    </row>
    <row r="8" spans="1:19" x14ac:dyDescent="0.4">
      <c r="B8" s="156"/>
      <c r="C8" s="156"/>
      <c r="D8" s="156"/>
      <c r="E8" s="156"/>
      <c r="G8" s="157"/>
      <c r="K8" s="160"/>
      <c r="L8" s="162"/>
      <c r="M8" s="162"/>
      <c r="N8" s="162"/>
      <c r="O8" s="162"/>
    </row>
    <row r="9" spans="1:19" x14ac:dyDescent="0.4">
      <c r="B9" s="156"/>
      <c r="C9" s="156"/>
      <c r="D9" s="156"/>
      <c r="E9" s="156"/>
      <c r="G9" s="157"/>
      <c r="K9" s="160"/>
      <c r="L9" s="162"/>
      <c r="M9" s="162"/>
      <c r="N9" s="162"/>
      <c r="O9" s="162"/>
    </row>
    <row r="10" spans="1:19" x14ac:dyDescent="0.4">
      <c r="B10" s="156"/>
      <c r="C10" s="156"/>
      <c r="D10" s="156"/>
      <c r="E10" s="156"/>
      <c r="G10" s="157"/>
      <c r="K10" s="160"/>
      <c r="L10" s="162"/>
      <c r="M10" s="162"/>
      <c r="N10" s="162"/>
      <c r="O10" s="162"/>
    </row>
    <row r="11" spans="1:19" x14ac:dyDescent="0.4">
      <c r="B11" s="156"/>
      <c r="C11" s="156"/>
      <c r="D11" s="156"/>
      <c r="E11" s="156"/>
      <c r="G11" s="157"/>
      <c r="K11" s="160"/>
      <c r="L11" s="162"/>
      <c r="M11" s="162"/>
      <c r="N11" s="162"/>
      <c r="O11" s="162"/>
      <c r="P11" s="159"/>
    </row>
    <row r="12" spans="1:19" x14ac:dyDescent="0.4">
      <c r="B12" s="156"/>
      <c r="C12" s="156"/>
      <c r="D12" s="156"/>
      <c r="E12" s="156"/>
      <c r="G12" s="157"/>
      <c r="K12" s="160"/>
      <c r="L12" s="162"/>
      <c r="M12" s="162"/>
      <c r="N12" s="162"/>
      <c r="O12" s="162"/>
      <c r="P12" s="159"/>
    </row>
    <row r="13" spans="1:19" x14ac:dyDescent="0.4">
      <c r="B13" s="156"/>
      <c r="C13" s="156"/>
      <c r="D13" s="156"/>
      <c r="E13" s="156"/>
      <c r="G13" s="157"/>
      <c r="K13" s="160"/>
      <c r="L13" s="163"/>
      <c r="M13" s="163"/>
      <c r="N13" s="163"/>
      <c r="O13" s="163"/>
      <c r="P13" s="159"/>
    </row>
    <row r="14" spans="1:19" x14ac:dyDescent="0.4">
      <c r="B14" s="156"/>
      <c r="C14" s="156"/>
      <c r="D14" s="156"/>
      <c r="E14" s="156"/>
      <c r="G14" s="157"/>
      <c r="K14" s="160"/>
      <c r="L14" s="163"/>
      <c r="M14" s="163"/>
      <c r="N14" s="163"/>
      <c r="O14" s="163"/>
      <c r="P14" s="159"/>
    </row>
    <row r="15" spans="1:19" x14ac:dyDescent="0.4">
      <c r="A15" s="164"/>
      <c r="B15" s="266" t="s">
        <v>84</v>
      </c>
      <c r="C15" s="266"/>
      <c r="D15" s="266"/>
      <c r="E15" s="266"/>
      <c r="F15" s="266"/>
      <c r="G15" s="266"/>
      <c r="H15" s="266"/>
      <c r="I15" s="266"/>
      <c r="J15" s="266"/>
      <c r="K15" s="266"/>
      <c r="L15" s="165"/>
      <c r="M15" s="165"/>
      <c r="N15" s="163"/>
      <c r="O15" s="163"/>
      <c r="P15" s="159"/>
    </row>
    <row r="16" spans="1:19" x14ac:dyDescent="0.4">
      <c r="B16" s="266"/>
      <c r="C16" s="266"/>
      <c r="D16" s="266"/>
      <c r="E16" s="266"/>
      <c r="F16" s="266"/>
      <c r="G16" s="266"/>
      <c r="H16" s="266"/>
      <c r="I16" s="266"/>
      <c r="J16" s="266"/>
      <c r="K16" s="266"/>
      <c r="L16" s="226"/>
      <c r="M16" s="226"/>
      <c r="N16" s="226"/>
      <c r="O16" s="226"/>
      <c r="Q16" s="158"/>
      <c r="R16" s="161"/>
      <c r="S16" s="161"/>
    </row>
    <row r="17" spans="1:21" x14ac:dyDescent="0.4">
      <c r="B17" s="266"/>
      <c r="C17" s="266"/>
      <c r="D17" s="266"/>
      <c r="E17" s="266"/>
      <c r="F17" s="266"/>
      <c r="G17" s="266"/>
      <c r="H17" s="266"/>
      <c r="I17" s="266"/>
      <c r="J17" s="266"/>
      <c r="K17" s="266"/>
      <c r="L17" s="226"/>
      <c r="M17" s="226"/>
      <c r="N17" s="226"/>
      <c r="O17" s="226"/>
      <c r="P17" s="226"/>
      <c r="Q17" s="226"/>
      <c r="R17" s="161"/>
      <c r="S17" s="161"/>
    </row>
    <row r="18" spans="1:21" s="171" customFormat="1" ht="26" x14ac:dyDescent="0.45">
      <c r="A18" s="166"/>
      <c r="B18" s="167" t="s">
        <v>60</v>
      </c>
      <c r="C18" s="167" t="s">
        <v>12</v>
      </c>
      <c r="D18" s="268" t="s">
        <v>9</v>
      </c>
      <c r="E18" s="268"/>
      <c r="F18" s="268"/>
      <c r="G18" s="168"/>
      <c r="H18" s="267" t="s">
        <v>5</v>
      </c>
      <c r="I18" s="267" t="s">
        <v>6</v>
      </c>
      <c r="J18" s="267" t="s">
        <v>0</v>
      </c>
      <c r="K18" s="267" t="s">
        <v>7</v>
      </c>
      <c r="L18" s="226"/>
      <c r="M18" s="226"/>
      <c r="N18" s="226"/>
      <c r="O18" s="226"/>
      <c r="P18" s="227"/>
      <c r="Q18" s="227"/>
      <c r="R18" s="169"/>
      <c r="S18" s="169"/>
      <c r="T18" s="170"/>
      <c r="U18" s="170"/>
    </row>
    <row r="19" spans="1:21" ht="23.5" x14ac:dyDescent="0.55000000000000004">
      <c r="B19" s="172" t="s">
        <v>1</v>
      </c>
      <c r="C19" s="173">
        <v>2868349000</v>
      </c>
      <c r="D19" s="269">
        <v>268428000</v>
      </c>
      <c r="E19" s="269"/>
      <c r="F19" s="269"/>
      <c r="G19" s="247" t="s">
        <v>62</v>
      </c>
      <c r="H19" s="267"/>
      <c r="I19" s="267"/>
      <c r="J19" s="267"/>
      <c r="K19" s="267"/>
      <c r="L19" s="226"/>
      <c r="M19" s="226"/>
      <c r="N19" s="226"/>
      <c r="O19" s="226"/>
      <c r="P19" s="226"/>
      <c r="Q19" s="226"/>
      <c r="R19" s="161"/>
      <c r="S19" s="161"/>
    </row>
    <row r="20" spans="1:21" ht="23.5" x14ac:dyDescent="0.55000000000000004">
      <c r="B20" s="174" t="s">
        <v>53</v>
      </c>
      <c r="C20" s="175">
        <v>0.748</v>
      </c>
      <c r="D20" s="262">
        <v>7.0000000000000007E-2</v>
      </c>
      <c r="E20" s="262"/>
      <c r="F20" s="262"/>
      <c r="G20" s="247"/>
      <c r="H20" s="176"/>
      <c r="I20" s="176"/>
      <c r="J20" s="177"/>
      <c r="K20" s="178">
        <f>C19</f>
        <v>2868349000</v>
      </c>
      <c r="L20" s="162"/>
      <c r="M20" s="162"/>
      <c r="N20" s="162"/>
      <c r="O20" s="226"/>
      <c r="P20" s="161"/>
      <c r="Q20" s="162"/>
      <c r="R20" s="161"/>
      <c r="S20" s="161"/>
    </row>
    <row r="21" spans="1:21" ht="23.5" x14ac:dyDescent="0.55000000000000004">
      <c r="B21" s="179" t="s">
        <v>2</v>
      </c>
      <c r="C21" s="180">
        <v>45566</v>
      </c>
      <c r="D21" s="261">
        <f>C21</f>
        <v>45566</v>
      </c>
      <c r="E21" s="261"/>
      <c r="F21" s="261"/>
      <c r="G21" s="181">
        <v>45611</v>
      </c>
      <c r="H21" s="182">
        <v>229468000</v>
      </c>
      <c r="I21" s="182">
        <v>125490269</v>
      </c>
      <c r="J21" s="182">
        <f>I21+H21</f>
        <v>354958269</v>
      </c>
      <c r="K21" s="178">
        <f>K20-H21</f>
        <v>2638881000</v>
      </c>
      <c r="L21" s="183">
        <f t="shared" ref="L21:L31" si="0">G21-$C$21</f>
        <v>45</v>
      </c>
      <c r="M21" s="184">
        <f>+J21/(1+$C$27)^(L21/365)</f>
        <v>336963131.5246219</v>
      </c>
      <c r="N21" s="162">
        <f>+M21/$M$38*(L21/365)</f>
        <v>1.4945140869971426E-2</v>
      </c>
      <c r="O21" s="226"/>
      <c r="P21" s="230">
        <f t="shared" ref="P21:P30" si="1">+H21/$K$20</f>
        <v>8.0000027890608852E-2</v>
      </c>
      <c r="Q21" s="185">
        <f>+P21+P22</f>
        <v>0.22000007669917432</v>
      </c>
      <c r="R21" s="161"/>
      <c r="S21" s="161"/>
    </row>
    <row r="22" spans="1:21" ht="23.5" x14ac:dyDescent="0.55000000000000004">
      <c r="B22" s="186" t="s">
        <v>54</v>
      </c>
      <c r="C22" s="175">
        <v>0.35</v>
      </c>
      <c r="D22" s="262">
        <v>0.36</v>
      </c>
      <c r="E22" s="262"/>
      <c r="F22" s="262"/>
      <c r="G22" s="181">
        <v>45642</v>
      </c>
      <c r="H22" s="182">
        <v>401569000</v>
      </c>
      <c r="I22" s="182">
        <v>76967363</v>
      </c>
      <c r="J22" s="182">
        <f t="shared" ref="J22:J30" si="2">I22+H22</f>
        <v>478536363</v>
      </c>
      <c r="K22" s="178">
        <f>K21-H22</f>
        <v>2237312000</v>
      </c>
      <c r="L22" s="183">
        <f t="shared" si="0"/>
        <v>76</v>
      </c>
      <c r="M22" s="184">
        <f t="shared" ref="M22:M33" si="3">+J22/(1+$C$27)^(L22/365)</f>
        <v>438283022.81925869</v>
      </c>
      <c r="N22" s="162">
        <f t="shared" ref="N22:N33" si="4">+M22/$M$38*(L22/365)</f>
        <v>3.2830186827584366E-2</v>
      </c>
      <c r="O22" s="226"/>
      <c r="P22" s="230">
        <f t="shared" si="1"/>
        <v>0.14000004880856548</v>
      </c>
      <c r="Q22" s="185">
        <f t="shared" ref="Q22:Q29" si="5">+Q21+P23</f>
        <v>0.36999995467776059</v>
      </c>
      <c r="R22" s="161"/>
      <c r="S22" s="161"/>
    </row>
    <row r="23" spans="1:21" ht="23.5" x14ac:dyDescent="0.55000000000000004">
      <c r="B23" s="179" t="s">
        <v>55</v>
      </c>
      <c r="C23" s="187">
        <v>0.65</v>
      </c>
      <c r="D23" s="263">
        <v>0.66</v>
      </c>
      <c r="E23" s="263"/>
      <c r="F23" s="263"/>
      <c r="G23" s="181">
        <v>45672</v>
      </c>
      <c r="H23" s="182">
        <v>430252000</v>
      </c>
      <c r="I23" s="182">
        <v>65254933</v>
      </c>
      <c r="J23" s="182">
        <f t="shared" si="2"/>
        <v>495506933</v>
      </c>
      <c r="K23" s="178">
        <f t="shared" ref="K23:K30" si="6">K22-H23</f>
        <v>1807060000</v>
      </c>
      <c r="L23" s="183">
        <f t="shared" si="0"/>
        <v>106</v>
      </c>
      <c r="M23" s="184">
        <f t="shared" si="3"/>
        <v>438355201.61793971</v>
      </c>
      <c r="N23" s="162">
        <f t="shared" si="4"/>
        <v>4.5797011957297781E-2</v>
      </c>
      <c r="O23" s="226"/>
      <c r="P23" s="230">
        <f t="shared" si="1"/>
        <v>0.1499998779785863</v>
      </c>
      <c r="Q23" s="185">
        <f t="shared" si="5"/>
        <v>0.51999983265634686</v>
      </c>
      <c r="R23" s="161"/>
      <c r="S23" s="161"/>
    </row>
    <row r="24" spans="1:21" ht="23.5" x14ac:dyDescent="0.55000000000000004">
      <c r="B24" s="174" t="s">
        <v>10</v>
      </c>
      <c r="C24" s="188">
        <f>+G30-C21</f>
        <v>318</v>
      </c>
      <c r="D24" s="264">
        <f>G44-D21</f>
        <v>379</v>
      </c>
      <c r="E24" s="264"/>
      <c r="F24" s="264"/>
      <c r="G24" s="181">
        <v>45705</v>
      </c>
      <c r="H24" s="182">
        <v>430252000</v>
      </c>
      <c r="I24" s="182">
        <v>52705917</v>
      </c>
      <c r="J24" s="182">
        <f>I24+H24</f>
        <v>482957917</v>
      </c>
      <c r="K24" s="178">
        <f>K23-H24</f>
        <v>1376808000</v>
      </c>
      <c r="L24" s="183">
        <f t="shared" si="0"/>
        <v>139</v>
      </c>
      <c r="M24" s="184">
        <f t="shared" si="3"/>
        <v>411259664.02364725</v>
      </c>
      <c r="N24" s="162">
        <f t="shared" si="4"/>
        <v>5.6342489217167384E-2</v>
      </c>
      <c r="O24" s="226"/>
      <c r="P24" s="230">
        <f t="shared" si="1"/>
        <v>0.1499998779785863</v>
      </c>
      <c r="Q24" s="185">
        <f t="shared" si="5"/>
        <v>0.6599998814649124</v>
      </c>
      <c r="R24" s="161"/>
      <c r="S24" s="161"/>
    </row>
    <row r="25" spans="1:21" ht="23.5" x14ac:dyDescent="0.55000000000000004">
      <c r="B25" s="179" t="s">
        <v>11</v>
      </c>
      <c r="C25" s="189">
        <f>+N38*12</f>
        <v>4.8710538518166047</v>
      </c>
      <c r="D25" s="265">
        <f>+N52*12</f>
        <v>12.206266105014249</v>
      </c>
      <c r="E25" s="265"/>
      <c r="F25" s="265"/>
      <c r="G25" s="181">
        <v>45733</v>
      </c>
      <c r="H25" s="182">
        <v>401569000</v>
      </c>
      <c r="I25" s="182">
        <v>40156900</v>
      </c>
      <c r="J25" s="182">
        <f>I25+H25</f>
        <v>441725900</v>
      </c>
      <c r="K25" s="178">
        <f>K24-H25</f>
        <v>975239000</v>
      </c>
      <c r="L25" s="183">
        <f t="shared" si="0"/>
        <v>167</v>
      </c>
      <c r="M25" s="184">
        <f t="shared" si="3"/>
        <v>364167038.55394036</v>
      </c>
      <c r="N25" s="162">
        <f t="shared" si="4"/>
        <v>5.9940756416455604E-2</v>
      </c>
      <c r="O25" s="226"/>
      <c r="P25" s="230">
        <f t="shared" si="1"/>
        <v>0.14000004880856548</v>
      </c>
      <c r="Q25" s="185">
        <f t="shared" si="5"/>
        <v>0.72999973155288989</v>
      </c>
      <c r="R25" s="161"/>
      <c r="S25" s="161"/>
    </row>
    <row r="26" spans="1:21" ht="24" thickBot="1" x14ac:dyDescent="0.6">
      <c r="B26" s="190" t="s">
        <v>52</v>
      </c>
      <c r="C26" s="188" t="s">
        <v>79</v>
      </c>
      <c r="D26" s="245" t="s">
        <v>83</v>
      </c>
      <c r="E26" s="245"/>
      <c r="F26" s="245"/>
      <c r="G26" s="181">
        <v>45762</v>
      </c>
      <c r="H26" s="182">
        <v>200784000</v>
      </c>
      <c r="I26" s="182">
        <v>28444471</v>
      </c>
      <c r="J26" s="182">
        <f t="shared" si="2"/>
        <v>229228471</v>
      </c>
      <c r="K26" s="178">
        <f t="shared" si="6"/>
        <v>774455000</v>
      </c>
      <c r="L26" s="183">
        <f t="shared" si="0"/>
        <v>196</v>
      </c>
      <c r="M26" s="184">
        <f t="shared" si="3"/>
        <v>182749064.33378047</v>
      </c>
      <c r="N26" s="162">
        <f t="shared" si="4"/>
        <v>3.5303384847500459E-2</v>
      </c>
      <c r="O26" s="226"/>
      <c r="P26" s="230">
        <f t="shared" si="1"/>
        <v>6.9999850087977433E-2</v>
      </c>
      <c r="Q26" s="185">
        <f t="shared" si="5"/>
        <v>0.79999958164086737</v>
      </c>
      <c r="R26" s="161"/>
      <c r="S26" s="161"/>
    </row>
    <row r="27" spans="1:21" ht="23.5" x14ac:dyDescent="0.4">
      <c r="B27" s="259" t="s">
        <v>3</v>
      </c>
      <c r="C27" s="270">
        <v>0.52500000000000002</v>
      </c>
      <c r="D27" s="270">
        <v>0.53</v>
      </c>
      <c r="E27" s="270"/>
      <c r="F27" s="275"/>
      <c r="G27" s="181">
        <v>45792</v>
      </c>
      <c r="H27" s="182">
        <v>200784000</v>
      </c>
      <c r="I27" s="182">
        <v>22588271</v>
      </c>
      <c r="J27" s="182">
        <f t="shared" si="2"/>
        <v>223372271</v>
      </c>
      <c r="K27" s="178">
        <f t="shared" si="6"/>
        <v>573671000</v>
      </c>
      <c r="L27" s="183">
        <f t="shared" si="0"/>
        <v>226</v>
      </c>
      <c r="M27" s="184">
        <f t="shared" si="3"/>
        <v>172009561.73744491</v>
      </c>
      <c r="N27" s="162">
        <f t="shared" si="4"/>
        <v>3.8314762871718061E-2</v>
      </c>
      <c r="O27" s="226"/>
      <c r="P27" s="230">
        <f t="shared" si="1"/>
        <v>6.9999850087977433E-2</v>
      </c>
      <c r="Q27" s="185">
        <f t="shared" si="5"/>
        <v>0.86999943172884486</v>
      </c>
      <c r="R27" s="161"/>
      <c r="S27" s="161"/>
    </row>
    <row r="28" spans="1:21" ht="24" thickBot="1" x14ac:dyDescent="0.45">
      <c r="B28" s="260"/>
      <c r="C28" s="271"/>
      <c r="D28" s="271"/>
      <c r="E28" s="271"/>
      <c r="F28" s="276"/>
      <c r="G28" s="181">
        <v>45824</v>
      </c>
      <c r="H28" s="182">
        <v>200784000</v>
      </c>
      <c r="I28" s="182">
        <v>16732071</v>
      </c>
      <c r="J28" s="182">
        <f t="shared" si="2"/>
        <v>217516071</v>
      </c>
      <c r="K28" s="178">
        <f t="shared" si="6"/>
        <v>372887000</v>
      </c>
      <c r="L28" s="183">
        <f t="shared" si="0"/>
        <v>258</v>
      </c>
      <c r="M28" s="184">
        <f t="shared" si="3"/>
        <v>161416225.0509648</v>
      </c>
      <c r="N28" s="162">
        <f t="shared" si="4"/>
        <v>4.1046110130935586E-2</v>
      </c>
      <c r="O28" s="226"/>
      <c r="P28" s="230">
        <f t="shared" si="1"/>
        <v>6.9999850087977433E-2</v>
      </c>
      <c r="Q28" s="185">
        <f t="shared" si="5"/>
        <v>0.93999928181682235</v>
      </c>
      <c r="R28" s="161"/>
      <c r="S28" s="161"/>
    </row>
    <row r="29" spans="1:21" ht="23.5" x14ac:dyDescent="0.55000000000000004">
      <c r="B29" s="190" t="s">
        <v>4</v>
      </c>
      <c r="C29" s="191">
        <f>+M38/C19*100</f>
        <v>96.910320509730113</v>
      </c>
      <c r="D29" s="277">
        <f>+M52/D19*100</f>
        <v>89.204383211307885</v>
      </c>
      <c r="E29" s="277"/>
      <c r="F29" s="277"/>
      <c r="G29" s="181">
        <v>45853</v>
      </c>
      <c r="H29" s="182">
        <v>200784000</v>
      </c>
      <c r="I29" s="182">
        <v>10875871</v>
      </c>
      <c r="J29" s="182">
        <f t="shared" si="2"/>
        <v>211659871</v>
      </c>
      <c r="K29" s="178">
        <f t="shared" si="6"/>
        <v>172103000</v>
      </c>
      <c r="L29" s="183">
        <f t="shared" si="0"/>
        <v>287</v>
      </c>
      <c r="M29" s="184">
        <f>+J29/(1+$C$27)^(L29/365)</f>
        <v>151891404.50951177</v>
      </c>
      <c r="N29" s="162">
        <f t="shared" si="4"/>
        <v>4.2965533454102846E-2</v>
      </c>
      <c r="O29" s="162"/>
      <c r="P29" s="230">
        <f t="shared" si="1"/>
        <v>6.9999850087977433E-2</v>
      </c>
      <c r="Q29" s="185">
        <f t="shared" si="5"/>
        <v>1.0000000000000002</v>
      </c>
      <c r="R29" s="161"/>
      <c r="S29" s="161"/>
    </row>
    <row r="30" spans="1:21" ht="23.5" x14ac:dyDescent="0.55000000000000004">
      <c r="B30" s="192"/>
      <c r="C30" s="193"/>
      <c r="D30" s="193"/>
      <c r="E30" s="194"/>
      <c r="F30" s="194"/>
      <c r="G30" s="181">
        <v>45884</v>
      </c>
      <c r="H30" s="182">
        <v>172103000</v>
      </c>
      <c r="I30" s="182">
        <v>5019671</v>
      </c>
      <c r="J30" s="182">
        <f t="shared" si="2"/>
        <v>177122671</v>
      </c>
      <c r="K30" s="178">
        <f t="shared" si="6"/>
        <v>0</v>
      </c>
      <c r="L30" s="183">
        <f t="shared" si="0"/>
        <v>318</v>
      </c>
      <c r="M30" s="184">
        <f t="shared" si="3"/>
        <v>122631895.0665281</v>
      </c>
      <c r="N30" s="162">
        <f>+M30/$M$38*(L30/365)</f>
        <v>3.8435777725316936E-2</v>
      </c>
      <c r="O30" s="162"/>
      <c r="P30" s="230">
        <f t="shared" si="1"/>
        <v>6.0000718183177849E-2</v>
      </c>
      <c r="Q30" s="162"/>
      <c r="R30" s="161"/>
      <c r="S30" s="161"/>
    </row>
    <row r="31" spans="1:21" ht="23.5" x14ac:dyDescent="0.55000000000000004">
      <c r="B31" s="195" t="s">
        <v>51</v>
      </c>
      <c r="C31" s="196">
        <f>C32</f>
        <v>0.40625</v>
      </c>
      <c r="D31" s="196">
        <f>C31</f>
        <v>0.40625</v>
      </c>
      <c r="E31" s="274">
        <f>C31</f>
        <v>0.40625</v>
      </c>
      <c r="F31" s="274"/>
      <c r="G31" s="181"/>
      <c r="H31" s="182"/>
      <c r="I31" s="182"/>
      <c r="J31" s="182"/>
      <c r="K31" s="178"/>
      <c r="L31" s="183">
        <f t="shared" si="0"/>
        <v>-45566</v>
      </c>
      <c r="M31" s="184">
        <f>+J31/(1+$C$27)^(L31/365)</f>
        <v>0</v>
      </c>
      <c r="N31" s="162">
        <f>+M31/$M$38*(L31/365)</f>
        <v>0</v>
      </c>
      <c r="O31" s="162"/>
      <c r="P31" s="230">
        <f>SUM(P21:P30)</f>
        <v>1.0000000000000002</v>
      </c>
      <c r="Q31" s="162"/>
      <c r="R31" s="161"/>
      <c r="S31" s="161"/>
    </row>
    <row r="32" spans="1:21" ht="24" thickBot="1" x14ac:dyDescent="0.6">
      <c r="B32" s="197" t="s">
        <v>71</v>
      </c>
      <c r="C32" s="198">
        <v>0.40625</v>
      </c>
      <c r="D32" s="278">
        <f>C32</f>
        <v>0.40625</v>
      </c>
      <c r="E32" s="278"/>
      <c r="F32" s="278"/>
      <c r="G32" s="181"/>
      <c r="H32" s="182"/>
      <c r="I32" s="182"/>
      <c r="J32" s="182"/>
      <c r="K32" s="178"/>
      <c r="L32" s="183">
        <f>G32-$C$21</f>
        <v>-45566</v>
      </c>
      <c r="M32" s="184">
        <f>+J32/(1+$C$27)^(L32/365)</f>
        <v>0</v>
      </c>
      <c r="N32" s="162">
        <f t="shared" si="4"/>
        <v>0</v>
      </c>
      <c r="O32" s="162"/>
      <c r="P32" s="162"/>
      <c r="Q32" s="162"/>
      <c r="R32" s="161"/>
      <c r="S32" s="161"/>
    </row>
    <row r="33" spans="1:19" ht="23.5" x14ac:dyDescent="0.4">
      <c r="B33" s="257" t="s">
        <v>49</v>
      </c>
      <c r="C33" s="272">
        <f>+'VDF A'!R19</f>
        <v>0.62753147482872029</v>
      </c>
      <c r="D33" s="272">
        <f>+'VDF B'!R19</f>
        <v>0.60023704171180736</v>
      </c>
      <c r="E33" s="272"/>
      <c r="F33" s="279"/>
      <c r="G33" s="181"/>
      <c r="H33" s="182"/>
      <c r="I33" s="182"/>
      <c r="J33" s="182"/>
      <c r="K33" s="178"/>
      <c r="L33" s="183"/>
      <c r="M33" s="184">
        <f t="shared" si="3"/>
        <v>0</v>
      </c>
      <c r="N33" s="162">
        <f t="shared" si="4"/>
        <v>0</v>
      </c>
      <c r="O33" s="162"/>
      <c r="P33" s="162"/>
      <c r="Q33" s="162"/>
      <c r="R33" s="161"/>
      <c r="S33" s="161"/>
    </row>
    <row r="34" spans="1:19" ht="23.5" x14ac:dyDescent="0.4">
      <c r="A34" s="199"/>
      <c r="B34" s="258"/>
      <c r="C34" s="273"/>
      <c r="D34" s="273"/>
      <c r="E34" s="273"/>
      <c r="F34" s="280"/>
      <c r="G34" s="181"/>
      <c r="H34" s="182"/>
      <c r="I34" s="182"/>
      <c r="J34" s="182"/>
      <c r="K34" s="178"/>
      <c r="L34" s="183"/>
      <c r="M34" s="184"/>
      <c r="N34" s="162"/>
      <c r="O34" s="162"/>
      <c r="P34" s="162"/>
      <c r="Q34" s="162"/>
      <c r="R34" s="161"/>
      <c r="S34" s="161"/>
    </row>
    <row r="35" spans="1:19" ht="23.5" x14ac:dyDescent="0.4">
      <c r="A35" s="199"/>
      <c r="B35" s="250" t="s">
        <v>50</v>
      </c>
      <c r="C35" s="252">
        <f>+'VDF A'!R22</f>
        <v>0.49708419231230572</v>
      </c>
      <c r="D35" s="252">
        <f>+'VDF B'!R22</f>
        <v>0.47948334870178755</v>
      </c>
      <c r="E35" s="252"/>
      <c r="F35" s="254"/>
      <c r="G35" s="181"/>
      <c r="H35" s="182"/>
      <c r="I35" s="182"/>
      <c r="J35" s="182"/>
      <c r="K35" s="178"/>
      <c r="L35" s="183"/>
      <c r="M35" s="184"/>
      <c r="N35" s="162"/>
      <c r="O35" s="162"/>
      <c r="P35" s="162"/>
      <c r="Q35" s="162"/>
      <c r="R35" s="161"/>
      <c r="S35" s="161"/>
    </row>
    <row r="36" spans="1:19" ht="24" thickBot="1" x14ac:dyDescent="0.45">
      <c r="A36" s="199"/>
      <c r="B36" s="251"/>
      <c r="C36" s="253"/>
      <c r="D36" s="253"/>
      <c r="E36" s="253"/>
      <c r="F36" s="255"/>
      <c r="G36" s="181"/>
      <c r="H36" s="182"/>
      <c r="I36" s="182"/>
      <c r="J36" s="182"/>
      <c r="K36" s="178"/>
      <c r="L36" s="183"/>
      <c r="M36" s="184"/>
      <c r="N36" s="162"/>
      <c r="O36" s="162"/>
      <c r="P36" s="162"/>
      <c r="Q36" s="162"/>
      <c r="R36" s="161"/>
      <c r="S36" s="161"/>
    </row>
    <row r="37" spans="1:19" ht="23.5" x14ac:dyDescent="0.55000000000000004">
      <c r="A37" s="199"/>
      <c r="B37" s="179" t="s">
        <v>76</v>
      </c>
      <c r="C37" s="200">
        <f>+C35-C32</f>
        <v>9.0834192312305717E-2</v>
      </c>
      <c r="D37" s="256">
        <f>+D35-C32</f>
        <v>7.3233348701787548E-2</v>
      </c>
      <c r="E37" s="256"/>
      <c r="F37" s="256"/>
      <c r="G37" s="201" t="s">
        <v>0</v>
      </c>
      <c r="H37" s="246">
        <f>SUM(H21:H36)</f>
        <v>2868349000</v>
      </c>
      <c r="I37" s="246">
        <f>SUM(I21:I36)</f>
        <v>444235737</v>
      </c>
      <c r="J37" s="246">
        <f>SUM(J21:J36)</f>
        <v>3312584737</v>
      </c>
      <c r="K37" s="202"/>
      <c r="L37" s="162"/>
      <c r="M37" s="162"/>
      <c r="N37" s="162"/>
      <c r="O37" s="162"/>
      <c r="P37" s="162"/>
      <c r="Q37" s="162"/>
      <c r="R37" s="161"/>
      <c r="S37" s="161"/>
    </row>
    <row r="38" spans="1:19" ht="23.5" x14ac:dyDescent="0.4">
      <c r="B38" s="249"/>
      <c r="C38" s="249"/>
      <c r="D38" s="249"/>
      <c r="E38" s="249"/>
      <c r="F38" s="249"/>
      <c r="G38" s="203"/>
      <c r="H38" s="246"/>
      <c r="I38" s="246"/>
      <c r="J38" s="246"/>
      <c r="K38" s="202"/>
      <c r="L38" s="162"/>
      <c r="M38" s="184">
        <f>+(SUM(M21:M31))</f>
        <v>2779726209.2376385</v>
      </c>
      <c r="N38" s="162">
        <f>+SUM(N21:N36)</f>
        <v>0.40592115431805043</v>
      </c>
      <c r="O38" s="162"/>
      <c r="P38" s="162"/>
      <c r="Q38" s="162"/>
      <c r="R38" s="161"/>
      <c r="S38" s="161"/>
    </row>
    <row r="39" spans="1:19" ht="23.5" x14ac:dyDescent="0.55000000000000004">
      <c r="B39" s="248" t="s">
        <v>59</v>
      </c>
      <c r="C39" s="248"/>
      <c r="D39" s="248"/>
      <c r="E39" s="248"/>
      <c r="F39" s="248"/>
      <c r="G39" s="194"/>
      <c r="H39" s="194"/>
      <c r="I39" s="194"/>
      <c r="J39" s="194"/>
      <c r="K39" s="194"/>
      <c r="L39" s="204"/>
      <c r="M39" s="162"/>
      <c r="N39" s="162"/>
      <c r="O39" s="162"/>
      <c r="P39" s="162"/>
      <c r="Q39" s="162"/>
      <c r="R39" s="161"/>
      <c r="S39" s="161"/>
    </row>
    <row r="40" spans="1:19" ht="23.5" x14ac:dyDescent="0.4">
      <c r="B40" s="248"/>
      <c r="C40" s="248"/>
      <c r="D40" s="248"/>
      <c r="E40" s="248"/>
      <c r="F40" s="248"/>
      <c r="G40" s="205"/>
      <c r="H40" s="241" t="s">
        <v>5</v>
      </c>
      <c r="I40" s="241" t="s">
        <v>6</v>
      </c>
      <c r="J40" s="241" t="s">
        <v>0</v>
      </c>
      <c r="K40" s="241" t="s">
        <v>7</v>
      </c>
      <c r="L40" s="162"/>
      <c r="M40" s="162"/>
      <c r="N40" s="162"/>
      <c r="O40" s="162"/>
      <c r="P40" s="162"/>
      <c r="Q40" s="162"/>
      <c r="R40" s="161"/>
      <c r="S40" s="161"/>
    </row>
    <row r="41" spans="1:19" x14ac:dyDescent="0.4">
      <c r="B41" s="248"/>
      <c r="C41" s="248"/>
      <c r="D41" s="248"/>
      <c r="E41" s="248"/>
      <c r="F41" s="248"/>
      <c r="G41" s="247" t="s">
        <v>61</v>
      </c>
      <c r="H41" s="241"/>
      <c r="I41" s="241"/>
      <c r="J41" s="241"/>
      <c r="K41" s="241"/>
      <c r="L41" s="162"/>
      <c r="M41" s="162"/>
      <c r="N41" s="162"/>
      <c r="O41" s="162"/>
      <c r="P41" s="162"/>
      <c r="Q41" s="162"/>
      <c r="R41" s="161"/>
      <c r="S41" s="161"/>
    </row>
    <row r="42" spans="1:19" ht="23.5" x14ac:dyDescent="0.4">
      <c r="B42" s="248"/>
      <c r="C42" s="248"/>
      <c r="D42" s="248"/>
      <c r="E42" s="248"/>
      <c r="F42" s="248"/>
      <c r="G42" s="247"/>
      <c r="H42" s="176"/>
      <c r="I42" s="176"/>
      <c r="J42" s="177"/>
      <c r="K42" s="206">
        <f>D19</f>
        <v>268428000</v>
      </c>
      <c r="L42" s="162"/>
      <c r="M42" s="162"/>
      <c r="N42" s="162"/>
      <c r="O42" s="162"/>
      <c r="P42" s="162"/>
      <c r="Q42" s="162"/>
      <c r="R42" s="161"/>
      <c r="S42" s="161"/>
    </row>
    <row r="43" spans="1:19" ht="23.5" x14ac:dyDescent="0.4">
      <c r="B43" s="248"/>
      <c r="C43" s="248"/>
      <c r="D43" s="248"/>
      <c r="E43" s="248"/>
      <c r="F43" s="248"/>
      <c r="G43" s="181">
        <v>45915</v>
      </c>
      <c r="H43" s="182">
        <v>0</v>
      </c>
      <c r="I43" s="182">
        <v>92607660</v>
      </c>
      <c r="J43" s="182">
        <f>I43+H43</f>
        <v>92607660</v>
      </c>
      <c r="K43" s="206">
        <f>K42-H43</f>
        <v>268428000</v>
      </c>
      <c r="L43" s="183">
        <f>+G43-$C$21</f>
        <v>349</v>
      </c>
      <c r="M43" s="184">
        <f t="shared" ref="M43:M50" si="7">+J43/(1+$D$27)^(L43/365)</f>
        <v>61666818.436625086</v>
      </c>
      <c r="N43" s="162">
        <f t="shared" ref="N43:N50" si="8">+M43/$M$52*(L43/365)</f>
        <v>0.24624651607884229</v>
      </c>
      <c r="O43" s="162"/>
      <c r="P43" s="162"/>
      <c r="Q43" s="162"/>
      <c r="R43" s="161"/>
      <c r="S43" s="161"/>
    </row>
    <row r="44" spans="1:19" ht="23.5" x14ac:dyDescent="0.4">
      <c r="B44" s="248"/>
      <c r="C44" s="248"/>
      <c r="D44" s="248"/>
      <c r="E44" s="248"/>
      <c r="F44" s="248"/>
      <c r="G44" s="181">
        <v>45945</v>
      </c>
      <c r="H44" s="182">
        <v>268428000</v>
      </c>
      <c r="I44" s="182">
        <v>8052840</v>
      </c>
      <c r="J44" s="182">
        <f>I44+H44</f>
        <v>276480840</v>
      </c>
      <c r="K44" s="206">
        <f>K43-H44</f>
        <v>0</v>
      </c>
      <c r="L44" s="183">
        <f>+G44-$C$21</f>
        <v>379</v>
      </c>
      <c r="M44" s="184">
        <f t="shared" si="7"/>
        <v>177782723.32982442</v>
      </c>
      <c r="N44" s="162">
        <f t="shared" si="8"/>
        <v>0.77094232600567847</v>
      </c>
      <c r="O44" s="162"/>
      <c r="P44" s="162"/>
      <c r="Q44" s="162"/>
    </row>
    <row r="45" spans="1:19" ht="23.5" x14ac:dyDescent="0.4">
      <c r="B45" s="207"/>
      <c r="C45" s="207"/>
      <c r="D45" s="207"/>
      <c r="E45" s="207"/>
      <c r="F45" s="207"/>
      <c r="G45" s="155"/>
      <c r="H45" s="182"/>
      <c r="I45" s="182"/>
      <c r="J45" s="182"/>
      <c r="K45" s="206"/>
      <c r="L45" s="183">
        <f>+G45-$C$21</f>
        <v>-45566</v>
      </c>
      <c r="M45" s="184">
        <f t="shared" si="7"/>
        <v>0</v>
      </c>
      <c r="N45" s="162">
        <f t="shared" si="8"/>
        <v>0</v>
      </c>
      <c r="O45" s="162"/>
      <c r="P45" s="162"/>
      <c r="Q45" s="162"/>
    </row>
    <row r="46" spans="1:19" ht="23.5" x14ac:dyDescent="0.4">
      <c r="B46" s="207"/>
      <c r="C46" s="207"/>
      <c r="D46" s="207"/>
      <c r="E46" s="207"/>
      <c r="F46" s="207"/>
      <c r="G46" s="155"/>
      <c r="H46" s="182"/>
      <c r="I46" s="182"/>
      <c r="J46" s="182"/>
      <c r="K46" s="206"/>
      <c r="L46" s="183"/>
      <c r="M46" s="184">
        <f t="shared" si="7"/>
        <v>0</v>
      </c>
      <c r="N46" s="162">
        <f t="shared" si="8"/>
        <v>0</v>
      </c>
      <c r="O46" s="162"/>
      <c r="P46" s="162"/>
      <c r="Q46" s="162"/>
    </row>
    <row r="47" spans="1:19" ht="23.5" x14ac:dyDescent="0.4">
      <c r="B47" s="207"/>
      <c r="C47" s="207"/>
      <c r="D47" s="207"/>
      <c r="E47" s="207"/>
      <c r="F47" s="207"/>
      <c r="G47" s="155"/>
      <c r="H47" s="182"/>
      <c r="I47" s="182"/>
      <c r="J47" s="182"/>
      <c r="K47" s="206"/>
      <c r="L47" s="183"/>
      <c r="M47" s="184">
        <f t="shared" si="7"/>
        <v>0</v>
      </c>
      <c r="N47" s="162">
        <f t="shared" si="8"/>
        <v>0</v>
      </c>
      <c r="O47" s="162"/>
      <c r="P47" s="162"/>
      <c r="Q47" s="162"/>
    </row>
    <row r="48" spans="1:19" ht="23.5" x14ac:dyDescent="0.4">
      <c r="B48" s="207"/>
      <c r="C48" s="207"/>
      <c r="D48" s="207"/>
      <c r="E48" s="207"/>
      <c r="F48" s="207"/>
      <c r="G48" s="155"/>
      <c r="H48" s="182"/>
      <c r="I48" s="182"/>
      <c r="J48" s="182"/>
      <c r="K48" s="206"/>
      <c r="L48" s="183"/>
      <c r="M48" s="184">
        <f t="shared" si="7"/>
        <v>0</v>
      </c>
      <c r="N48" s="162">
        <f t="shared" si="8"/>
        <v>0</v>
      </c>
      <c r="O48" s="162"/>
      <c r="P48" s="162"/>
      <c r="Q48" s="162"/>
    </row>
    <row r="49" spans="2:17" ht="23.5" x14ac:dyDescent="0.4">
      <c r="B49" s="207"/>
      <c r="C49" s="207"/>
      <c r="D49" s="207"/>
      <c r="E49" s="207"/>
      <c r="F49" s="207"/>
      <c r="G49" s="155"/>
      <c r="H49" s="182"/>
      <c r="I49" s="182"/>
      <c r="J49" s="182"/>
      <c r="K49" s="206"/>
      <c r="L49" s="183"/>
      <c r="M49" s="184">
        <f t="shared" si="7"/>
        <v>0</v>
      </c>
      <c r="N49" s="162">
        <f t="shared" si="8"/>
        <v>0</v>
      </c>
      <c r="O49" s="162"/>
      <c r="P49" s="162"/>
      <c r="Q49" s="162"/>
    </row>
    <row r="50" spans="2:17" ht="23.5" x14ac:dyDescent="0.4">
      <c r="B50" s="207"/>
      <c r="C50" s="207"/>
      <c r="D50" s="207"/>
      <c r="E50" s="207"/>
      <c r="F50" s="207"/>
      <c r="G50" s="155"/>
      <c r="H50" s="182"/>
      <c r="I50" s="182"/>
      <c r="J50" s="182"/>
      <c r="K50" s="206"/>
      <c r="L50" s="183"/>
      <c r="M50" s="184">
        <f t="shared" si="7"/>
        <v>0</v>
      </c>
      <c r="N50" s="162">
        <f t="shared" si="8"/>
        <v>0</v>
      </c>
      <c r="O50" s="162"/>
      <c r="P50" s="162"/>
      <c r="Q50" s="162"/>
    </row>
    <row r="51" spans="2:17" ht="23.5" x14ac:dyDescent="0.4">
      <c r="B51" s="207"/>
      <c r="C51" s="207"/>
      <c r="D51" s="207"/>
      <c r="E51" s="207"/>
      <c r="F51" s="207"/>
      <c r="G51" s="155"/>
      <c r="H51" s="182"/>
      <c r="I51" s="182"/>
      <c r="J51" s="182"/>
      <c r="K51" s="206"/>
      <c r="L51" s="183"/>
      <c r="M51" s="184"/>
      <c r="N51" s="162"/>
      <c r="O51" s="162"/>
      <c r="P51" s="162"/>
      <c r="Q51" s="162"/>
    </row>
    <row r="52" spans="2:17" ht="24" thickBot="1" x14ac:dyDescent="0.45">
      <c r="B52" s="207"/>
      <c r="F52" s="207"/>
      <c r="G52" s="242" t="s">
        <v>0</v>
      </c>
      <c r="H52" s="243">
        <f>SUM(H43:H50)</f>
        <v>268428000</v>
      </c>
      <c r="I52" s="243">
        <f>SUM(I43:I50)</f>
        <v>100660500</v>
      </c>
      <c r="J52" s="243">
        <f>SUM(J43:J50)</f>
        <v>369088500</v>
      </c>
      <c r="K52" s="208"/>
      <c r="L52" s="231"/>
      <c r="M52" s="184">
        <f>+(SUM(M43:M50))</f>
        <v>239449541.76644951</v>
      </c>
      <c r="N52" s="184">
        <f>+(SUM(N43:N50))</f>
        <v>1.0171888420845208</v>
      </c>
      <c r="O52" s="162"/>
      <c r="P52" s="162"/>
      <c r="Q52" s="162"/>
    </row>
    <row r="53" spans="2:17" ht="23.5" x14ac:dyDescent="0.4">
      <c r="B53" s="207" t="s">
        <v>56</v>
      </c>
      <c r="C53" s="209"/>
      <c r="D53" s="210"/>
      <c r="E53" s="211"/>
      <c r="F53" s="207"/>
      <c r="G53" s="242"/>
      <c r="H53" s="243"/>
      <c r="I53" s="243"/>
      <c r="J53" s="243"/>
      <c r="K53" s="208"/>
      <c r="L53" s="231"/>
      <c r="M53" s="204"/>
      <c r="N53" s="162"/>
      <c r="O53" s="162"/>
      <c r="P53" s="162"/>
      <c r="Q53" s="162"/>
    </row>
    <row r="54" spans="2:17" ht="23.5" x14ac:dyDescent="0.55000000000000004">
      <c r="B54" s="207"/>
      <c r="C54" s="212"/>
      <c r="D54" s="207"/>
      <c r="E54" s="213"/>
      <c r="F54" s="207"/>
      <c r="G54" s="236"/>
      <c r="H54" s="236"/>
      <c r="I54" s="236"/>
      <c r="J54" s="236"/>
      <c r="K54" s="236"/>
      <c r="L54" s="231"/>
      <c r="M54" s="204"/>
      <c r="N54" s="162"/>
      <c r="O54" s="162"/>
      <c r="P54" s="162"/>
      <c r="Q54" s="162"/>
    </row>
    <row r="55" spans="2:17" ht="21" x14ac:dyDescent="0.5">
      <c r="C55" s="214"/>
      <c r="D55" s="215" t="s">
        <v>64</v>
      </c>
      <c r="E55" s="213"/>
      <c r="F55" s="207"/>
      <c r="G55" s="244" t="s">
        <v>63</v>
      </c>
      <c r="H55" s="240" t="s">
        <v>5</v>
      </c>
      <c r="I55" s="240" t="s">
        <v>6</v>
      </c>
      <c r="J55" s="240" t="s">
        <v>0</v>
      </c>
      <c r="K55" s="240" t="s">
        <v>7</v>
      </c>
      <c r="L55" s="162"/>
      <c r="M55" s="162"/>
      <c r="N55" s="162"/>
      <c r="O55" s="162"/>
      <c r="P55" s="162"/>
      <c r="Q55" s="162"/>
    </row>
    <row r="56" spans="2:17" ht="21" x14ac:dyDescent="0.5">
      <c r="C56" s="214"/>
      <c r="D56" s="215" t="s">
        <v>77</v>
      </c>
      <c r="E56" s="213"/>
      <c r="F56" s="159"/>
      <c r="G56" s="244"/>
      <c r="H56" s="240"/>
      <c r="I56" s="240"/>
      <c r="J56" s="240"/>
      <c r="K56" s="240"/>
      <c r="L56" s="183">
        <f>+G57-$C$21</f>
        <v>-45566</v>
      </c>
      <c r="M56" s="184">
        <f>+J57/(1+$E$27)^(L56/365)</f>
        <v>0</v>
      </c>
      <c r="N56" s="162">
        <f>M56/$M$63*(L56/365)</f>
        <v>0</v>
      </c>
      <c r="O56" s="162"/>
      <c r="P56" s="226"/>
      <c r="Q56" s="226"/>
    </row>
    <row r="57" spans="2:17" ht="23.5" x14ac:dyDescent="0.4">
      <c r="C57" s="214"/>
      <c r="E57" s="213"/>
      <c r="F57" s="159"/>
      <c r="G57" s="232"/>
      <c r="H57" s="237"/>
      <c r="I57" s="237"/>
      <c r="J57" s="237"/>
      <c r="K57" s="233">
        <f>E19</f>
        <v>0</v>
      </c>
      <c r="L57" s="162"/>
      <c r="M57" s="162"/>
      <c r="N57" s="162"/>
      <c r="O57" s="162"/>
      <c r="P57" s="226"/>
      <c r="Q57" s="226"/>
    </row>
    <row r="58" spans="2:17" ht="23.5" x14ac:dyDescent="0.45">
      <c r="C58" s="214"/>
      <c r="D58" s="216" t="s">
        <v>57</v>
      </c>
      <c r="E58" s="213"/>
      <c r="F58" s="159"/>
      <c r="G58" s="234">
        <v>45762</v>
      </c>
      <c r="H58" s="237">
        <v>252000</v>
      </c>
      <c r="I58" s="237">
        <v>2868002</v>
      </c>
      <c r="J58" s="237">
        <f>I58+H58</f>
        <v>3120002</v>
      </c>
      <c r="K58" s="233">
        <f>K57-H58</f>
        <v>-252000</v>
      </c>
      <c r="L58" s="183">
        <f>+G58-$C$21</f>
        <v>196</v>
      </c>
      <c r="M58" s="184">
        <f>+J58/(1+$E$27)^(L58/365)</f>
        <v>3120002</v>
      </c>
      <c r="N58" s="162">
        <f>M58/$M$63*(L58/365)</f>
        <v>0.3003253021085846</v>
      </c>
      <c r="O58" s="162"/>
      <c r="P58" s="226"/>
      <c r="Q58" s="226"/>
    </row>
    <row r="59" spans="2:17" ht="23.5" x14ac:dyDescent="0.45">
      <c r="B59" s="156"/>
      <c r="C59" s="214"/>
      <c r="D59" s="217" t="s">
        <v>80</v>
      </c>
      <c r="E59" s="213"/>
      <c r="F59" s="218"/>
      <c r="G59" s="234">
        <v>45792</v>
      </c>
      <c r="H59" s="237">
        <v>2266000</v>
      </c>
      <c r="I59" s="237">
        <v>192610</v>
      </c>
      <c r="J59" s="237">
        <f>I59+H59</f>
        <v>2458610</v>
      </c>
      <c r="K59" s="233">
        <f>K58-H59</f>
        <v>-2518000</v>
      </c>
      <c r="L59" s="183">
        <f>+G59-$C$21</f>
        <v>226</v>
      </c>
      <c r="M59" s="184">
        <f>+J59/(1+$E$27)^(L59/365)</f>
        <v>2458610</v>
      </c>
      <c r="N59" s="162">
        <f>M59/$M$63*(L59/365)</f>
        <v>0.27288462159718835</v>
      </c>
      <c r="O59" s="162"/>
      <c r="P59" s="226"/>
      <c r="Q59" s="226"/>
    </row>
    <row r="60" spans="2:17" ht="23.5" x14ac:dyDescent="0.45">
      <c r="B60" s="156"/>
      <c r="C60" s="214"/>
      <c r="D60" s="217" t="s">
        <v>81</v>
      </c>
      <c r="E60" s="213"/>
      <c r="G60" s="232"/>
      <c r="H60" s="237"/>
      <c r="I60" s="237"/>
      <c r="J60" s="237"/>
      <c r="K60" s="233"/>
      <c r="L60" s="183">
        <f>+G60-$C$21</f>
        <v>-45566</v>
      </c>
      <c r="M60" s="184">
        <f>+J60/(1+$E$27)^(L60/365)</f>
        <v>0</v>
      </c>
      <c r="N60" s="162">
        <f>M60/$M$63*(L60/365)</f>
        <v>0</v>
      </c>
      <c r="O60" s="162"/>
      <c r="P60" s="226"/>
      <c r="Q60" s="226"/>
    </row>
    <row r="61" spans="2:17" ht="23.5" x14ac:dyDescent="0.4">
      <c r="B61" s="156"/>
      <c r="C61" s="214"/>
      <c r="E61" s="213"/>
      <c r="G61" s="232"/>
      <c r="H61" s="237"/>
      <c r="I61" s="237"/>
      <c r="J61" s="237"/>
      <c r="K61" s="233"/>
      <c r="L61" s="183">
        <f>+G61-$C$21</f>
        <v>-45566</v>
      </c>
      <c r="M61" s="184">
        <f>+J61/(1+$E$27)^(L61/365)</f>
        <v>0</v>
      </c>
      <c r="N61" s="162">
        <f>M61/$M$63*(L61/365)</f>
        <v>0</v>
      </c>
      <c r="O61" s="162"/>
      <c r="Q61" s="158"/>
    </row>
    <row r="62" spans="2:17" ht="23.5" x14ac:dyDescent="0.45">
      <c r="B62" s="156"/>
      <c r="C62" s="214"/>
      <c r="D62" s="216" t="s">
        <v>78</v>
      </c>
      <c r="E62" s="213"/>
      <c r="G62" s="239" t="s">
        <v>0</v>
      </c>
      <c r="H62" s="238">
        <f>SUM(H57:H61)</f>
        <v>2518000</v>
      </c>
      <c r="I62" s="238">
        <f>SUM(I57:I61)</f>
        <v>3060612</v>
      </c>
      <c r="J62" s="238">
        <f>SUM(J57:J61)</f>
        <v>5578612</v>
      </c>
      <c r="K62" s="235"/>
      <c r="L62" s="183"/>
      <c r="M62" s="184"/>
      <c r="N62" s="162"/>
      <c r="O62" s="162"/>
      <c r="Q62" s="158"/>
    </row>
    <row r="63" spans="2:17" ht="23.5" x14ac:dyDescent="0.45">
      <c r="B63" s="156"/>
      <c r="C63" s="214"/>
      <c r="D63" s="216" t="s">
        <v>58</v>
      </c>
      <c r="E63" s="213"/>
      <c r="G63" s="239"/>
      <c r="H63" s="238"/>
      <c r="I63" s="238"/>
      <c r="J63" s="238"/>
      <c r="K63" s="235"/>
      <c r="L63" s="183">
        <f>+G63-$C$21</f>
        <v>-45566</v>
      </c>
      <c r="M63" s="229">
        <f>SUM(M56:M60)</f>
        <v>5578612</v>
      </c>
      <c r="N63" s="162">
        <f>SUM(N56:N60)</f>
        <v>0.57320992370577295</v>
      </c>
      <c r="O63" s="162"/>
      <c r="Q63" s="158"/>
    </row>
    <row r="64" spans="2:17" ht="19.5" x14ac:dyDescent="0.45">
      <c r="B64" s="156"/>
      <c r="C64" s="214"/>
      <c r="D64" s="216"/>
      <c r="E64" s="213"/>
      <c r="F64" s="219"/>
      <c r="G64" s="157"/>
      <c r="I64" s="220"/>
      <c r="J64" s="220"/>
      <c r="K64" s="160"/>
      <c r="L64" s="162"/>
      <c r="M64" s="162"/>
      <c r="N64" s="162"/>
      <c r="O64" s="162"/>
      <c r="P64" s="161"/>
      <c r="Q64" s="161"/>
    </row>
    <row r="65" spans="1:17" ht="18" x14ac:dyDescent="0.4">
      <c r="B65" s="156"/>
      <c r="C65" s="214"/>
      <c r="D65" s="228" t="s">
        <v>82</v>
      </c>
      <c r="E65" s="213"/>
      <c r="F65" s="159"/>
      <c r="G65" s="157"/>
      <c r="I65" s="220"/>
      <c r="J65" s="220"/>
      <c r="K65" s="160"/>
      <c r="P65" s="161"/>
      <c r="Q65" s="161"/>
    </row>
    <row r="66" spans="1:17" ht="16.5" thickBot="1" x14ac:dyDescent="0.45">
      <c r="C66" s="221"/>
      <c r="D66" s="222"/>
      <c r="E66" s="223"/>
      <c r="G66" s="157"/>
      <c r="I66" s="220"/>
      <c r="J66" s="220"/>
      <c r="K66" s="160"/>
      <c r="P66" s="161"/>
      <c r="Q66" s="161"/>
    </row>
    <row r="67" spans="1:17" x14ac:dyDescent="0.4">
      <c r="F67" s="159"/>
      <c r="G67" s="157"/>
      <c r="I67" s="220"/>
      <c r="J67" s="220"/>
      <c r="K67" s="160"/>
      <c r="P67" s="161"/>
      <c r="Q67" s="161"/>
    </row>
    <row r="68" spans="1:17" x14ac:dyDescent="0.4">
      <c r="A68" s="199"/>
      <c r="F68" s="159"/>
      <c r="G68" s="159"/>
      <c r="H68" s="159"/>
      <c r="K68" s="159"/>
      <c r="P68" s="161"/>
      <c r="Q68" s="161"/>
    </row>
    <row r="69" spans="1:17" x14ac:dyDescent="0.4">
      <c r="A69" s="199"/>
      <c r="F69" s="224"/>
      <c r="G69" s="159"/>
      <c r="H69" s="159"/>
      <c r="K69" s="159"/>
      <c r="P69" s="161"/>
      <c r="Q69" s="161"/>
    </row>
    <row r="70" spans="1:17" x14ac:dyDescent="0.4">
      <c r="A70" s="199"/>
      <c r="F70" s="159"/>
      <c r="G70" s="159"/>
      <c r="H70" s="159"/>
      <c r="K70" s="159"/>
      <c r="P70" s="161"/>
      <c r="Q70" s="161"/>
    </row>
    <row r="71" spans="1:17" x14ac:dyDescent="0.4">
      <c r="F71" s="159"/>
      <c r="G71" s="159"/>
      <c r="H71" s="159"/>
      <c r="K71" s="159"/>
      <c r="P71" s="161"/>
      <c r="Q71" s="161"/>
    </row>
    <row r="72" spans="1:17" x14ac:dyDescent="0.4">
      <c r="F72" s="159"/>
      <c r="G72" s="159"/>
      <c r="H72" s="159"/>
      <c r="K72" s="159"/>
      <c r="P72" s="161"/>
      <c r="Q72" s="161"/>
    </row>
    <row r="73" spans="1:17" x14ac:dyDescent="0.4">
      <c r="F73" s="159"/>
      <c r="G73" s="159"/>
      <c r="H73" s="159"/>
      <c r="K73" s="159"/>
      <c r="P73" s="161"/>
      <c r="Q73" s="161"/>
    </row>
    <row r="74" spans="1:17" x14ac:dyDescent="0.4">
      <c r="F74" s="159"/>
      <c r="G74" s="159"/>
      <c r="H74" s="159"/>
      <c r="K74" s="159"/>
      <c r="P74" s="161"/>
      <c r="Q74" s="161"/>
    </row>
    <row r="75" spans="1:17" x14ac:dyDescent="0.4">
      <c r="F75" s="159"/>
      <c r="G75" s="159"/>
      <c r="H75" s="159"/>
      <c r="K75" s="159"/>
      <c r="P75" s="161"/>
      <c r="Q75" s="161"/>
    </row>
    <row r="76" spans="1:17" x14ac:dyDescent="0.4">
      <c r="F76" s="159"/>
      <c r="G76" s="159"/>
      <c r="H76" s="159"/>
      <c r="K76" s="159"/>
      <c r="P76" s="161"/>
      <c r="Q76" s="161"/>
    </row>
    <row r="77" spans="1:17" x14ac:dyDescent="0.4">
      <c r="F77" s="159"/>
      <c r="G77" s="159"/>
      <c r="H77" s="159"/>
      <c r="K77" s="159"/>
      <c r="P77" s="161"/>
      <c r="Q77" s="161"/>
    </row>
    <row r="78" spans="1:17" x14ac:dyDescent="0.4">
      <c r="F78" s="159"/>
      <c r="G78" s="159"/>
      <c r="H78" s="159"/>
      <c r="K78" s="159"/>
      <c r="P78" s="161"/>
      <c r="Q78" s="161"/>
    </row>
    <row r="79" spans="1:17" x14ac:dyDescent="0.4">
      <c r="F79" s="159"/>
      <c r="G79" s="159"/>
      <c r="H79" s="159"/>
      <c r="K79" s="159"/>
      <c r="P79" s="161"/>
      <c r="Q79" s="161"/>
    </row>
    <row r="80" spans="1:17" x14ac:dyDescent="0.4">
      <c r="F80" s="159"/>
      <c r="G80" s="159"/>
      <c r="H80" s="159"/>
      <c r="K80" s="159"/>
      <c r="P80" s="161"/>
      <c r="Q80" s="161"/>
    </row>
    <row r="81" spans="6:17" x14ac:dyDescent="0.4">
      <c r="F81" s="159"/>
      <c r="G81" s="159"/>
      <c r="H81" s="159"/>
      <c r="K81" s="159"/>
      <c r="P81" s="161"/>
      <c r="Q81" s="161"/>
    </row>
    <row r="82" spans="6:17" x14ac:dyDescent="0.4">
      <c r="F82" s="159"/>
      <c r="G82" s="159"/>
      <c r="H82" s="159"/>
      <c r="K82" s="159"/>
      <c r="P82" s="161"/>
      <c r="Q82" s="161"/>
    </row>
    <row r="83" spans="6:17" x14ac:dyDescent="0.4">
      <c r="F83" s="159"/>
      <c r="G83" s="159"/>
      <c r="H83" s="159"/>
      <c r="K83" s="159"/>
      <c r="P83" s="161"/>
      <c r="Q83" s="161"/>
    </row>
    <row r="84" spans="6:17" x14ac:dyDescent="0.4">
      <c r="F84" s="159"/>
      <c r="G84" s="159"/>
      <c r="H84" s="159"/>
      <c r="K84" s="159"/>
      <c r="P84" s="161"/>
      <c r="Q84" s="161"/>
    </row>
    <row r="85" spans="6:17" x14ac:dyDescent="0.4">
      <c r="F85" s="159"/>
      <c r="G85" s="159"/>
      <c r="H85" s="159"/>
      <c r="K85" s="159"/>
      <c r="P85" s="161"/>
      <c r="Q85" s="161"/>
    </row>
    <row r="86" spans="6:17" x14ac:dyDescent="0.4">
      <c r="F86" s="159"/>
      <c r="G86" s="159"/>
      <c r="H86" s="159"/>
      <c r="K86" s="159"/>
      <c r="P86" s="161"/>
      <c r="Q86" s="161"/>
    </row>
    <row r="87" spans="6:17" x14ac:dyDescent="0.4">
      <c r="F87" s="159"/>
      <c r="G87" s="159"/>
      <c r="H87" s="159"/>
      <c r="K87" s="159"/>
      <c r="P87" s="161"/>
      <c r="Q87" s="161"/>
    </row>
    <row r="88" spans="6:17" x14ac:dyDescent="0.4">
      <c r="F88" s="159"/>
      <c r="G88" s="159"/>
      <c r="H88" s="159"/>
      <c r="K88" s="159"/>
      <c r="P88" s="161"/>
      <c r="Q88" s="161"/>
    </row>
    <row r="89" spans="6:17" x14ac:dyDescent="0.4">
      <c r="F89" s="159"/>
      <c r="G89" s="159"/>
      <c r="H89" s="159"/>
      <c r="K89" s="159"/>
      <c r="P89" s="161"/>
      <c r="Q89" s="161"/>
    </row>
    <row r="90" spans="6:17" x14ac:dyDescent="0.4">
      <c r="F90" s="159"/>
      <c r="G90" s="159"/>
      <c r="H90" s="159"/>
      <c r="K90" s="159"/>
      <c r="P90" s="161"/>
      <c r="Q90" s="161"/>
    </row>
    <row r="91" spans="6:17" x14ac:dyDescent="0.4">
      <c r="F91" s="159"/>
      <c r="G91" s="159"/>
      <c r="H91" s="159"/>
      <c r="K91" s="159"/>
      <c r="P91" s="161"/>
      <c r="Q91" s="161"/>
    </row>
    <row r="92" spans="6:17" x14ac:dyDescent="0.4">
      <c r="F92" s="159"/>
      <c r="G92" s="159"/>
      <c r="H92" s="159"/>
      <c r="K92" s="159"/>
      <c r="P92" s="161"/>
      <c r="Q92" s="161"/>
    </row>
    <row r="93" spans="6:17" x14ac:dyDescent="0.4">
      <c r="F93" s="159"/>
      <c r="G93" s="159"/>
      <c r="H93" s="159"/>
      <c r="K93" s="159"/>
      <c r="P93" s="161"/>
      <c r="Q93" s="161"/>
    </row>
    <row r="94" spans="6:17" x14ac:dyDescent="0.4">
      <c r="F94" s="159"/>
      <c r="G94" s="159"/>
      <c r="H94" s="159"/>
      <c r="K94" s="159"/>
      <c r="P94" s="161"/>
      <c r="Q94" s="161"/>
    </row>
    <row r="95" spans="6:17" x14ac:dyDescent="0.4">
      <c r="F95" s="159"/>
      <c r="G95" s="159"/>
      <c r="H95" s="159"/>
      <c r="K95" s="159"/>
      <c r="P95" s="161"/>
      <c r="Q95" s="161"/>
    </row>
    <row r="96" spans="6:17" x14ac:dyDescent="0.4">
      <c r="F96" s="159"/>
      <c r="G96" s="159"/>
      <c r="H96" s="159"/>
      <c r="K96" s="159"/>
      <c r="P96" s="161"/>
      <c r="Q96" s="161"/>
    </row>
    <row r="97" spans="1:17" x14ac:dyDescent="0.4">
      <c r="F97" s="159"/>
      <c r="G97" s="159"/>
      <c r="H97" s="159"/>
      <c r="K97" s="159"/>
      <c r="P97" s="161"/>
      <c r="Q97" s="161"/>
    </row>
    <row r="98" spans="1:17" x14ac:dyDescent="0.4">
      <c r="F98" s="159"/>
      <c r="G98" s="159"/>
      <c r="H98" s="159"/>
      <c r="K98" s="159"/>
      <c r="P98" s="161"/>
      <c r="Q98" s="161"/>
    </row>
    <row r="99" spans="1:17" x14ac:dyDescent="0.4">
      <c r="F99" s="159"/>
      <c r="G99" s="159"/>
      <c r="H99" s="159"/>
      <c r="K99" s="159"/>
      <c r="P99" s="161"/>
      <c r="Q99" s="161"/>
    </row>
    <row r="100" spans="1:17" x14ac:dyDescent="0.4">
      <c r="F100" s="159"/>
      <c r="G100" s="159"/>
      <c r="H100" s="159"/>
      <c r="K100" s="159"/>
      <c r="P100" s="161"/>
      <c r="Q100" s="161"/>
    </row>
    <row r="101" spans="1:17" x14ac:dyDescent="0.4">
      <c r="F101" s="159"/>
      <c r="G101" s="159"/>
      <c r="H101" s="159"/>
      <c r="K101" s="159"/>
      <c r="P101" s="161"/>
      <c r="Q101" s="161"/>
    </row>
    <row r="102" spans="1:17" x14ac:dyDescent="0.4">
      <c r="F102" s="159"/>
      <c r="G102" s="159"/>
      <c r="H102" s="159"/>
      <c r="K102" s="159"/>
      <c r="P102" s="161"/>
      <c r="Q102" s="161"/>
    </row>
    <row r="103" spans="1:17" x14ac:dyDescent="0.4">
      <c r="F103" s="159"/>
      <c r="G103" s="159"/>
      <c r="H103" s="159"/>
      <c r="K103" s="159"/>
      <c r="P103" s="161"/>
      <c r="Q103" s="161"/>
    </row>
    <row r="104" spans="1:17" x14ac:dyDescent="0.4">
      <c r="F104" s="159"/>
      <c r="G104" s="159"/>
      <c r="H104" s="159"/>
      <c r="K104" s="159"/>
      <c r="P104" s="161"/>
      <c r="Q104" s="161"/>
    </row>
    <row r="105" spans="1:17" x14ac:dyDescent="0.4">
      <c r="A105" s="199"/>
      <c r="F105" s="159"/>
      <c r="G105" s="159"/>
      <c r="H105" s="159"/>
      <c r="K105" s="159"/>
      <c r="P105" s="161"/>
      <c r="Q105" s="161"/>
    </row>
    <row r="106" spans="1:17" x14ac:dyDescent="0.4">
      <c r="A106" s="199"/>
      <c r="F106" s="159"/>
      <c r="G106" s="159"/>
      <c r="H106" s="159"/>
      <c r="K106" s="159"/>
      <c r="P106" s="161"/>
      <c r="Q106" s="161"/>
    </row>
    <row r="107" spans="1:17" x14ac:dyDescent="0.4">
      <c r="F107" s="159"/>
      <c r="G107" s="159"/>
      <c r="H107" s="159"/>
      <c r="K107" s="159"/>
      <c r="P107" s="161"/>
      <c r="Q107" s="161"/>
    </row>
    <row r="108" spans="1:17" x14ac:dyDescent="0.4">
      <c r="F108" s="159"/>
      <c r="G108" s="159"/>
      <c r="H108" s="159"/>
      <c r="K108" s="159"/>
      <c r="P108" s="161"/>
      <c r="Q108" s="161"/>
    </row>
    <row r="109" spans="1:17" x14ac:dyDescent="0.4">
      <c r="F109" s="159"/>
      <c r="G109" s="159"/>
      <c r="H109" s="159"/>
      <c r="K109" s="159"/>
      <c r="P109" s="161"/>
      <c r="Q109" s="161"/>
    </row>
    <row r="110" spans="1:17" x14ac:dyDescent="0.4">
      <c r="F110" s="159"/>
      <c r="G110" s="159"/>
      <c r="H110" s="159"/>
      <c r="K110" s="159"/>
      <c r="P110" s="161"/>
      <c r="Q110" s="161"/>
    </row>
    <row r="111" spans="1:17" x14ac:dyDescent="0.4">
      <c r="F111" s="159"/>
      <c r="G111" s="159"/>
      <c r="H111" s="159"/>
      <c r="K111" s="159"/>
      <c r="P111" s="161"/>
      <c r="Q111" s="161"/>
    </row>
    <row r="112" spans="1:17" x14ac:dyDescent="0.4">
      <c r="F112" s="159"/>
      <c r="G112" s="159"/>
      <c r="H112" s="159"/>
      <c r="K112" s="159"/>
      <c r="P112" s="161"/>
      <c r="Q112" s="161"/>
    </row>
    <row r="113" spans="6:17" x14ac:dyDescent="0.4">
      <c r="F113" s="159"/>
      <c r="G113" s="159"/>
      <c r="H113" s="159"/>
      <c r="K113" s="159"/>
      <c r="P113" s="161"/>
      <c r="Q113" s="161"/>
    </row>
    <row r="114" spans="6:17" x14ac:dyDescent="0.4">
      <c r="F114" s="158"/>
      <c r="G114" s="159"/>
      <c r="H114" s="159"/>
      <c r="K114" s="159"/>
      <c r="P114" s="161"/>
      <c r="Q114" s="161"/>
    </row>
    <row r="115" spans="6:17" x14ac:dyDescent="0.4">
      <c r="F115" s="158"/>
      <c r="P115" s="161"/>
      <c r="Q115" s="161"/>
    </row>
    <row r="116" spans="6:17" x14ac:dyDescent="0.4">
      <c r="F116" s="158"/>
      <c r="P116" s="161"/>
      <c r="Q116" s="161"/>
    </row>
    <row r="117" spans="6:17" x14ac:dyDescent="0.4">
      <c r="F117" s="158"/>
      <c r="P117" s="161"/>
      <c r="Q117" s="161"/>
    </row>
    <row r="118" spans="6:17" x14ac:dyDescent="0.4">
      <c r="F118" s="158"/>
      <c r="P118" s="161"/>
      <c r="Q118" s="161"/>
    </row>
    <row r="119" spans="6:17" x14ac:dyDescent="0.4">
      <c r="F119" s="158"/>
      <c r="P119" s="161"/>
      <c r="Q119" s="161"/>
    </row>
    <row r="120" spans="6:17" x14ac:dyDescent="0.4">
      <c r="F120" s="158"/>
      <c r="P120" s="161"/>
      <c r="Q120" s="161"/>
    </row>
    <row r="121" spans="6:17" x14ac:dyDescent="0.4">
      <c r="F121" s="158"/>
      <c r="P121" s="161"/>
      <c r="Q121" s="161"/>
    </row>
    <row r="122" spans="6:17" x14ac:dyDescent="0.4">
      <c r="P122" s="161"/>
      <c r="Q122" s="161"/>
    </row>
    <row r="123" spans="6:17" x14ac:dyDescent="0.4">
      <c r="P123" s="161"/>
      <c r="Q123" s="161"/>
    </row>
    <row r="124" spans="6:17" x14ac:dyDescent="0.4">
      <c r="P124" s="161"/>
      <c r="Q124" s="161"/>
    </row>
    <row r="125" spans="6:17" x14ac:dyDescent="0.4">
      <c r="P125" s="161"/>
      <c r="Q125" s="161"/>
    </row>
    <row r="126" spans="6:17" x14ac:dyDescent="0.4">
      <c r="P126" s="161"/>
      <c r="Q126" s="161"/>
    </row>
    <row r="127" spans="6:17" x14ac:dyDescent="0.4">
      <c r="P127" s="161"/>
      <c r="Q127" s="161"/>
    </row>
    <row r="128" spans="6:17" x14ac:dyDescent="0.4">
      <c r="P128" s="161"/>
      <c r="Q128" s="161"/>
    </row>
    <row r="129" spans="16:17" x14ac:dyDescent="0.4">
      <c r="P129" s="161"/>
      <c r="Q129" s="161"/>
    </row>
    <row r="130" spans="16:17" x14ac:dyDescent="0.4">
      <c r="P130" s="161"/>
      <c r="Q130" s="161"/>
    </row>
    <row r="131" spans="16:17" x14ac:dyDescent="0.4">
      <c r="P131" s="161"/>
    </row>
    <row r="132" spans="16:17" x14ac:dyDescent="0.4">
      <c r="P132" s="161"/>
    </row>
    <row r="133" spans="16:17" x14ac:dyDescent="0.4">
      <c r="P133" s="161"/>
    </row>
    <row r="134" spans="16:17" x14ac:dyDescent="0.4">
      <c r="P134" s="161"/>
    </row>
    <row r="135" spans="16:17" x14ac:dyDescent="0.4">
      <c r="P135" s="161"/>
    </row>
    <row r="136" spans="16:17" x14ac:dyDescent="0.4">
      <c r="P136" s="161"/>
    </row>
    <row r="137" spans="16:17" x14ac:dyDescent="0.4">
      <c r="P137" s="161"/>
    </row>
    <row r="138" spans="16:17" x14ac:dyDescent="0.4">
      <c r="P138" s="161"/>
    </row>
    <row r="139" spans="16:17" x14ac:dyDescent="0.4">
      <c r="P139" s="161"/>
    </row>
    <row r="140" spans="16:17" x14ac:dyDescent="0.4">
      <c r="P140" s="161"/>
    </row>
    <row r="141" spans="16:17" x14ac:dyDescent="0.4">
      <c r="P141" s="161"/>
    </row>
    <row r="142" spans="16:17" x14ac:dyDescent="0.4">
      <c r="P142" s="161"/>
    </row>
    <row r="143" spans="16:17" x14ac:dyDescent="0.4">
      <c r="P143" s="161"/>
    </row>
    <row r="144" spans="16:17" x14ac:dyDescent="0.4">
      <c r="P144" s="161"/>
    </row>
    <row r="145" spans="16:16" x14ac:dyDescent="0.4">
      <c r="P145" s="161"/>
    </row>
    <row r="146" spans="16:16" x14ac:dyDescent="0.4">
      <c r="P146" s="161"/>
    </row>
    <row r="147" spans="16:16" x14ac:dyDescent="0.4">
      <c r="P147" s="161"/>
    </row>
    <row r="148" spans="16:16" x14ac:dyDescent="0.4">
      <c r="P148" s="161"/>
    </row>
    <row r="149" spans="16:16" x14ac:dyDescent="0.4">
      <c r="P149" s="161"/>
    </row>
    <row r="150" spans="16:16" x14ac:dyDescent="0.4">
      <c r="P150" s="161"/>
    </row>
    <row r="151" spans="16:16" x14ac:dyDescent="0.4">
      <c r="P151" s="161"/>
    </row>
    <row r="152" spans="16:16" x14ac:dyDescent="0.4">
      <c r="P152" s="161"/>
    </row>
    <row r="153" spans="16:16" x14ac:dyDescent="0.4">
      <c r="P153" s="161"/>
    </row>
    <row r="154" spans="16:16" x14ac:dyDescent="0.4">
      <c r="P154" s="161"/>
    </row>
    <row r="155" spans="16:16" x14ac:dyDescent="0.4">
      <c r="P155" s="161"/>
    </row>
    <row r="156" spans="16:16" x14ac:dyDescent="0.4">
      <c r="P156" s="161"/>
    </row>
    <row r="157" spans="16:16" x14ac:dyDescent="0.4">
      <c r="P157" s="161"/>
    </row>
    <row r="158" spans="16:16" x14ac:dyDescent="0.4">
      <c r="P158" s="161"/>
    </row>
    <row r="159" spans="16:16" x14ac:dyDescent="0.4">
      <c r="P159" s="161"/>
    </row>
    <row r="160" spans="16:16" x14ac:dyDescent="0.4">
      <c r="P160" s="161"/>
    </row>
    <row r="161" spans="16:16" x14ac:dyDescent="0.4">
      <c r="P161" s="161"/>
    </row>
    <row r="162" spans="16:16" x14ac:dyDescent="0.4">
      <c r="P162" s="161"/>
    </row>
    <row r="163" spans="16:16" x14ac:dyDescent="0.4">
      <c r="P163" s="161"/>
    </row>
    <row r="164" spans="16:16" x14ac:dyDescent="0.4">
      <c r="P164" s="161"/>
    </row>
    <row r="165" spans="16:16" x14ac:dyDescent="0.4">
      <c r="P165" s="161"/>
    </row>
    <row r="166" spans="16:16" x14ac:dyDescent="0.4">
      <c r="P166" s="161"/>
    </row>
    <row r="167" spans="16:16" x14ac:dyDescent="0.4">
      <c r="P167" s="161"/>
    </row>
    <row r="168" spans="16:16" x14ac:dyDescent="0.4">
      <c r="P168" s="161"/>
    </row>
    <row r="169" spans="16:16" x14ac:dyDescent="0.4">
      <c r="P169" s="161"/>
    </row>
    <row r="170" spans="16:16" x14ac:dyDescent="0.4">
      <c r="P170" s="161"/>
    </row>
    <row r="171" spans="16:16" x14ac:dyDescent="0.4">
      <c r="P171" s="161"/>
    </row>
    <row r="172" spans="16:16" x14ac:dyDescent="0.4">
      <c r="P172" s="161"/>
    </row>
    <row r="173" spans="16:16" x14ac:dyDescent="0.4">
      <c r="P173" s="161"/>
    </row>
    <row r="174" spans="16:16" x14ac:dyDescent="0.4">
      <c r="P174" s="161"/>
    </row>
    <row r="175" spans="16:16" x14ac:dyDescent="0.4">
      <c r="P175" s="161"/>
    </row>
    <row r="176" spans="16:16" x14ac:dyDescent="0.4">
      <c r="P176" s="161"/>
    </row>
    <row r="177" spans="16:16" x14ac:dyDescent="0.4">
      <c r="P177" s="161"/>
    </row>
    <row r="178" spans="16:16" x14ac:dyDescent="0.4">
      <c r="P178" s="161"/>
    </row>
    <row r="179" spans="16:16" x14ac:dyDescent="0.4">
      <c r="P179" s="161"/>
    </row>
    <row r="180" spans="16:16" x14ac:dyDescent="0.4">
      <c r="P180" s="161"/>
    </row>
    <row r="181" spans="16:16" x14ac:dyDescent="0.4">
      <c r="P181" s="161"/>
    </row>
    <row r="182" spans="16:16" x14ac:dyDescent="0.4">
      <c r="P182" s="161"/>
    </row>
    <row r="183" spans="16:16" x14ac:dyDescent="0.4">
      <c r="P183" s="161"/>
    </row>
    <row r="184" spans="16:16" x14ac:dyDescent="0.4">
      <c r="P184" s="161"/>
    </row>
    <row r="185" spans="16:16" x14ac:dyDescent="0.4">
      <c r="P185" s="161"/>
    </row>
    <row r="186" spans="16:16" x14ac:dyDescent="0.4">
      <c r="P186" s="161"/>
    </row>
    <row r="187" spans="16:16" x14ac:dyDescent="0.4">
      <c r="P187" s="161"/>
    </row>
    <row r="188" spans="16:16" x14ac:dyDescent="0.4">
      <c r="P188" s="161"/>
    </row>
    <row r="189" spans="16:16" x14ac:dyDescent="0.4">
      <c r="P189" s="161"/>
    </row>
    <row r="190" spans="16:16" x14ac:dyDescent="0.4">
      <c r="P190" s="161"/>
    </row>
    <row r="191" spans="16:16" x14ac:dyDescent="0.4">
      <c r="P191" s="161"/>
    </row>
    <row r="192" spans="16:16" x14ac:dyDescent="0.4">
      <c r="P192" s="161"/>
    </row>
    <row r="193" spans="16:16" x14ac:dyDescent="0.4">
      <c r="P193" s="161"/>
    </row>
    <row r="194" spans="16:16" x14ac:dyDescent="0.4">
      <c r="P194" s="161"/>
    </row>
    <row r="195" spans="16:16" x14ac:dyDescent="0.4">
      <c r="P195" s="161"/>
    </row>
    <row r="196" spans="16:16" x14ac:dyDescent="0.4">
      <c r="P196" s="161"/>
    </row>
    <row r="197" spans="16:16" x14ac:dyDescent="0.4">
      <c r="P197" s="161"/>
    </row>
    <row r="198" spans="16:16" x14ac:dyDescent="0.4">
      <c r="P198" s="161"/>
    </row>
    <row r="199" spans="16:16" x14ac:dyDescent="0.4">
      <c r="P199" s="161"/>
    </row>
    <row r="200" spans="16:16" x14ac:dyDescent="0.4">
      <c r="P200" s="161"/>
    </row>
    <row r="201" spans="16:16" x14ac:dyDescent="0.4">
      <c r="P201" s="161"/>
    </row>
    <row r="202" spans="16:16" x14ac:dyDescent="0.4">
      <c r="P202" s="161"/>
    </row>
    <row r="203" spans="16:16" x14ac:dyDescent="0.4">
      <c r="P203" s="161"/>
    </row>
    <row r="204" spans="16:16" x14ac:dyDescent="0.4">
      <c r="P204" s="161"/>
    </row>
    <row r="205" spans="16:16" x14ac:dyDescent="0.4">
      <c r="P205" s="161"/>
    </row>
    <row r="206" spans="16:16" x14ac:dyDescent="0.4">
      <c r="P206" s="161"/>
    </row>
    <row r="207" spans="16:16" x14ac:dyDescent="0.4">
      <c r="P207" s="161"/>
    </row>
    <row r="208" spans="16:16" x14ac:dyDescent="0.4">
      <c r="P208" s="161"/>
    </row>
    <row r="209" spans="16:16" x14ac:dyDescent="0.4">
      <c r="P209" s="161"/>
    </row>
    <row r="210" spans="16:16" x14ac:dyDescent="0.4">
      <c r="P210" s="161"/>
    </row>
    <row r="211" spans="16:16" x14ac:dyDescent="0.4">
      <c r="P211" s="161"/>
    </row>
    <row r="212" spans="16:16" x14ac:dyDescent="0.4">
      <c r="P212" s="161"/>
    </row>
    <row r="213" spans="16:16" x14ac:dyDescent="0.4">
      <c r="P213" s="161"/>
    </row>
    <row r="214" spans="16:16" x14ac:dyDescent="0.4">
      <c r="P214" s="161"/>
    </row>
    <row r="215" spans="16:16" x14ac:dyDescent="0.4">
      <c r="P215" s="161"/>
    </row>
    <row r="216" spans="16:16" x14ac:dyDescent="0.4">
      <c r="P216" s="161"/>
    </row>
    <row r="217" spans="16:16" x14ac:dyDescent="0.4">
      <c r="P217" s="161"/>
    </row>
    <row r="218" spans="16:16" x14ac:dyDescent="0.4">
      <c r="P218" s="161"/>
    </row>
    <row r="219" spans="16:16" x14ac:dyDescent="0.4">
      <c r="P219" s="161"/>
    </row>
    <row r="220" spans="16:16" x14ac:dyDescent="0.4">
      <c r="P220" s="161"/>
    </row>
    <row r="221" spans="16:16" x14ac:dyDescent="0.4">
      <c r="P221" s="161"/>
    </row>
  </sheetData>
  <sheetProtection algorithmName="SHA-512" hashValue="w+4YEgNTQJPvvRXcIBcYJHmO/g5E80Cqp2zVFu2L6zCl1JDUuheXI97VNFrK0RCkqdcFYZa1jNTk7SDQ7BN8pg==" saltValue="lAMQXhRge4pjWf681iyJxQ==" spinCount="100000" sheet="1" formatCells="0" formatColumns="0" formatRows="0"/>
  <protectedRanges>
    <protectedRange sqref="E32" name="Rango6"/>
    <protectedRange sqref="D32" name="Rango5"/>
    <protectedRange sqref="C32" name="Rango4"/>
    <protectedRange sqref="E27" name="Rango3"/>
    <protectedRange sqref="D27" name="Rango2"/>
    <protectedRange sqref="C27" name="Rango1"/>
  </protectedRanges>
  <mergeCells count="51">
    <mergeCell ref="C27:C28"/>
    <mergeCell ref="C33:C34"/>
    <mergeCell ref="E31:F31"/>
    <mergeCell ref="D27:F28"/>
    <mergeCell ref="D29:F29"/>
    <mergeCell ref="D32:F32"/>
    <mergeCell ref="D33:F34"/>
    <mergeCell ref="B15:K17"/>
    <mergeCell ref="H18:H19"/>
    <mergeCell ref="I18:I19"/>
    <mergeCell ref="J18:J19"/>
    <mergeCell ref="K18:K19"/>
    <mergeCell ref="G19:G20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H37:H38"/>
    <mergeCell ref="I37:I38"/>
    <mergeCell ref="J37:J38"/>
    <mergeCell ref="G41:G42"/>
    <mergeCell ref="H40:H41"/>
    <mergeCell ref="I40:I41"/>
    <mergeCell ref="J40:J41"/>
    <mergeCell ref="B39:F44"/>
    <mergeCell ref="B38:F38"/>
    <mergeCell ref="B35:B36"/>
    <mergeCell ref="C35:C36"/>
    <mergeCell ref="D35:F36"/>
    <mergeCell ref="D37:F37"/>
    <mergeCell ref="B33:B34"/>
    <mergeCell ref="B27:B28"/>
    <mergeCell ref="K55:K56"/>
    <mergeCell ref="K40:K41"/>
    <mergeCell ref="G52:G53"/>
    <mergeCell ref="H52:H53"/>
    <mergeCell ref="I52:I53"/>
    <mergeCell ref="J52:J53"/>
    <mergeCell ref="G55:G56"/>
    <mergeCell ref="H62:H63"/>
    <mergeCell ref="I62:I63"/>
    <mergeCell ref="J62:J63"/>
    <mergeCell ref="G62:G63"/>
    <mergeCell ref="H55:H56"/>
    <mergeCell ref="I55:I56"/>
    <mergeCell ref="J55:J56"/>
  </mergeCells>
  <phoneticPr fontId="12" type="noConversion"/>
  <hyperlinks>
    <hyperlink ref="D65" r:id="rId1" xr:uid="{00000000-0004-0000-0000-000001000000}"/>
    <hyperlink ref="D59" r:id="rId2" xr:uid="{EDE29878-69CF-48BA-BF3B-7394F82AA36C}"/>
    <hyperlink ref="D60" r:id="rId3" xr:uid="{0FB5F445-3AB0-4995-BEEB-238A5BEADFF8}"/>
  </hyperlinks>
  <pageMargins left="0.70866141732283472" right="0.70866141732283472" top="0.74803149606299213" bottom="0.74803149606299213" header="0.31496062992125984" footer="0.31496062992125984"/>
  <pageSetup scale="22" orientation="landscape" r:id="rId4"/>
  <ignoredErrors>
    <ignoredError sqref="D32" unlockedFormula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Y64"/>
  <sheetViews>
    <sheetView showGridLines="0" topLeftCell="H1" zoomScaleNormal="100" workbookViewId="0">
      <selection activeCell="L14" sqref="L14"/>
    </sheetView>
  </sheetViews>
  <sheetFormatPr baseColWidth="10" defaultColWidth="9.1796875" defaultRowHeight="14.5" outlineLevelCol="1" x14ac:dyDescent="0.35"/>
  <cols>
    <col min="1" max="1" width="15.54296875" style="19" hidden="1" customWidth="1" outlineLevel="1"/>
    <col min="2" max="2" width="16.26953125" style="19" hidden="1" customWidth="1" outlineLevel="1"/>
    <col min="3" max="3" width="16.26953125" style="106" hidden="1" customWidth="1" outlineLevel="1"/>
    <col min="4" max="4" width="16.26953125" style="19" hidden="1" customWidth="1" outlineLevel="1"/>
    <col min="5" max="5" width="12.453125" style="19" hidden="1" customWidth="1" outlineLevel="1"/>
    <col min="6" max="6" width="15.453125" style="19" hidden="1" customWidth="1" outlineLevel="1"/>
    <col min="7" max="7" width="17" style="19" hidden="1" customWidth="1" outlineLevel="1"/>
    <col min="8" max="8" width="34" style="19" customWidth="1" collapsed="1"/>
    <col min="9" max="9" width="22.7265625" style="19" customWidth="1"/>
    <col min="10" max="10" width="20.1796875" style="19" customWidth="1"/>
    <col min="11" max="11" width="19.54296875" style="19" bestFit="1" customWidth="1"/>
    <col min="12" max="12" width="17.26953125" style="19" customWidth="1"/>
    <col min="13" max="13" width="12" style="19" customWidth="1"/>
    <col min="14" max="14" width="23.81640625" style="19" customWidth="1"/>
    <col min="15" max="15" width="18.1796875" style="19" customWidth="1"/>
    <col min="16" max="16" width="20" style="19" customWidth="1"/>
    <col min="17" max="17" width="23.81640625" style="19" customWidth="1"/>
    <col min="18" max="18" width="16.26953125" style="19" customWidth="1"/>
    <col min="19" max="19" width="4.26953125" style="19" customWidth="1"/>
    <col min="20" max="20" width="23.81640625" style="19" customWidth="1"/>
    <col min="21" max="22" width="16.26953125" style="19" customWidth="1"/>
    <col min="23" max="23" width="22.54296875" style="19" customWidth="1"/>
    <col min="24" max="24" width="17.7265625" style="19" bestFit="1" customWidth="1"/>
    <col min="25" max="25" width="28.81640625" style="19" bestFit="1" customWidth="1"/>
    <col min="26" max="26" width="22.6328125" style="19" customWidth="1"/>
    <col min="27" max="27" width="16.81640625" style="19" hidden="1" customWidth="1"/>
    <col min="28" max="28" width="2.54296875" style="19" hidden="1" customWidth="1"/>
    <col min="29" max="29" width="3.26953125" style="19" hidden="1" customWidth="1"/>
    <col min="30" max="30" width="16.54296875" style="19" hidden="1" customWidth="1"/>
    <col min="31" max="31" width="13.54296875" style="19" hidden="1" customWidth="1" outlineLevel="1"/>
    <col min="32" max="32" width="15.54296875" style="19" hidden="1" customWidth="1" outlineLevel="1"/>
    <col min="33" max="33" width="17.453125" style="19" hidden="1" customWidth="1" outlineLevel="1"/>
    <col min="34" max="34" width="9.1796875" style="19" hidden="1" customWidth="1" outlineLevel="1"/>
    <col min="35" max="35" width="12.1796875" style="19" hidden="1" customWidth="1" outlineLevel="1"/>
    <col min="36" max="36" width="12" style="19" hidden="1" customWidth="1" outlineLevel="1"/>
    <col min="37" max="37" width="13.54296875" style="19" hidden="1" customWidth="1" outlineLevel="1"/>
    <col min="38" max="38" width="21.90625" style="19" hidden="1" customWidth="1" outlineLevel="1"/>
    <col min="39" max="39" width="9.1796875" style="19" hidden="1" customWidth="1" outlineLevel="1"/>
    <col min="40" max="40" width="9.26953125" style="19" hidden="1" customWidth="1" outlineLevel="1"/>
    <col min="41" max="41" width="19.453125" style="19" hidden="1" customWidth="1" outlineLevel="1"/>
    <col min="42" max="42" width="16.54296875" style="19" hidden="1" customWidth="1" outlineLevel="1"/>
    <col min="43" max="43" width="19.26953125" style="19" hidden="1" customWidth="1" outlineLevel="1"/>
    <col min="44" max="44" width="16.26953125" style="19" hidden="1" customWidth="1" outlineLevel="1"/>
    <col min="45" max="45" width="11.90625" style="19" hidden="1" customWidth="1" outlineLevel="1"/>
    <col min="46" max="46" width="15.36328125" style="19" hidden="1" customWidth="1" outlineLevel="1"/>
    <col min="47" max="47" width="23.81640625" style="19" hidden="1" customWidth="1" outlineLevel="1"/>
    <col min="48" max="48" width="3.54296875" style="19" customWidth="1" collapsed="1"/>
    <col min="49" max="49" width="8" style="19" customWidth="1"/>
    <col min="50" max="50" width="11.26953125" style="19" customWidth="1"/>
    <col min="51" max="51" width="6.26953125" style="19" customWidth="1"/>
    <col min="52" max="53" width="9.1796875" style="19" customWidth="1"/>
    <col min="54" max="54" width="7.81640625" style="19" customWidth="1"/>
    <col min="55" max="55" width="8.81640625" style="19" customWidth="1"/>
    <col min="56" max="16384" width="9.1796875" style="19"/>
  </cols>
  <sheetData>
    <row r="1" spans="1:47" s="2" customFormat="1" x14ac:dyDescent="0.35">
      <c r="C1" s="111"/>
    </row>
    <row r="2" spans="1:47" s="2" customFormat="1" ht="24.5" x14ac:dyDescent="0.45">
      <c r="C2" s="111"/>
      <c r="H2" s="281"/>
      <c r="I2" s="281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6"/>
      <c r="AB2" s="6"/>
      <c r="AC2" s="5"/>
      <c r="AD2" s="5"/>
      <c r="AE2" s="5"/>
      <c r="AM2" s="5"/>
      <c r="AN2" s="5"/>
    </row>
    <row r="3" spans="1:47" s="2" customFormat="1" x14ac:dyDescent="0.35">
      <c r="C3" s="1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M3" s="7"/>
      <c r="AN3" s="7"/>
    </row>
    <row r="4" spans="1:47" s="2" customFormat="1" x14ac:dyDescent="0.35">
      <c r="B4" s="8"/>
      <c r="C4" s="11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M4" s="7"/>
      <c r="AN4" s="7"/>
    </row>
    <row r="5" spans="1:47" s="2" customFormat="1" x14ac:dyDescent="0.35">
      <c r="B5" s="8"/>
      <c r="C5" s="112"/>
      <c r="H5" s="9" t="s">
        <v>14</v>
      </c>
      <c r="I5" s="10">
        <f>+Calculadora!C19</f>
        <v>2868349000</v>
      </c>
      <c r="J5" s="7"/>
      <c r="K5" s="11" t="s">
        <v>15</v>
      </c>
      <c r="L5" s="12"/>
      <c r="M5" s="7"/>
      <c r="N5" s="11" t="s">
        <v>16</v>
      </c>
      <c r="O5" s="7"/>
      <c r="P5" s="7"/>
      <c r="Q5" s="7"/>
      <c r="R5" s="7"/>
      <c r="S5" s="7"/>
      <c r="T5" s="7"/>
      <c r="U5" s="7"/>
      <c r="V5" s="7"/>
      <c r="W5" s="13"/>
      <c r="X5" s="14"/>
      <c r="Y5" s="7"/>
      <c r="Z5" s="7"/>
      <c r="AA5" s="7"/>
      <c r="AB5" s="7"/>
      <c r="AC5" s="7"/>
      <c r="AD5" s="7"/>
      <c r="AE5" s="7"/>
      <c r="AM5" s="7"/>
      <c r="AN5" s="7"/>
    </row>
    <row r="6" spans="1:47" s="2" customFormat="1" x14ac:dyDescent="0.35">
      <c r="B6" s="8"/>
      <c r="C6" s="112"/>
      <c r="H6" s="15"/>
      <c r="I6" s="16"/>
      <c r="J6" s="7"/>
      <c r="K6" s="11"/>
      <c r="L6" s="12"/>
      <c r="M6" s="137"/>
      <c r="N6" s="11"/>
      <c r="O6" s="7"/>
      <c r="P6" s="7"/>
      <c r="Q6" s="7"/>
      <c r="R6" s="7"/>
      <c r="S6" s="7"/>
      <c r="T6" s="7"/>
      <c r="U6" s="7"/>
      <c r="V6" s="7"/>
      <c r="W6" s="13"/>
      <c r="X6" s="14"/>
      <c r="Y6" s="7"/>
      <c r="Z6" s="7"/>
      <c r="AA6" s="7"/>
      <c r="AB6" s="7"/>
      <c r="AC6" s="7"/>
      <c r="AD6" s="7"/>
      <c r="AE6" s="7"/>
      <c r="AM6" s="7"/>
      <c r="AN6" s="7"/>
    </row>
    <row r="7" spans="1:47" s="2" customFormat="1" x14ac:dyDescent="0.35">
      <c r="B7" s="17"/>
      <c r="C7" s="111"/>
      <c r="H7" s="18"/>
      <c r="I7" s="12"/>
      <c r="J7" s="7"/>
      <c r="K7" s="12"/>
      <c r="L7" s="12"/>
      <c r="M7" s="137"/>
      <c r="O7" s="120"/>
      <c r="P7" s="7"/>
      <c r="Q7" s="7"/>
      <c r="R7" s="7"/>
      <c r="S7" s="7"/>
      <c r="T7" s="7"/>
      <c r="U7" s="7"/>
      <c r="V7" s="7"/>
      <c r="W7" s="20"/>
      <c r="X7" s="12"/>
      <c r="Y7" s="7"/>
      <c r="Z7" s="7"/>
      <c r="AA7" s="7"/>
      <c r="AB7" s="7"/>
      <c r="AC7" s="7"/>
      <c r="AD7" s="7"/>
      <c r="AE7" s="7"/>
      <c r="AM7" s="7"/>
      <c r="AN7" s="7"/>
    </row>
    <row r="8" spans="1:47" s="2" customFormat="1" ht="15" customHeight="1" x14ac:dyDescent="0.35">
      <c r="A8" s="282"/>
      <c r="B8" s="282"/>
      <c r="C8" s="113"/>
      <c r="H8" s="9" t="s">
        <v>18</v>
      </c>
      <c r="I8" s="21">
        <f>+Calculadora!C22</f>
        <v>0.35</v>
      </c>
      <c r="J8" s="7"/>
      <c r="K8" s="135"/>
      <c r="L8" s="128">
        <v>0.1</v>
      </c>
      <c r="M8" s="138" t="s">
        <v>19</v>
      </c>
      <c r="N8" s="24" t="s">
        <v>72</v>
      </c>
      <c r="O8" s="154">
        <f>+O9</f>
        <v>0.40625</v>
      </c>
      <c r="P8" s="23" t="s">
        <v>19</v>
      </c>
      <c r="Q8" s="23"/>
      <c r="R8" s="23"/>
      <c r="S8" s="23"/>
      <c r="T8" s="23"/>
      <c r="U8" s="23"/>
      <c r="V8" s="23"/>
      <c r="W8" s="20"/>
      <c r="X8" s="20"/>
      <c r="Y8" s="20"/>
      <c r="Z8" s="7"/>
      <c r="AA8" s="7"/>
      <c r="AB8" s="7"/>
      <c r="AC8" s="7"/>
      <c r="AD8" s="7"/>
      <c r="AE8" s="19"/>
      <c r="AM8" s="7"/>
      <c r="AN8" s="19"/>
    </row>
    <row r="9" spans="1:47" s="2" customFormat="1" x14ac:dyDescent="0.35">
      <c r="C9" s="111"/>
      <c r="H9" s="9" t="s">
        <v>20</v>
      </c>
      <c r="I9" s="21">
        <f>Calculadora!C23</f>
        <v>0.65</v>
      </c>
      <c r="J9" s="7"/>
      <c r="K9" s="136"/>
      <c r="L9" s="128">
        <v>0.1</v>
      </c>
      <c r="M9" s="138" t="s">
        <v>19</v>
      </c>
      <c r="N9" s="25" t="s">
        <v>73</v>
      </c>
      <c r="O9" s="154">
        <f>+O10</f>
        <v>0.40625</v>
      </c>
      <c r="P9" s="23" t="s">
        <v>19</v>
      </c>
      <c r="Q9" s="154">
        <f>+O9</f>
        <v>0.40625</v>
      </c>
      <c r="R9" s="7"/>
      <c r="S9" s="7"/>
      <c r="T9" s="7"/>
      <c r="U9" s="7"/>
      <c r="V9" s="7"/>
      <c r="W9" s="7"/>
      <c r="X9" s="7"/>
      <c r="Y9" s="7"/>
      <c r="Z9" s="26"/>
      <c r="AA9" s="7"/>
      <c r="AB9" s="7"/>
      <c r="AC9" s="7"/>
      <c r="AD9" s="7"/>
      <c r="AE9" s="19"/>
      <c r="AM9" s="7"/>
      <c r="AN9" s="19"/>
    </row>
    <row r="10" spans="1:47" s="2" customFormat="1" ht="30" customHeight="1" x14ac:dyDescent="0.35">
      <c r="C10" s="111"/>
      <c r="H10" s="27" t="s">
        <v>21</v>
      </c>
      <c r="I10" s="28">
        <v>100</v>
      </c>
      <c r="J10" s="7"/>
      <c r="K10" s="141" t="s">
        <v>22</v>
      </c>
      <c r="L10" s="128">
        <f>+E22</f>
        <v>0.35</v>
      </c>
      <c r="M10" s="138" t="s">
        <v>19</v>
      </c>
      <c r="N10" s="25" t="s">
        <v>74</v>
      </c>
      <c r="O10" s="154">
        <f>Calculadora!C32</f>
        <v>0.40625</v>
      </c>
      <c r="P10" s="19"/>
      <c r="Q10" s="7"/>
      <c r="R10" s="7"/>
      <c r="S10" s="7"/>
      <c r="T10" s="7"/>
      <c r="U10" s="7"/>
      <c r="V10" s="7"/>
      <c r="Y10" s="29"/>
      <c r="Z10" s="30"/>
      <c r="AA10" s="7"/>
      <c r="AB10" s="7"/>
      <c r="AC10" s="7"/>
      <c r="AD10" s="7"/>
      <c r="AE10" s="283" t="s">
        <v>23</v>
      </c>
      <c r="AF10" s="283"/>
      <c r="AG10" s="283"/>
      <c r="AH10" s="283"/>
      <c r="AI10" s="283"/>
      <c r="AJ10" s="283"/>
      <c r="AK10" s="283"/>
      <c r="AL10" s="283"/>
      <c r="AM10" s="7"/>
      <c r="AN10" s="283" t="s">
        <v>24</v>
      </c>
      <c r="AO10" s="283"/>
      <c r="AP10" s="283"/>
      <c r="AQ10" s="283"/>
      <c r="AR10" s="283"/>
      <c r="AS10" s="283"/>
      <c r="AT10" s="283"/>
      <c r="AU10" s="283"/>
    </row>
    <row r="11" spans="1:47" s="2" customFormat="1" ht="15.75" customHeight="1" thickBot="1" x14ac:dyDescent="0.4">
      <c r="C11" s="111"/>
      <c r="H11" s="18"/>
      <c r="I11" s="12"/>
      <c r="J11" s="7"/>
      <c r="K11" s="7"/>
      <c r="L11" s="7"/>
      <c r="M11" s="13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19"/>
      <c r="AM11" s="7"/>
      <c r="AN11" s="19"/>
    </row>
    <row r="12" spans="1:47" s="2" customFormat="1" ht="45" customHeight="1" thickBot="1" x14ac:dyDescent="0.4">
      <c r="C12" s="111"/>
      <c r="H12" s="133" t="s">
        <v>25</v>
      </c>
      <c r="I12" s="134">
        <f>Calculadora!C21</f>
        <v>45566</v>
      </c>
      <c r="J12" s="7"/>
      <c r="K12" s="7"/>
      <c r="L12" s="31"/>
      <c r="M12" s="137"/>
      <c r="N12" s="7"/>
      <c r="O12" s="31"/>
      <c r="P12" s="31"/>
      <c r="Q12" s="7"/>
      <c r="R12" s="7"/>
      <c r="S12" s="7"/>
      <c r="T12" s="7"/>
      <c r="U12" s="7"/>
      <c r="V12" s="7"/>
      <c r="W12" s="124"/>
      <c r="X12" s="124"/>
      <c r="Y12" s="124"/>
      <c r="Z12" s="124"/>
      <c r="AA12" s="124"/>
      <c r="AB12" s="124"/>
      <c r="AC12" s="7"/>
      <c r="AD12" s="7"/>
      <c r="AE12" s="19"/>
      <c r="AF12" s="32" t="s">
        <v>26</v>
      </c>
      <c r="AM12" s="7"/>
      <c r="AN12" s="19"/>
      <c r="AO12" s="32" t="s">
        <v>26</v>
      </c>
    </row>
    <row r="13" spans="1:47" s="2" customFormat="1" x14ac:dyDescent="0.35">
      <c r="C13" s="111"/>
      <c r="H13" s="132" t="s">
        <v>27</v>
      </c>
      <c r="I13" s="131">
        <v>43405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24"/>
      <c r="X13" s="124"/>
      <c r="Y13" s="124"/>
      <c r="Z13" s="124"/>
      <c r="AA13" s="124"/>
      <c r="AB13" s="124"/>
      <c r="AC13" s="7"/>
      <c r="AD13" s="7"/>
      <c r="AE13" s="19"/>
      <c r="AF13" s="33"/>
      <c r="AM13" s="7"/>
      <c r="AN13" s="19"/>
      <c r="AO13" s="33"/>
    </row>
    <row r="14" spans="1:47" x14ac:dyDescent="0.35">
      <c r="C14" s="111"/>
      <c r="E14" s="34"/>
      <c r="F14" s="34"/>
      <c r="K14" s="34"/>
      <c r="L14" s="34"/>
      <c r="T14" s="7"/>
      <c r="U14" s="7"/>
      <c r="V14" s="7"/>
      <c r="W14" s="125"/>
      <c r="X14" s="125"/>
      <c r="Y14" s="125"/>
      <c r="Z14" s="125"/>
      <c r="AA14" s="125"/>
      <c r="AB14" s="125"/>
      <c r="AF14" s="35" t="s">
        <v>28</v>
      </c>
      <c r="AG14" s="36">
        <f>+XNPV($O$18,K18:K58,H18:H58)</f>
        <v>2779726203.5233603</v>
      </c>
      <c r="AO14" s="35" t="s">
        <v>28</v>
      </c>
      <c r="AP14" s="36">
        <f>+XNPV($R$17,AP18:AP58,H18:H58)</f>
        <v>2779726207.9335165</v>
      </c>
    </row>
    <row r="15" spans="1:47" ht="15" thickBot="1" x14ac:dyDescent="0.4">
      <c r="C15" s="111"/>
      <c r="T15" s="7"/>
      <c r="U15" s="7"/>
      <c r="V15" s="7"/>
      <c r="W15" s="125"/>
      <c r="X15" s="125"/>
      <c r="Y15" s="125"/>
      <c r="Z15" s="125"/>
      <c r="AA15" s="125"/>
      <c r="AB15" s="125"/>
    </row>
    <row r="16" spans="1:47" ht="15.75" customHeight="1" thickBot="1" x14ac:dyDescent="0.4">
      <c r="A16" s="284" t="s">
        <v>29</v>
      </c>
      <c r="B16" s="286" t="s">
        <v>30</v>
      </c>
      <c r="C16" s="287"/>
      <c r="D16" s="287"/>
      <c r="E16" s="287"/>
      <c r="F16" s="287"/>
      <c r="G16" s="288"/>
      <c r="H16" s="289" t="s">
        <v>8</v>
      </c>
      <c r="I16" s="290"/>
      <c r="J16" s="290"/>
      <c r="K16" s="290"/>
      <c r="L16" s="291"/>
      <c r="T16" s="7"/>
      <c r="U16" s="7"/>
      <c r="V16" s="7"/>
      <c r="W16" s="125"/>
      <c r="X16" s="125"/>
      <c r="Y16" s="125"/>
      <c r="Z16" s="125"/>
      <c r="AA16" s="125"/>
      <c r="AB16" s="126"/>
      <c r="AC16" s="37"/>
      <c r="AD16" s="37"/>
      <c r="AE16" s="38" t="s">
        <v>31</v>
      </c>
      <c r="AF16" s="39">
        <f>+O17</f>
        <v>96.91032046426416</v>
      </c>
      <c r="AG16" s="19" t="s">
        <v>32</v>
      </c>
      <c r="AM16" s="37"/>
      <c r="AN16" s="38" t="s">
        <v>31</v>
      </c>
      <c r="AO16" s="39">
        <f>+R18</f>
        <v>96.91032046426416</v>
      </c>
      <c r="AP16" s="19" t="s">
        <v>32</v>
      </c>
    </row>
    <row r="17" spans="1:51" ht="36" customHeight="1" thickBot="1" x14ac:dyDescent="0.4">
      <c r="A17" s="285"/>
      <c r="B17" s="40" t="s">
        <v>33</v>
      </c>
      <c r="C17" s="107" t="s">
        <v>34</v>
      </c>
      <c r="D17" s="292" t="s">
        <v>35</v>
      </c>
      <c r="E17" s="294" t="s">
        <v>36</v>
      </c>
      <c r="F17" s="296" t="s">
        <v>37</v>
      </c>
      <c r="G17" s="42" t="s">
        <v>38</v>
      </c>
      <c r="H17" s="97"/>
      <c r="I17" s="98" t="s">
        <v>5</v>
      </c>
      <c r="J17" s="98" t="s">
        <v>6</v>
      </c>
      <c r="K17" s="98" t="s">
        <v>0</v>
      </c>
      <c r="L17" s="99" t="s">
        <v>40</v>
      </c>
      <c r="N17" s="43" t="s">
        <v>41</v>
      </c>
      <c r="O17" s="44">
        <f>+R18</f>
        <v>96.91032046426416</v>
      </c>
      <c r="Q17" s="43" t="s">
        <v>42</v>
      </c>
      <c r="R17" s="45">
        <f>+Calculadora!C27</f>
        <v>0.52500000000000002</v>
      </c>
      <c r="S17" s="19" t="s">
        <v>17</v>
      </c>
      <c r="T17" s="7"/>
      <c r="U17" s="7"/>
      <c r="V17" s="7"/>
      <c r="W17" s="125"/>
      <c r="X17" s="125"/>
      <c r="Y17" s="125"/>
      <c r="Z17" s="125"/>
      <c r="AA17" s="125"/>
      <c r="AB17" s="125"/>
      <c r="AD17" s="37"/>
      <c r="AE17" s="38"/>
      <c r="AF17" s="46">
        <f>+XIRR(AF18:AF58,H18:H58)</f>
        <v>0.52500000596046448</v>
      </c>
      <c r="AG17" s="19" t="s">
        <v>44</v>
      </c>
      <c r="AI17" s="19" t="s">
        <v>45</v>
      </c>
      <c r="AJ17" s="37"/>
      <c r="AK17" s="37"/>
      <c r="AL17" s="47" t="s">
        <v>46</v>
      </c>
      <c r="AM17" s="37"/>
      <c r="AN17" s="38"/>
      <c r="AO17" s="46">
        <f>+XIRR(AF18:AF58,H18:H58)</f>
        <v>0.52500000596046448</v>
      </c>
      <c r="AP17" s="19" t="s">
        <v>44</v>
      </c>
      <c r="AR17" s="19" t="s">
        <v>45</v>
      </c>
      <c r="AS17" s="37"/>
      <c r="AT17" s="37"/>
      <c r="AU17" s="47" t="s">
        <v>46</v>
      </c>
    </row>
    <row r="18" spans="1:51" ht="15" customHeight="1" x14ac:dyDescent="0.35">
      <c r="A18" s="116"/>
      <c r="B18" s="118">
        <f>+H18</f>
        <v>45566</v>
      </c>
      <c r="C18" s="108"/>
      <c r="D18" s="293"/>
      <c r="E18" s="295"/>
      <c r="F18" s="297"/>
      <c r="G18" s="51">
        <v>0</v>
      </c>
      <c r="H18" s="52">
        <f>+I12</f>
        <v>45566</v>
      </c>
      <c r="I18" s="53"/>
      <c r="J18" s="54"/>
      <c r="K18" s="55">
        <v>0</v>
      </c>
      <c r="L18" s="56">
        <f>+I5</f>
        <v>2868349000</v>
      </c>
      <c r="N18" s="57" t="s">
        <v>47</v>
      </c>
      <c r="O18" s="58">
        <f>+AF17</f>
        <v>0.52500000596046448</v>
      </c>
      <c r="P18" s="19" t="s">
        <v>17</v>
      </c>
      <c r="Q18" s="57" t="s">
        <v>48</v>
      </c>
      <c r="R18" s="59">
        <f>+(AP14/L18)*100</f>
        <v>96.91032046426416</v>
      </c>
      <c r="T18" s="122">
        <f>Calculadora!C29</f>
        <v>96.910320509730113</v>
      </c>
      <c r="U18" s="7"/>
      <c r="V18" s="7"/>
      <c r="W18" s="125"/>
      <c r="X18" s="125"/>
      <c r="Y18" s="125"/>
      <c r="Z18" s="125"/>
      <c r="AA18" s="125"/>
      <c r="AB18" s="125"/>
      <c r="AD18" s="37"/>
      <c r="AE18" s="38"/>
      <c r="AF18" s="60">
        <f>-L18*AF16/100</f>
        <v>-2779726207.933516</v>
      </c>
      <c r="AG18" s="60"/>
      <c r="AI18" s="61"/>
      <c r="AJ18" s="62"/>
      <c r="AK18" s="63">
        <f>+L18</f>
        <v>2868349000</v>
      </c>
      <c r="AL18" s="64">
        <f>-I5*(T18/100)</f>
        <v>-2779726209.2376385</v>
      </c>
      <c r="AM18" s="37"/>
      <c r="AN18" s="38"/>
      <c r="AO18" s="60">
        <f>-L18*AF16/100</f>
        <v>-2779726207.933516</v>
      </c>
      <c r="AP18" s="60">
        <v>0</v>
      </c>
      <c r="AR18" s="61"/>
      <c r="AS18" s="62"/>
      <c r="AT18" s="63">
        <f>+L18</f>
        <v>2868349000</v>
      </c>
      <c r="AU18" s="64">
        <f>-I5*(T18/100)</f>
        <v>-2779726209.2376385</v>
      </c>
    </row>
    <row r="19" spans="1:51" x14ac:dyDescent="0.35">
      <c r="A19" s="117">
        <v>354958269</v>
      </c>
      <c r="B19" s="118">
        <f t="shared" ref="B19:B58" si="0">+H19</f>
        <v>45611</v>
      </c>
      <c r="C19" s="109">
        <v>45</v>
      </c>
      <c r="D19" s="67">
        <f>+L8</f>
        <v>0.1</v>
      </c>
      <c r="E19" s="68">
        <f>+MAX($I$8,MIN($I$9,$D19+$I$10/10000))</f>
        <v>0.35</v>
      </c>
      <c r="F19" s="69">
        <f>+((E19*L18)/360)*$C19</f>
        <v>125490268.74999999</v>
      </c>
      <c r="G19" s="51">
        <f t="shared" ref="G19:G58" si="1">+G18+F19-J19</f>
        <v>0</v>
      </c>
      <c r="H19" s="118">
        <v>45611</v>
      </c>
      <c r="I19" s="70">
        <v>229468000</v>
      </c>
      <c r="J19" s="60">
        <f>+MIN($A19,F19+G18)</f>
        <v>125490268.74999999</v>
      </c>
      <c r="K19" s="71">
        <f t="shared" ref="K19:K58" si="2">+J19+I19</f>
        <v>354958268.75</v>
      </c>
      <c r="L19" s="72">
        <f t="shared" ref="L19:L58" si="3">+L18-I19</f>
        <v>2638881000</v>
      </c>
      <c r="N19" s="57" t="s">
        <v>43</v>
      </c>
      <c r="O19" s="73">
        <f>XIRR(AL18:AL58,H18:H58)</f>
        <v>0.62753147482872029</v>
      </c>
      <c r="P19" s="19" t="s">
        <v>17</v>
      </c>
      <c r="Q19" s="57" t="s">
        <v>43</v>
      </c>
      <c r="R19" s="73">
        <f>+XIRR(AU18:AU58,H18:H58)</f>
        <v>0.62753147482872029</v>
      </c>
      <c r="S19" s="75"/>
      <c r="T19" s="7"/>
      <c r="U19" s="7"/>
      <c r="V19" s="7"/>
      <c r="W19" s="125"/>
      <c r="X19" s="125"/>
      <c r="Y19" s="125"/>
      <c r="Z19" s="125"/>
      <c r="AA19" s="125"/>
      <c r="AB19" s="125"/>
      <c r="AD19" s="37"/>
      <c r="AE19" s="38"/>
      <c r="AF19" s="60">
        <f t="shared" ref="AF19:AF56" si="4">+K19</f>
        <v>354958268.75</v>
      </c>
      <c r="AG19" s="60">
        <f>+AF19</f>
        <v>354958268.75</v>
      </c>
      <c r="AI19" s="74">
        <v>229468000</v>
      </c>
      <c r="AJ19" s="119">
        <f>+MIN(A19,(((MAX($I$8,MIN($I$9,$O$8+$I$10/10000))*AK18)/360)*$C19))</f>
        <v>149243783.90625</v>
      </c>
      <c r="AK19" s="75">
        <f>+AK18-AI19</f>
        <v>2638881000</v>
      </c>
      <c r="AL19" s="76">
        <f>+AI19+AJ19</f>
        <v>378711783.90625</v>
      </c>
      <c r="AM19" s="37"/>
      <c r="AN19" s="38"/>
      <c r="AO19" s="60">
        <f>+K19</f>
        <v>354958268.75</v>
      </c>
      <c r="AP19" s="60">
        <f>+AO19</f>
        <v>354958268.75</v>
      </c>
      <c r="AR19" s="74">
        <v>229468000</v>
      </c>
      <c r="AS19" s="119">
        <f>+MIN(A19,(((MAX($I$8,MIN($I$9,$O$8+$I$10/10000))*AT18)/360)*$C19))</f>
        <v>149243783.90625</v>
      </c>
      <c r="AT19" s="75">
        <f>+AT18-AR19</f>
        <v>2638881000</v>
      </c>
      <c r="AU19" s="76">
        <f>+AR19+AS19</f>
        <v>378711783.90625</v>
      </c>
      <c r="AX19" s="142">
        <v>2016991</v>
      </c>
      <c r="AY19" s="143" t="s">
        <v>68</v>
      </c>
    </row>
    <row r="20" spans="1:51" x14ac:dyDescent="0.35">
      <c r="A20" s="117">
        <v>478536363</v>
      </c>
      <c r="B20" s="118">
        <f t="shared" si="0"/>
        <v>45642</v>
      </c>
      <c r="C20" s="109">
        <v>30</v>
      </c>
      <c r="D20" s="67">
        <f t="shared" ref="D20:D58" si="5">+$L$9</f>
        <v>0.1</v>
      </c>
      <c r="E20" s="77">
        <f t="shared" ref="E20:E58" si="6">+MAX($I$8,MIN($I$9,$D20+$I$10/10000))</f>
        <v>0.35</v>
      </c>
      <c r="F20" s="69">
        <f>+((E20*L19)/360)*$C20</f>
        <v>76967362.5</v>
      </c>
      <c r="G20" s="51">
        <f t="shared" si="1"/>
        <v>0</v>
      </c>
      <c r="H20" s="118">
        <v>45642</v>
      </c>
      <c r="I20" s="70">
        <v>401569000</v>
      </c>
      <c r="J20" s="60">
        <f>+MIN($A20,F20+G19)</f>
        <v>76967362.5</v>
      </c>
      <c r="K20" s="71">
        <f t="shared" si="2"/>
        <v>478536362.5</v>
      </c>
      <c r="L20" s="72">
        <f t="shared" si="3"/>
        <v>2237312000</v>
      </c>
      <c r="S20" s="75"/>
      <c r="T20" s="7"/>
      <c r="U20" s="7"/>
      <c r="V20" s="7"/>
      <c r="W20" s="125"/>
      <c r="X20" s="125"/>
      <c r="Y20" s="125"/>
      <c r="Z20" s="125"/>
      <c r="AA20" s="125"/>
      <c r="AB20" s="125"/>
      <c r="AD20" s="37"/>
      <c r="AE20" s="38"/>
      <c r="AF20" s="60">
        <f t="shared" si="4"/>
        <v>478536362.5</v>
      </c>
      <c r="AG20" s="60">
        <f t="shared" ref="AG20:AG56" si="7">+AF20</f>
        <v>478536362.5</v>
      </c>
      <c r="AI20" s="74">
        <v>401569000</v>
      </c>
      <c r="AJ20" s="119">
        <f>+((MAX($I$8,MIN($I$9,$O$9+$I$10/10000))*AK19)/360)*$C20</f>
        <v>91536184.6875</v>
      </c>
      <c r="AK20" s="75">
        <f>+AK19-AI20</f>
        <v>2237312000</v>
      </c>
      <c r="AL20" s="76">
        <f t="shared" ref="AL20:AL56" si="8">+AI20+AJ20</f>
        <v>493105184.6875</v>
      </c>
      <c r="AM20" s="37"/>
      <c r="AN20" s="38"/>
      <c r="AO20" s="60">
        <f t="shared" ref="AO20:AO56" si="9">+K20</f>
        <v>478536362.5</v>
      </c>
      <c r="AP20" s="60">
        <f t="shared" ref="AP20:AP60" si="10">+AO20</f>
        <v>478536362.5</v>
      </c>
      <c r="AR20" s="74">
        <v>401569000</v>
      </c>
      <c r="AS20" s="119">
        <f>+((MAX($I$8,MIN($I$9,$O$9+$I$10/10000))*AT19)/360)*$C20</f>
        <v>91536184.6875</v>
      </c>
      <c r="AT20" s="75">
        <f t="shared" ref="AT20:AT56" si="11">+AT19-AR20</f>
        <v>2237312000</v>
      </c>
      <c r="AU20" s="76">
        <f>+AR20+AS20</f>
        <v>493105184.6875</v>
      </c>
      <c r="AX20" s="119">
        <f>+((MAX($I$8,MIN($I$9,$O$8+$I$10/10000))*AT18)/360)*$C19</f>
        <v>149243783.90625</v>
      </c>
      <c r="AY20" s="143" t="s">
        <v>69</v>
      </c>
    </row>
    <row r="21" spans="1:51" x14ac:dyDescent="0.35">
      <c r="A21" s="117">
        <v>495506933</v>
      </c>
      <c r="B21" s="118">
        <f t="shared" si="0"/>
        <v>45672</v>
      </c>
      <c r="C21" s="109">
        <v>30</v>
      </c>
      <c r="D21" s="67">
        <f t="shared" si="5"/>
        <v>0.1</v>
      </c>
      <c r="E21" s="77">
        <f t="shared" si="6"/>
        <v>0.35</v>
      </c>
      <c r="F21" s="69">
        <f t="shared" ref="F21:F58" si="12">+((E21*L20)/360)*$C21</f>
        <v>65254933.333333336</v>
      </c>
      <c r="G21" s="51">
        <f t="shared" si="1"/>
        <v>0</v>
      </c>
      <c r="H21" s="118">
        <v>45672</v>
      </c>
      <c r="I21" s="70">
        <v>430252000</v>
      </c>
      <c r="J21" s="60">
        <f t="shared" ref="J21:J27" si="13">+MIN($A21,F21+G20)</f>
        <v>65254933.333333336</v>
      </c>
      <c r="K21" s="71">
        <f t="shared" ref="K21:K28" si="14">+J21+I21</f>
        <v>495506933.33333331</v>
      </c>
      <c r="L21" s="72">
        <f t="shared" ref="L21:L28" si="15">+L20-I21</f>
        <v>1807060000</v>
      </c>
      <c r="M21" s="78"/>
      <c r="P21" s="78"/>
      <c r="Q21" s="78"/>
      <c r="R21" s="78"/>
      <c r="S21" s="75"/>
      <c r="T21" s="7"/>
      <c r="U21" s="7"/>
      <c r="V21" s="7"/>
      <c r="W21" s="125"/>
      <c r="X21" s="125"/>
      <c r="Y21" s="125"/>
      <c r="Z21" s="126"/>
      <c r="AA21" s="126"/>
      <c r="AB21" s="126"/>
      <c r="AC21" s="37"/>
      <c r="AD21" s="37"/>
      <c r="AE21" s="38"/>
      <c r="AF21" s="60">
        <f t="shared" si="4"/>
        <v>495506933.33333331</v>
      </c>
      <c r="AG21" s="60">
        <f t="shared" si="7"/>
        <v>495506933.33333331</v>
      </c>
      <c r="AI21" s="74">
        <v>430252000</v>
      </c>
      <c r="AJ21" s="119">
        <f>+((MAX($I$8,MIN($I$9,$O$10+$I$10/10000))*AK20)/360)*$C21</f>
        <v>77606760</v>
      </c>
      <c r="AK21" s="75">
        <f t="shared" ref="AK21:AK56" si="16">+AK20-AI21</f>
        <v>1807060000</v>
      </c>
      <c r="AL21" s="76">
        <f t="shared" si="8"/>
        <v>507858760</v>
      </c>
      <c r="AM21" s="37"/>
      <c r="AN21" s="38"/>
      <c r="AO21" s="60">
        <f t="shared" si="9"/>
        <v>495506933.33333331</v>
      </c>
      <c r="AP21" s="60">
        <f t="shared" si="10"/>
        <v>495506933.33333331</v>
      </c>
      <c r="AR21" s="74">
        <v>430252000</v>
      </c>
      <c r="AS21" s="119">
        <f>+((MAX($I$8,MIN($I$9,$O$10+$I$10/10000))*AT20)/360)*$C21</f>
        <v>77606760</v>
      </c>
      <c r="AT21" s="75">
        <f t="shared" si="11"/>
        <v>1807060000</v>
      </c>
      <c r="AU21" s="76">
        <f t="shared" ref="AU21:AU58" si="17">+AR21+AS21</f>
        <v>507858760</v>
      </c>
      <c r="AX21" s="75">
        <f>AX20-AX19</f>
        <v>147226792.90625</v>
      </c>
      <c r="AY21" s="143" t="s">
        <v>70</v>
      </c>
    </row>
    <row r="22" spans="1:51" x14ac:dyDescent="0.35">
      <c r="A22" s="117">
        <v>482957917</v>
      </c>
      <c r="B22" s="118">
        <f t="shared" si="0"/>
        <v>45705</v>
      </c>
      <c r="C22" s="109">
        <v>30</v>
      </c>
      <c r="D22" s="67">
        <f t="shared" si="5"/>
        <v>0.1</v>
      </c>
      <c r="E22" s="77">
        <f t="shared" si="6"/>
        <v>0.35</v>
      </c>
      <c r="F22" s="69">
        <f t="shared" si="12"/>
        <v>52705916.666666672</v>
      </c>
      <c r="G22" s="51">
        <f t="shared" si="1"/>
        <v>0</v>
      </c>
      <c r="H22" s="118">
        <v>45705</v>
      </c>
      <c r="I22" s="70">
        <v>430252000</v>
      </c>
      <c r="J22" s="60">
        <f t="shared" si="13"/>
        <v>52705916.666666672</v>
      </c>
      <c r="K22" s="71">
        <f t="shared" si="14"/>
        <v>482957916.66666669</v>
      </c>
      <c r="L22" s="72">
        <f t="shared" si="15"/>
        <v>1376808000</v>
      </c>
      <c r="M22" s="78"/>
      <c r="P22" s="78"/>
      <c r="Q22" s="78"/>
      <c r="R22" s="73">
        <f>+((R19+1)^(0.083333333)-1)*12</f>
        <v>0.49708419231230572</v>
      </c>
      <c r="S22" s="75"/>
      <c r="T22" s="7"/>
      <c r="U22" s="7"/>
      <c r="V22" s="7"/>
      <c r="W22" s="126"/>
      <c r="X22" s="126"/>
      <c r="Y22" s="126"/>
      <c r="Z22" s="126"/>
      <c r="AA22" s="126"/>
      <c r="AB22" s="126"/>
      <c r="AC22" s="37"/>
      <c r="AD22" s="37"/>
      <c r="AE22" s="38"/>
      <c r="AF22" s="60">
        <f t="shared" si="4"/>
        <v>482957916.66666669</v>
      </c>
      <c r="AG22" s="60">
        <f t="shared" si="7"/>
        <v>482957916.66666669</v>
      </c>
      <c r="AI22" s="74">
        <v>430252000</v>
      </c>
      <c r="AJ22" s="119">
        <f>+((MAX($I$8,MIN($I$9,$O$10+$I$10/10000))*AK21)/360)*$C22</f>
        <v>62682393.75</v>
      </c>
      <c r="AK22" s="75">
        <f t="shared" si="16"/>
        <v>1376808000</v>
      </c>
      <c r="AL22" s="76">
        <f t="shared" si="8"/>
        <v>492934393.75</v>
      </c>
      <c r="AM22" s="37"/>
      <c r="AN22" s="38"/>
      <c r="AO22" s="60">
        <f t="shared" si="9"/>
        <v>482957916.66666669</v>
      </c>
      <c r="AP22" s="60">
        <f t="shared" si="10"/>
        <v>482957916.66666669</v>
      </c>
      <c r="AR22" s="74">
        <v>430252000</v>
      </c>
      <c r="AS22" s="119">
        <f>+((MAX($I$8,MIN($I$9,$O$10+$I$10/10000))*AT21)/360)*$C22</f>
        <v>62682393.75</v>
      </c>
      <c r="AT22" s="75">
        <f t="shared" si="11"/>
        <v>1376808000</v>
      </c>
      <c r="AU22" s="76">
        <f t="shared" si="17"/>
        <v>492934393.75</v>
      </c>
      <c r="AX22" s="144">
        <f>AJ20+AX21</f>
        <v>238762977.59375</v>
      </c>
    </row>
    <row r="23" spans="1:51" x14ac:dyDescent="0.35">
      <c r="A23" s="117">
        <v>441725900</v>
      </c>
      <c r="B23" s="118">
        <f t="shared" si="0"/>
        <v>45733</v>
      </c>
      <c r="C23" s="109">
        <v>30</v>
      </c>
      <c r="D23" s="67">
        <f t="shared" si="5"/>
        <v>0.1</v>
      </c>
      <c r="E23" s="77">
        <f t="shared" si="6"/>
        <v>0.35</v>
      </c>
      <c r="F23" s="69">
        <f t="shared" si="12"/>
        <v>40156900</v>
      </c>
      <c r="G23" s="51">
        <f t="shared" si="1"/>
        <v>0</v>
      </c>
      <c r="H23" s="118">
        <v>45733</v>
      </c>
      <c r="I23" s="70">
        <v>401569000</v>
      </c>
      <c r="J23" s="60">
        <f t="shared" si="13"/>
        <v>40156900</v>
      </c>
      <c r="K23" s="71">
        <f t="shared" si="14"/>
        <v>441725900</v>
      </c>
      <c r="L23" s="72">
        <f t="shared" si="15"/>
        <v>975239000</v>
      </c>
      <c r="M23" s="78"/>
      <c r="N23" s="78"/>
      <c r="O23" s="78"/>
      <c r="P23" s="78"/>
      <c r="Q23" s="78"/>
      <c r="R23" s="78"/>
      <c r="S23" s="75"/>
      <c r="T23" s="7"/>
      <c r="U23" s="7"/>
      <c r="V23" s="7"/>
      <c r="W23" s="126"/>
      <c r="X23" s="126"/>
      <c r="Y23" s="126"/>
      <c r="Z23" s="126"/>
      <c r="AA23" s="126"/>
      <c r="AB23" s="126"/>
      <c r="AC23" s="37"/>
      <c r="AD23" s="37"/>
      <c r="AE23" s="38"/>
      <c r="AF23" s="60">
        <f t="shared" si="4"/>
        <v>441725900</v>
      </c>
      <c r="AG23" s="60">
        <f t="shared" si="7"/>
        <v>441725900</v>
      </c>
      <c r="AI23" s="74">
        <v>401569000</v>
      </c>
      <c r="AJ23" s="119">
        <f>+((MAX($I$8,MIN($I$9,$O$10+$I$10/10000))*AK22)/360)*$C23</f>
        <v>47758027.5</v>
      </c>
      <c r="AK23" s="75">
        <f t="shared" si="16"/>
        <v>975239000</v>
      </c>
      <c r="AL23" s="76">
        <f t="shared" si="8"/>
        <v>449327027.5</v>
      </c>
      <c r="AM23" s="37"/>
      <c r="AN23" s="38"/>
      <c r="AO23" s="60">
        <f t="shared" si="9"/>
        <v>441725900</v>
      </c>
      <c r="AP23" s="60">
        <f t="shared" si="10"/>
        <v>441725900</v>
      </c>
      <c r="AR23" s="74">
        <v>401569000</v>
      </c>
      <c r="AS23" s="119">
        <f>+((MAX($I$8,MIN($I$9,$O$10+$I$10/10000))*AT22)/360)*$C23</f>
        <v>47758027.5</v>
      </c>
      <c r="AT23" s="75">
        <f t="shared" si="11"/>
        <v>975239000</v>
      </c>
      <c r="AU23" s="76">
        <f t="shared" si="17"/>
        <v>449327027.5</v>
      </c>
      <c r="AX23" s="75"/>
    </row>
    <row r="24" spans="1:51" x14ac:dyDescent="0.35">
      <c r="A24" s="117">
        <v>229228471</v>
      </c>
      <c r="B24" s="118">
        <f t="shared" si="0"/>
        <v>45762</v>
      </c>
      <c r="C24" s="109">
        <v>30</v>
      </c>
      <c r="D24" s="67">
        <f t="shared" si="5"/>
        <v>0.1</v>
      </c>
      <c r="E24" s="77">
        <f t="shared" si="6"/>
        <v>0.35</v>
      </c>
      <c r="F24" s="69">
        <f t="shared" si="12"/>
        <v>28444470.833333332</v>
      </c>
      <c r="G24" s="51">
        <f t="shared" si="1"/>
        <v>0</v>
      </c>
      <c r="H24" s="118">
        <v>45762</v>
      </c>
      <c r="I24" s="70">
        <v>200784000</v>
      </c>
      <c r="J24" s="60">
        <f t="shared" si="13"/>
        <v>28444470.833333332</v>
      </c>
      <c r="K24" s="71">
        <f t="shared" si="14"/>
        <v>229228470.83333334</v>
      </c>
      <c r="L24" s="72">
        <f t="shared" si="15"/>
        <v>774455000</v>
      </c>
      <c r="M24" s="78"/>
      <c r="N24" s="78"/>
      <c r="O24" s="78"/>
      <c r="P24" s="78"/>
      <c r="Q24" s="78"/>
      <c r="R24" s="78"/>
      <c r="S24" s="75"/>
      <c r="T24" s="78"/>
      <c r="U24" s="78"/>
      <c r="V24" s="78"/>
      <c r="W24" s="125"/>
      <c r="X24" s="125"/>
      <c r="Y24" s="126"/>
      <c r="Z24" s="126"/>
      <c r="AA24" s="126"/>
      <c r="AB24" s="126"/>
      <c r="AC24" s="37"/>
      <c r="AD24" s="37"/>
      <c r="AE24" s="38"/>
      <c r="AF24" s="60">
        <f t="shared" ref="AF24:AF31" si="18">+K24</f>
        <v>229228470.83333334</v>
      </c>
      <c r="AG24" s="60">
        <f t="shared" ref="AG24:AG31" si="19">+AF24</f>
        <v>229228470.83333334</v>
      </c>
      <c r="AI24" s="74">
        <v>200784000</v>
      </c>
      <c r="AJ24" s="119">
        <f t="shared" ref="AJ24:AJ31" si="20">+((MAX($I$8,MIN($I$9,$O$10+$I$10/10000))*AK23)/360)*$C24</f>
        <v>33828602.8125</v>
      </c>
      <c r="AK24" s="75">
        <f t="shared" ref="AK24:AK31" si="21">+AK23-AI24</f>
        <v>774455000</v>
      </c>
      <c r="AL24" s="76">
        <f t="shared" ref="AL24:AL31" si="22">+AI24+AJ24</f>
        <v>234612602.8125</v>
      </c>
      <c r="AM24" s="37"/>
      <c r="AN24" s="38"/>
      <c r="AO24" s="60">
        <f t="shared" ref="AO24:AO31" si="23">+K24</f>
        <v>229228470.83333334</v>
      </c>
      <c r="AP24" s="60">
        <f t="shared" ref="AP24:AP31" si="24">+AO24</f>
        <v>229228470.83333334</v>
      </c>
      <c r="AR24" s="74">
        <v>200784000</v>
      </c>
      <c r="AS24" s="119">
        <f>+((MAX($I$8,MIN($I$9,$O$10+$I$10/10000))*AT23)/360)*$C24</f>
        <v>33828602.8125</v>
      </c>
      <c r="AT24" s="75">
        <f t="shared" ref="AT24:AT31" si="25">+AT23-AR24</f>
        <v>774455000</v>
      </c>
      <c r="AU24" s="76">
        <f t="shared" ref="AU24:AU31" si="26">+AR24+AS24</f>
        <v>234612602.8125</v>
      </c>
      <c r="AX24" s="75">
        <v>4078438.2608189019</v>
      </c>
    </row>
    <row r="25" spans="1:51" ht="15.75" customHeight="1" x14ac:dyDescent="0.35">
      <c r="A25" s="117">
        <v>223372271</v>
      </c>
      <c r="B25" s="118">
        <f t="shared" si="0"/>
        <v>45792</v>
      </c>
      <c r="C25" s="109">
        <v>30</v>
      </c>
      <c r="D25" s="67">
        <f t="shared" si="5"/>
        <v>0.1</v>
      </c>
      <c r="E25" s="77">
        <f t="shared" si="6"/>
        <v>0.35</v>
      </c>
      <c r="F25" s="69">
        <f t="shared" si="12"/>
        <v>22588270.833333332</v>
      </c>
      <c r="G25" s="51">
        <f t="shared" si="1"/>
        <v>0</v>
      </c>
      <c r="H25" s="118">
        <v>45792</v>
      </c>
      <c r="I25" s="70">
        <v>200784000</v>
      </c>
      <c r="J25" s="60">
        <f t="shared" si="13"/>
        <v>22588270.833333332</v>
      </c>
      <c r="K25" s="71">
        <f t="shared" si="14"/>
        <v>223372270.83333334</v>
      </c>
      <c r="L25" s="72">
        <f t="shared" si="15"/>
        <v>573671000</v>
      </c>
      <c r="M25" s="78"/>
      <c r="N25" s="78"/>
      <c r="O25" s="78"/>
      <c r="P25" s="78"/>
      <c r="Q25" s="78"/>
      <c r="R25" s="78"/>
      <c r="S25" s="75"/>
      <c r="T25" s="78"/>
      <c r="U25" s="78"/>
      <c r="V25" s="78"/>
      <c r="W25" s="125"/>
      <c r="X25" s="125"/>
      <c r="Y25" s="126"/>
      <c r="Z25" s="126"/>
      <c r="AA25" s="126"/>
      <c r="AB25" s="126"/>
      <c r="AC25" s="37"/>
      <c r="AD25" s="37"/>
      <c r="AE25" s="38"/>
      <c r="AF25" s="60">
        <f t="shared" si="18"/>
        <v>223372270.83333334</v>
      </c>
      <c r="AG25" s="60">
        <f t="shared" si="19"/>
        <v>223372270.83333334</v>
      </c>
      <c r="AI25" s="74">
        <v>200784000</v>
      </c>
      <c r="AJ25" s="119">
        <f t="shared" si="20"/>
        <v>26863907.8125</v>
      </c>
      <c r="AK25" s="75">
        <f t="shared" si="21"/>
        <v>573671000</v>
      </c>
      <c r="AL25" s="76">
        <f t="shared" si="22"/>
        <v>227647907.8125</v>
      </c>
      <c r="AM25" s="37"/>
      <c r="AN25" s="38"/>
      <c r="AO25" s="60">
        <f t="shared" si="23"/>
        <v>223372270.83333334</v>
      </c>
      <c r="AP25" s="60">
        <f t="shared" si="24"/>
        <v>223372270.83333334</v>
      </c>
      <c r="AR25" s="74">
        <v>200784000</v>
      </c>
      <c r="AS25" s="119">
        <f t="shared" ref="AS25:AS31" si="27">+((MAX($I$8,MIN($I$9,$O$10+$I$10/10000))*AT24)/360)*$C25</f>
        <v>26863907.8125</v>
      </c>
      <c r="AT25" s="75">
        <f t="shared" si="25"/>
        <v>573671000</v>
      </c>
      <c r="AU25" s="76">
        <f t="shared" si="26"/>
        <v>227647907.8125</v>
      </c>
      <c r="AX25" s="75"/>
    </row>
    <row r="26" spans="1:51" ht="16" customHeight="1" x14ac:dyDescent="0.35">
      <c r="A26" s="117">
        <v>217516071</v>
      </c>
      <c r="B26" s="118">
        <f t="shared" si="0"/>
        <v>45824</v>
      </c>
      <c r="C26" s="109">
        <v>30</v>
      </c>
      <c r="D26" s="67">
        <f t="shared" si="5"/>
        <v>0.1</v>
      </c>
      <c r="E26" s="77">
        <f t="shared" si="6"/>
        <v>0.35</v>
      </c>
      <c r="F26" s="69">
        <f t="shared" si="12"/>
        <v>16732070.833333336</v>
      </c>
      <c r="G26" s="51">
        <f t="shared" si="1"/>
        <v>0</v>
      </c>
      <c r="H26" s="118">
        <v>45824</v>
      </c>
      <c r="I26" s="70">
        <v>200784000</v>
      </c>
      <c r="J26" s="60">
        <f t="shared" si="13"/>
        <v>16732070.833333336</v>
      </c>
      <c r="K26" s="71">
        <f t="shared" si="14"/>
        <v>217516070.83333334</v>
      </c>
      <c r="L26" s="72">
        <f t="shared" si="15"/>
        <v>372887000</v>
      </c>
      <c r="M26" s="78"/>
      <c r="N26" s="78"/>
      <c r="O26" s="78"/>
      <c r="P26" s="78"/>
      <c r="Q26" s="78"/>
      <c r="R26" s="78"/>
      <c r="S26" s="75"/>
      <c r="T26" s="78"/>
      <c r="U26" s="78"/>
      <c r="V26" s="78"/>
      <c r="W26" s="126"/>
      <c r="X26" s="126"/>
      <c r="Y26" s="126"/>
      <c r="Z26" s="126"/>
      <c r="AA26" s="126"/>
      <c r="AB26" s="126"/>
      <c r="AC26" s="37"/>
      <c r="AD26" s="37"/>
      <c r="AF26" s="60">
        <f t="shared" si="18"/>
        <v>217516070.83333334</v>
      </c>
      <c r="AG26" s="60">
        <f t="shared" si="19"/>
        <v>217516070.83333334</v>
      </c>
      <c r="AI26" s="74">
        <v>200784000</v>
      </c>
      <c r="AJ26" s="119">
        <f t="shared" si="20"/>
        <v>19899212.8125</v>
      </c>
      <c r="AK26" s="75">
        <f t="shared" si="21"/>
        <v>372887000</v>
      </c>
      <c r="AL26" s="76">
        <f t="shared" si="22"/>
        <v>220683212.8125</v>
      </c>
      <c r="AM26" s="37"/>
      <c r="AN26" s="38"/>
      <c r="AO26" s="60">
        <f t="shared" si="23"/>
        <v>217516070.83333334</v>
      </c>
      <c r="AP26" s="60">
        <f t="shared" si="24"/>
        <v>217516070.83333334</v>
      </c>
      <c r="AR26" s="74">
        <v>200784000</v>
      </c>
      <c r="AS26" s="119">
        <f t="shared" si="27"/>
        <v>19899212.8125</v>
      </c>
      <c r="AT26" s="75">
        <f t="shared" si="25"/>
        <v>372887000</v>
      </c>
      <c r="AU26" s="76">
        <f t="shared" si="26"/>
        <v>220683212.8125</v>
      </c>
      <c r="AX26" s="75"/>
    </row>
    <row r="27" spans="1:51" x14ac:dyDescent="0.35">
      <c r="A27" s="117">
        <v>211659871</v>
      </c>
      <c r="B27" s="118">
        <f t="shared" si="0"/>
        <v>45853</v>
      </c>
      <c r="C27" s="109">
        <v>30</v>
      </c>
      <c r="D27" s="67">
        <f t="shared" si="5"/>
        <v>0.1</v>
      </c>
      <c r="E27" s="77">
        <f t="shared" si="6"/>
        <v>0.35</v>
      </c>
      <c r="F27" s="69">
        <f t="shared" si="12"/>
        <v>10875870.833333332</v>
      </c>
      <c r="G27" s="51">
        <f t="shared" si="1"/>
        <v>0</v>
      </c>
      <c r="H27" s="118">
        <v>45853</v>
      </c>
      <c r="I27" s="70">
        <v>200784000</v>
      </c>
      <c r="J27" s="60">
        <f t="shared" si="13"/>
        <v>10875870.833333332</v>
      </c>
      <c r="K27" s="71">
        <f t="shared" si="14"/>
        <v>211659870.83333334</v>
      </c>
      <c r="L27" s="72">
        <f t="shared" si="15"/>
        <v>172103000</v>
      </c>
      <c r="M27" s="78"/>
      <c r="N27" s="78"/>
      <c r="O27" s="78"/>
      <c r="P27" s="78"/>
      <c r="Q27" s="78"/>
      <c r="R27" s="78"/>
      <c r="S27" s="75"/>
      <c r="T27" s="78"/>
      <c r="U27" s="78"/>
      <c r="V27" s="78"/>
      <c r="W27" s="126"/>
      <c r="X27" s="126"/>
      <c r="Y27" s="126"/>
      <c r="Z27" s="126"/>
      <c r="AA27" s="126"/>
      <c r="AB27" s="126"/>
      <c r="AC27" s="37"/>
      <c r="AD27" s="37"/>
      <c r="AF27" s="60">
        <f t="shared" si="18"/>
        <v>211659870.83333334</v>
      </c>
      <c r="AG27" s="60">
        <f t="shared" si="19"/>
        <v>211659870.83333334</v>
      </c>
      <c r="AI27" s="74">
        <v>200784000</v>
      </c>
      <c r="AJ27" s="119">
        <f t="shared" si="20"/>
        <v>12934517.8125</v>
      </c>
      <c r="AK27" s="75">
        <f t="shared" si="21"/>
        <v>172103000</v>
      </c>
      <c r="AL27" s="76">
        <f t="shared" si="22"/>
        <v>213718517.8125</v>
      </c>
      <c r="AM27" s="37"/>
      <c r="AN27" s="38"/>
      <c r="AO27" s="60">
        <f t="shared" si="23"/>
        <v>211659870.83333334</v>
      </c>
      <c r="AP27" s="60">
        <f t="shared" si="24"/>
        <v>211659870.83333334</v>
      </c>
      <c r="AR27" s="74">
        <v>200784000</v>
      </c>
      <c r="AS27" s="119">
        <f t="shared" si="27"/>
        <v>12934517.8125</v>
      </c>
      <c r="AT27" s="75">
        <f t="shared" si="25"/>
        <v>172103000</v>
      </c>
      <c r="AU27" s="76">
        <f t="shared" si="26"/>
        <v>213718517.8125</v>
      </c>
    </row>
    <row r="28" spans="1:51" x14ac:dyDescent="0.35">
      <c r="A28" s="117">
        <v>177122671</v>
      </c>
      <c r="B28" s="118">
        <f t="shared" si="0"/>
        <v>45884</v>
      </c>
      <c r="C28" s="109">
        <v>30</v>
      </c>
      <c r="D28" s="67">
        <f t="shared" si="5"/>
        <v>0.1</v>
      </c>
      <c r="E28" s="77">
        <f t="shared" si="6"/>
        <v>0.35</v>
      </c>
      <c r="F28" s="69">
        <f>+((E28*L27)/360)*$C28</f>
        <v>5019670.833333333</v>
      </c>
      <c r="G28" s="51">
        <f>+G27+F28-J28</f>
        <v>0</v>
      </c>
      <c r="H28" s="118">
        <v>45884</v>
      </c>
      <c r="I28" s="70">
        <v>172103000</v>
      </c>
      <c r="J28" s="60">
        <f>+MIN($A28,F28+G27)</f>
        <v>5019670.833333333</v>
      </c>
      <c r="K28" s="71">
        <f t="shared" si="14"/>
        <v>177122670.83333334</v>
      </c>
      <c r="L28" s="72">
        <f t="shared" si="15"/>
        <v>0</v>
      </c>
      <c r="M28" s="78"/>
      <c r="N28" s="78"/>
      <c r="O28" s="78"/>
      <c r="P28" s="78"/>
      <c r="Q28" s="78"/>
      <c r="R28" s="78"/>
      <c r="S28" s="75"/>
      <c r="T28" s="78"/>
      <c r="U28" s="78"/>
      <c r="V28" s="78"/>
      <c r="W28" s="126"/>
      <c r="X28" s="126"/>
      <c r="Y28" s="126"/>
      <c r="Z28" s="126"/>
      <c r="AA28" s="126"/>
      <c r="AB28" s="126"/>
      <c r="AC28" s="37"/>
      <c r="AD28" s="37"/>
      <c r="AF28" s="60">
        <f t="shared" si="18"/>
        <v>177122670.83333334</v>
      </c>
      <c r="AG28" s="60">
        <f t="shared" si="19"/>
        <v>177122670.83333334</v>
      </c>
      <c r="AI28" s="74">
        <v>172103000</v>
      </c>
      <c r="AJ28" s="119">
        <f t="shared" si="20"/>
        <v>5969822.8125</v>
      </c>
      <c r="AK28" s="75">
        <f t="shared" si="21"/>
        <v>0</v>
      </c>
      <c r="AL28" s="76">
        <f t="shared" si="22"/>
        <v>178072822.8125</v>
      </c>
      <c r="AM28" s="37"/>
      <c r="AN28" s="38"/>
      <c r="AO28" s="60">
        <f t="shared" si="23"/>
        <v>177122670.83333334</v>
      </c>
      <c r="AP28" s="60">
        <f t="shared" si="24"/>
        <v>177122670.83333334</v>
      </c>
      <c r="AR28" s="74">
        <v>172103000</v>
      </c>
      <c r="AS28" s="119">
        <f t="shared" si="27"/>
        <v>5969822.8125</v>
      </c>
      <c r="AT28" s="75">
        <f t="shared" si="25"/>
        <v>0</v>
      </c>
      <c r="AU28" s="76">
        <f t="shared" si="26"/>
        <v>178072822.8125</v>
      </c>
    </row>
    <row r="29" spans="1:51" x14ac:dyDescent="0.35">
      <c r="A29" s="117">
        <v>92607660</v>
      </c>
      <c r="B29" s="118">
        <f t="shared" si="0"/>
        <v>45915</v>
      </c>
      <c r="C29" s="109">
        <v>30</v>
      </c>
      <c r="D29" s="67">
        <f t="shared" si="5"/>
        <v>0.1</v>
      </c>
      <c r="E29" s="77">
        <f t="shared" si="6"/>
        <v>0.35</v>
      </c>
      <c r="F29" s="69">
        <f t="shared" si="12"/>
        <v>0</v>
      </c>
      <c r="G29" s="51">
        <f t="shared" si="1"/>
        <v>0</v>
      </c>
      <c r="H29" s="118">
        <v>45915</v>
      </c>
      <c r="I29" s="70">
        <f t="shared" ref="I29:I53" si="28">+IF(L28&gt;0,MIN(A29-J29,L28),0)</f>
        <v>0</v>
      </c>
      <c r="J29" s="60">
        <f t="shared" ref="J29:J53" si="29">+MIN($A29,F29+G28)</f>
        <v>0</v>
      </c>
      <c r="K29" s="71">
        <f t="shared" si="2"/>
        <v>0</v>
      </c>
      <c r="L29" s="72">
        <f t="shared" si="3"/>
        <v>0</v>
      </c>
      <c r="M29" s="78"/>
      <c r="N29" s="78"/>
      <c r="O29" s="78"/>
      <c r="P29" s="78"/>
      <c r="Q29" s="78"/>
      <c r="R29" s="78"/>
      <c r="S29" s="75"/>
      <c r="T29" s="78"/>
      <c r="U29" s="78"/>
      <c r="V29" s="78"/>
      <c r="W29" s="126"/>
      <c r="X29" s="126"/>
      <c r="Y29" s="126"/>
      <c r="Z29" s="126"/>
      <c r="AA29" s="126"/>
      <c r="AB29" s="126"/>
      <c r="AC29" s="37"/>
      <c r="AD29" s="37"/>
      <c r="AF29" s="60">
        <f t="shared" si="18"/>
        <v>0</v>
      </c>
      <c r="AG29" s="60">
        <f t="shared" si="19"/>
        <v>0</v>
      </c>
      <c r="AI29" s="74">
        <f t="shared" ref="AI29:AI31" si="30">+IF(AK28&gt;0,MIN(A29-AJ29,AK28),0)</f>
        <v>0</v>
      </c>
      <c r="AJ29" s="119">
        <f t="shared" si="20"/>
        <v>0</v>
      </c>
      <c r="AK29" s="75">
        <f t="shared" si="21"/>
        <v>0</v>
      </c>
      <c r="AL29" s="76">
        <f t="shared" si="22"/>
        <v>0</v>
      </c>
      <c r="AM29" s="37"/>
      <c r="AN29" s="38"/>
      <c r="AO29" s="60">
        <f t="shared" si="23"/>
        <v>0</v>
      </c>
      <c r="AP29" s="60">
        <f t="shared" si="24"/>
        <v>0</v>
      </c>
      <c r="AR29" s="74">
        <f t="shared" ref="AR29:AR31" si="31">+IF(AT28&gt;0,MIN(A29-AS29,AT28),0)</f>
        <v>0</v>
      </c>
      <c r="AS29" s="119">
        <f t="shared" si="27"/>
        <v>0</v>
      </c>
      <c r="AT29" s="75">
        <f t="shared" si="25"/>
        <v>0</v>
      </c>
      <c r="AU29" s="76">
        <f t="shared" si="26"/>
        <v>0</v>
      </c>
    </row>
    <row r="30" spans="1:51" x14ac:dyDescent="0.35">
      <c r="A30" s="117">
        <v>276480840</v>
      </c>
      <c r="B30" s="118">
        <f t="shared" si="0"/>
        <v>45945</v>
      </c>
      <c r="C30" s="109">
        <v>30</v>
      </c>
      <c r="D30" s="67">
        <f t="shared" si="5"/>
        <v>0.1</v>
      </c>
      <c r="E30" s="77">
        <f t="shared" si="6"/>
        <v>0.35</v>
      </c>
      <c r="F30" s="69">
        <f t="shared" si="12"/>
        <v>0</v>
      </c>
      <c r="G30" s="51">
        <f t="shared" si="1"/>
        <v>0</v>
      </c>
      <c r="H30" s="118">
        <v>45945</v>
      </c>
      <c r="I30" s="70">
        <f t="shared" si="28"/>
        <v>0</v>
      </c>
      <c r="J30" s="60">
        <f t="shared" si="29"/>
        <v>0</v>
      </c>
      <c r="K30" s="71">
        <f t="shared" si="2"/>
        <v>0</v>
      </c>
      <c r="L30" s="72">
        <f t="shared" si="3"/>
        <v>0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126"/>
      <c r="X30" s="126"/>
      <c r="Y30" s="126"/>
      <c r="Z30" s="127"/>
      <c r="AA30" s="126"/>
      <c r="AB30" s="126"/>
      <c r="AC30" s="37"/>
      <c r="AD30" s="37"/>
      <c r="AF30" s="60">
        <f t="shared" si="18"/>
        <v>0</v>
      </c>
      <c r="AG30" s="60">
        <f t="shared" si="19"/>
        <v>0</v>
      </c>
      <c r="AI30" s="74">
        <f t="shared" si="30"/>
        <v>0</v>
      </c>
      <c r="AJ30" s="119">
        <f t="shared" si="20"/>
        <v>0</v>
      </c>
      <c r="AK30" s="75">
        <f t="shared" si="21"/>
        <v>0</v>
      </c>
      <c r="AL30" s="76">
        <f t="shared" si="22"/>
        <v>0</v>
      </c>
      <c r="AM30" s="37"/>
      <c r="AN30" s="38"/>
      <c r="AO30" s="60">
        <f t="shared" si="23"/>
        <v>0</v>
      </c>
      <c r="AP30" s="60">
        <f t="shared" si="24"/>
        <v>0</v>
      </c>
      <c r="AR30" s="74">
        <f t="shared" si="31"/>
        <v>0</v>
      </c>
      <c r="AS30" s="119">
        <f t="shared" si="27"/>
        <v>0</v>
      </c>
      <c r="AT30" s="75">
        <f t="shared" si="25"/>
        <v>0</v>
      </c>
      <c r="AU30" s="76">
        <f t="shared" si="26"/>
        <v>0</v>
      </c>
    </row>
    <row r="31" spans="1:51" x14ac:dyDescent="0.35">
      <c r="A31" s="117">
        <v>3120002</v>
      </c>
      <c r="B31" s="118">
        <f t="shared" si="0"/>
        <v>45976</v>
      </c>
      <c r="C31" s="109">
        <v>30</v>
      </c>
      <c r="D31" s="67">
        <f t="shared" si="5"/>
        <v>0.1</v>
      </c>
      <c r="E31" s="77">
        <f t="shared" si="6"/>
        <v>0.35</v>
      </c>
      <c r="F31" s="69">
        <f t="shared" si="12"/>
        <v>0</v>
      </c>
      <c r="G31" s="51">
        <f t="shared" si="1"/>
        <v>0</v>
      </c>
      <c r="H31" s="118">
        <v>45976</v>
      </c>
      <c r="I31" s="70">
        <f t="shared" si="28"/>
        <v>0</v>
      </c>
      <c r="J31" s="60">
        <f t="shared" si="29"/>
        <v>0</v>
      </c>
      <c r="K31" s="71">
        <f t="shared" si="2"/>
        <v>0</v>
      </c>
      <c r="L31" s="72">
        <f t="shared" si="3"/>
        <v>0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126"/>
      <c r="X31" s="126"/>
      <c r="Y31" s="126"/>
      <c r="Z31" s="127"/>
      <c r="AA31" s="126"/>
      <c r="AB31" s="126"/>
      <c r="AC31" s="37"/>
      <c r="AD31" s="37"/>
      <c r="AF31" s="60">
        <f t="shared" si="18"/>
        <v>0</v>
      </c>
      <c r="AG31" s="60">
        <f t="shared" si="19"/>
        <v>0</v>
      </c>
      <c r="AI31" s="74">
        <f t="shared" si="30"/>
        <v>0</v>
      </c>
      <c r="AJ31" s="119">
        <f t="shared" si="20"/>
        <v>0</v>
      </c>
      <c r="AK31" s="75">
        <f t="shared" si="21"/>
        <v>0</v>
      </c>
      <c r="AL31" s="76">
        <f t="shared" si="22"/>
        <v>0</v>
      </c>
      <c r="AM31" s="37"/>
      <c r="AN31" s="38"/>
      <c r="AO31" s="60">
        <f t="shared" si="23"/>
        <v>0</v>
      </c>
      <c r="AP31" s="60">
        <f t="shared" si="24"/>
        <v>0</v>
      </c>
      <c r="AR31" s="74">
        <f t="shared" si="31"/>
        <v>0</v>
      </c>
      <c r="AS31" s="119">
        <f t="shared" si="27"/>
        <v>0</v>
      </c>
      <c r="AT31" s="75">
        <f t="shared" si="25"/>
        <v>0</v>
      </c>
      <c r="AU31" s="76">
        <f t="shared" si="26"/>
        <v>0</v>
      </c>
    </row>
    <row r="32" spans="1:51" x14ac:dyDescent="0.35">
      <c r="A32" s="117">
        <v>2458610</v>
      </c>
      <c r="B32" s="118">
        <f t="shared" si="0"/>
        <v>46006</v>
      </c>
      <c r="C32" s="109">
        <v>30</v>
      </c>
      <c r="D32" s="67">
        <f t="shared" si="5"/>
        <v>0.1</v>
      </c>
      <c r="E32" s="77">
        <f t="shared" si="6"/>
        <v>0.35</v>
      </c>
      <c r="F32" s="69">
        <f t="shared" si="12"/>
        <v>0</v>
      </c>
      <c r="G32" s="51">
        <f t="shared" si="1"/>
        <v>0</v>
      </c>
      <c r="H32" s="118">
        <v>46006</v>
      </c>
      <c r="I32" s="70">
        <f t="shared" si="28"/>
        <v>0</v>
      </c>
      <c r="J32" s="60">
        <f t="shared" si="29"/>
        <v>0</v>
      </c>
      <c r="K32" s="71">
        <f t="shared" si="2"/>
        <v>0</v>
      </c>
      <c r="L32" s="72">
        <f t="shared" si="3"/>
        <v>0</v>
      </c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126"/>
      <c r="X32" s="126"/>
      <c r="Y32" s="126"/>
      <c r="Z32" s="127"/>
      <c r="AA32" s="126"/>
      <c r="AB32" s="126"/>
      <c r="AC32" s="37"/>
      <c r="AD32" s="37"/>
      <c r="AF32" s="60">
        <f t="shared" si="4"/>
        <v>0</v>
      </c>
      <c r="AG32" s="60">
        <f t="shared" si="7"/>
        <v>0</v>
      </c>
      <c r="AI32" s="74">
        <f t="shared" ref="AI32:AI53" si="32">+IF(AK31&gt;0,MIN(A32-AJ32,AK31),0)</f>
        <v>0</v>
      </c>
      <c r="AJ32" s="119">
        <f>+((MAX($I$8,MIN($I$9,$O$10+$I$10/10000))*AK31)/360)*$C32</f>
        <v>0</v>
      </c>
      <c r="AK32" s="75">
        <f t="shared" si="16"/>
        <v>0</v>
      </c>
      <c r="AL32" s="76">
        <f t="shared" si="8"/>
        <v>0</v>
      </c>
      <c r="AM32" s="37"/>
      <c r="AO32" s="60">
        <f t="shared" si="9"/>
        <v>0</v>
      </c>
      <c r="AP32" s="60">
        <f t="shared" si="10"/>
        <v>0</v>
      </c>
      <c r="AR32" s="74">
        <f t="shared" ref="AR32:AR53" si="33">+IF(AT31&gt;0,MIN(A32-AS32,AT31),0)</f>
        <v>0</v>
      </c>
      <c r="AS32" s="119">
        <f>+((MAX($I$8,MIN($I$9,$O$10+$I$10/10000))*AT31)/360)*$C32</f>
        <v>0</v>
      </c>
      <c r="AT32" s="75">
        <f t="shared" si="11"/>
        <v>0</v>
      </c>
      <c r="AU32" s="76">
        <f t="shared" si="17"/>
        <v>0</v>
      </c>
    </row>
    <row r="33" spans="1:47" x14ac:dyDescent="0.35">
      <c r="A33" s="117"/>
      <c r="B33" s="118">
        <f t="shared" si="0"/>
        <v>46037</v>
      </c>
      <c r="C33" s="109">
        <v>30</v>
      </c>
      <c r="D33" s="67">
        <f t="shared" si="5"/>
        <v>0.1</v>
      </c>
      <c r="E33" s="77">
        <f t="shared" si="6"/>
        <v>0.35</v>
      </c>
      <c r="F33" s="69">
        <f t="shared" si="12"/>
        <v>0</v>
      </c>
      <c r="G33" s="51">
        <f t="shared" si="1"/>
        <v>0</v>
      </c>
      <c r="H33" s="118">
        <v>46037</v>
      </c>
      <c r="I33" s="70">
        <f t="shared" si="28"/>
        <v>0</v>
      </c>
      <c r="J33" s="60">
        <f t="shared" si="29"/>
        <v>0</v>
      </c>
      <c r="K33" s="71">
        <f t="shared" si="2"/>
        <v>0</v>
      </c>
      <c r="L33" s="72">
        <f t="shared" si="3"/>
        <v>0</v>
      </c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126"/>
      <c r="X33" s="126"/>
      <c r="Y33" s="126"/>
      <c r="Z33" s="127"/>
      <c r="AA33" s="126"/>
      <c r="AB33" s="126"/>
      <c r="AC33" s="37"/>
      <c r="AD33" s="37"/>
      <c r="AF33" s="60">
        <f t="shared" si="4"/>
        <v>0</v>
      </c>
      <c r="AG33" s="60">
        <f t="shared" si="7"/>
        <v>0</v>
      </c>
      <c r="AI33" s="74">
        <f t="shared" si="32"/>
        <v>0</v>
      </c>
      <c r="AJ33" s="119">
        <f>+((MAX($I$8,MIN($I$9,$O$10+$I$10/10000))*AK32)/360)*$C33</f>
        <v>0</v>
      </c>
      <c r="AK33" s="75">
        <f t="shared" si="16"/>
        <v>0</v>
      </c>
      <c r="AL33" s="76">
        <f t="shared" si="8"/>
        <v>0</v>
      </c>
      <c r="AM33" s="37"/>
      <c r="AO33" s="60">
        <f t="shared" si="9"/>
        <v>0</v>
      </c>
      <c r="AP33" s="60">
        <f t="shared" si="10"/>
        <v>0</v>
      </c>
      <c r="AR33" s="74">
        <f t="shared" si="33"/>
        <v>0</v>
      </c>
      <c r="AS33" s="119">
        <f>+((MAX($I$8,MIN($I$9,$O$10+$I$10/10000))*AT32)/360)*$C33</f>
        <v>0</v>
      </c>
      <c r="AT33" s="75">
        <f t="shared" si="11"/>
        <v>0</v>
      </c>
      <c r="AU33" s="76">
        <f t="shared" si="17"/>
        <v>0</v>
      </c>
    </row>
    <row r="34" spans="1:47" x14ac:dyDescent="0.35">
      <c r="A34" s="117"/>
      <c r="B34" s="118">
        <f t="shared" si="0"/>
        <v>46068</v>
      </c>
      <c r="C34" s="109">
        <v>30</v>
      </c>
      <c r="D34" s="67">
        <f t="shared" si="5"/>
        <v>0.1</v>
      </c>
      <c r="E34" s="77">
        <f t="shared" si="6"/>
        <v>0.35</v>
      </c>
      <c r="F34" s="69">
        <f t="shared" si="12"/>
        <v>0</v>
      </c>
      <c r="G34" s="51">
        <f t="shared" si="1"/>
        <v>0</v>
      </c>
      <c r="H34" s="118">
        <v>46068</v>
      </c>
      <c r="I34" s="70">
        <f t="shared" si="28"/>
        <v>0</v>
      </c>
      <c r="J34" s="60">
        <f t="shared" si="29"/>
        <v>0</v>
      </c>
      <c r="K34" s="71">
        <f t="shared" si="2"/>
        <v>0</v>
      </c>
      <c r="L34" s="72">
        <f t="shared" si="3"/>
        <v>0</v>
      </c>
      <c r="N34" s="78"/>
      <c r="O34" s="78"/>
      <c r="W34" s="126"/>
      <c r="X34" s="126"/>
      <c r="Y34" s="126"/>
      <c r="Z34" s="127"/>
      <c r="AA34" s="126"/>
      <c r="AB34" s="126"/>
      <c r="AC34" s="37"/>
      <c r="AD34" s="37"/>
      <c r="AF34" s="60">
        <f t="shared" si="4"/>
        <v>0</v>
      </c>
      <c r="AG34" s="60">
        <f t="shared" si="7"/>
        <v>0</v>
      </c>
      <c r="AI34" s="74">
        <f t="shared" si="32"/>
        <v>0</v>
      </c>
      <c r="AJ34" s="119">
        <f>+((MAX($I$8,MIN($I$9,$O$10+$I$10/10000))*AK33)/360)*$C34</f>
        <v>0</v>
      </c>
      <c r="AK34" s="75">
        <f t="shared" si="16"/>
        <v>0</v>
      </c>
      <c r="AL34" s="76">
        <f t="shared" si="8"/>
        <v>0</v>
      </c>
      <c r="AM34" s="37"/>
      <c r="AO34" s="60">
        <f t="shared" si="9"/>
        <v>0</v>
      </c>
      <c r="AP34" s="60">
        <f t="shared" si="10"/>
        <v>0</v>
      </c>
      <c r="AR34" s="74">
        <f t="shared" si="33"/>
        <v>0</v>
      </c>
      <c r="AS34" s="119">
        <f>+((MAX($I$8,MIN($I$9,$O$10+$I$10/10000))*AT33)/360)*$C34</f>
        <v>0</v>
      </c>
      <c r="AT34" s="75">
        <f t="shared" si="11"/>
        <v>0</v>
      </c>
      <c r="AU34" s="76">
        <f t="shared" si="17"/>
        <v>0</v>
      </c>
    </row>
    <row r="35" spans="1:47" ht="15" x14ac:dyDescent="0.35">
      <c r="A35" s="117"/>
      <c r="B35" s="118">
        <f t="shared" si="0"/>
        <v>46096</v>
      </c>
      <c r="C35" s="109">
        <v>30</v>
      </c>
      <c r="D35" s="67">
        <f t="shared" si="5"/>
        <v>0.1</v>
      </c>
      <c r="E35" s="77">
        <f t="shared" si="6"/>
        <v>0.35</v>
      </c>
      <c r="F35" s="69">
        <f t="shared" si="12"/>
        <v>0</v>
      </c>
      <c r="G35" s="51">
        <f t="shared" si="1"/>
        <v>0</v>
      </c>
      <c r="H35" s="118">
        <v>46096</v>
      </c>
      <c r="I35" s="70">
        <f t="shared" si="28"/>
        <v>0</v>
      </c>
      <c r="J35" s="60">
        <f t="shared" si="29"/>
        <v>0</v>
      </c>
      <c r="K35" s="71">
        <f t="shared" si="2"/>
        <v>0</v>
      </c>
      <c r="L35" s="72">
        <f t="shared" si="3"/>
        <v>0</v>
      </c>
      <c r="P35" s="1"/>
      <c r="W35" s="37"/>
      <c r="X35" s="37"/>
      <c r="Y35" s="37"/>
      <c r="Z35" s="79"/>
      <c r="AA35" s="37"/>
      <c r="AB35" s="37"/>
      <c r="AC35" s="37"/>
      <c r="AD35" s="37"/>
      <c r="AF35" s="60">
        <f t="shared" si="4"/>
        <v>0</v>
      </c>
      <c r="AG35" s="60">
        <f t="shared" si="7"/>
        <v>0</v>
      </c>
      <c r="AI35" s="74">
        <f t="shared" si="32"/>
        <v>0</v>
      </c>
      <c r="AJ35" s="75">
        <f t="shared" ref="AJ35:AJ56" si="34">+((MAX($I$8,MIN($I$9,$O$9+$I$10/10000))*AK34)/360)*$C35</f>
        <v>0</v>
      </c>
      <c r="AK35" s="75">
        <f t="shared" si="16"/>
        <v>0</v>
      </c>
      <c r="AL35" s="76">
        <f t="shared" si="8"/>
        <v>0</v>
      </c>
      <c r="AM35" s="37"/>
      <c r="AO35" s="60">
        <f t="shared" si="9"/>
        <v>0</v>
      </c>
      <c r="AP35" s="60">
        <f t="shared" si="10"/>
        <v>0</v>
      </c>
      <c r="AR35" s="74">
        <f t="shared" si="33"/>
        <v>0</v>
      </c>
      <c r="AS35" s="119">
        <f>+((MAX($I$8,MIN($I$9,$O$10+$I$10/10000))*AT34)/360)*$C35</f>
        <v>0</v>
      </c>
      <c r="AT35" s="75">
        <f t="shared" si="11"/>
        <v>0</v>
      </c>
      <c r="AU35" s="76">
        <f t="shared" si="17"/>
        <v>0</v>
      </c>
    </row>
    <row r="36" spans="1:47" ht="15" x14ac:dyDescent="0.35">
      <c r="A36" s="117"/>
      <c r="B36" s="118">
        <f t="shared" si="0"/>
        <v>46127</v>
      </c>
      <c r="C36" s="109">
        <v>30</v>
      </c>
      <c r="D36" s="67">
        <f t="shared" si="5"/>
        <v>0.1</v>
      </c>
      <c r="E36" s="77">
        <f t="shared" si="6"/>
        <v>0.35</v>
      </c>
      <c r="F36" s="69">
        <f t="shared" si="12"/>
        <v>0</v>
      </c>
      <c r="G36" s="51">
        <f t="shared" si="1"/>
        <v>0</v>
      </c>
      <c r="H36" s="118">
        <v>46127</v>
      </c>
      <c r="I36" s="70">
        <f t="shared" si="28"/>
        <v>0</v>
      </c>
      <c r="J36" s="60">
        <f t="shared" si="29"/>
        <v>0</v>
      </c>
      <c r="K36" s="71">
        <f t="shared" si="2"/>
        <v>0</v>
      </c>
      <c r="L36" s="72">
        <f t="shared" si="3"/>
        <v>0</v>
      </c>
      <c r="P36" s="1"/>
      <c r="W36" s="37"/>
      <c r="X36" s="37"/>
      <c r="Y36" s="37"/>
      <c r="Z36" s="79"/>
      <c r="AA36" s="37"/>
      <c r="AB36" s="37"/>
      <c r="AC36" s="37"/>
      <c r="AD36" s="37"/>
      <c r="AF36" s="60">
        <f t="shared" si="4"/>
        <v>0</v>
      </c>
      <c r="AG36" s="60">
        <f t="shared" si="7"/>
        <v>0</v>
      </c>
      <c r="AI36" s="74">
        <f t="shared" si="32"/>
        <v>0</v>
      </c>
      <c r="AJ36" s="75">
        <f t="shared" si="34"/>
        <v>0</v>
      </c>
      <c r="AK36" s="75">
        <f t="shared" si="16"/>
        <v>0</v>
      </c>
      <c r="AL36" s="76">
        <f t="shared" si="8"/>
        <v>0</v>
      </c>
      <c r="AM36" s="37"/>
      <c r="AO36" s="60">
        <f t="shared" si="9"/>
        <v>0</v>
      </c>
      <c r="AP36" s="60">
        <f t="shared" si="10"/>
        <v>0</v>
      </c>
      <c r="AR36" s="74">
        <f t="shared" si="33"/>
        <v>0</v>
      </c>
      <c r="AS36" s="119">
        <f>+((MAX($I$8,MIN($I$9,$O$10+$I$10/10000))*AT35)/360)*$C36</f>
        <v>0</v>
      </c>
      <c r="AT36" s="75">
        <f t="shared" si="11"/>
        <v>0</v>
      </c>
      <c r="AU36" s="76">
        <f t="shared" si="17"/>
        <v>0</v>
      </c>
    </row>
    <row r="37" spans="1:47" ht="15" x14ac:dyDescent="0.35">
      <c r="A37" s="117"/>
      <c r="B37" s="118">
        <f t="shared" si="0"/>
        <v>46157</v>
      </c>
      <c r="C37" s="109">
        <v>30</v>
      </c>
      <c r="D37" s="67">
        <f t="shared" si="5"/>
        <v>0.1</v>
      </c>
      <c r="E37" s="77">
        <f t="shared" si="6"/>
        <v>0.35</v>
      </c>
      <c r="F37" s="69">
        <f t="shared" si="12"/>
        <v>0</v>
      </c>
      <c r="G37" s="51">
        <f t="shared" si="1"/>
        <v>0</v>
      </c>
      <c r="H37" s="118">
        <v>46157</v>
      </c>
      <c r="I37" s="70">
        <f t="shared" si="28"/>
        <v>0</v>
      </c>
      <c r="J37" s="60">
        <f t="shared" si="29"/>
        <v>0</v>
      </c>
      <c r="K37" s="71">
        <f t="shared" si="2"/>
        <v>0</v>
      </c>
      <c r="L37" s="72">
        <f t="shared" si="3"/>
        <v>0</v>
      </c>
      <c r="P37" s="1"/>
      <c r="W37" s="37"/>
      <c r="X37" s="37"/>
      <c r="Y37" s="37"/>
      <c r="Z37" s="79"/>
      <c r="AA37" s="37"/>
      <c r="AB37" s="37"/>
      <c r="AC37" s="37"/>
      <c r="AD37" s="37"/>
      <c r="AF37" s="60">
        <f t="shared" si="4"/>
        <v>0</v>
      </c>
      <c r="AG37" s="60">
        <f t="shared" si="7"/>
        <v>0</v>
      </c>
      <c r="AI37" s="74">
        <f t="shared" si="32"/>
        <v>0</v>
      </c>
      <c r="AJ37" s="75">
        <f t="shared" si="34"/>
        <v>0</v>
      </c>
      <c r="AK37" s="75">
        <f t="shared" si="16"/>
        <v>0</v>
      </c>
      <c r="AL37" s="76">
        <f t="shared" si="8"/>
        <v>0</v>
      </c>
      <c r="AM37" s="37"/>
      <c r="AO37" s="60">
        <f t="shared" si="9"/>
        <v>0</v>
      </c>
      <c r="AP37" s="60">
        <f t="shared" si="10"/>
        <v>0</v>
      </c>
      <c r="AR37" s="74">
        <f t="shared" si="33"/>
        <v>0</v>
      </c>
      <c r="AS37" s="75">
        <f t="shared" ref="AS37:AS56" si="35">+((MAX($I$8,MIN($I$9,$O$9+$I$10/10000))*AT36)/360)*$C37</f>
        <v>0</v>
      </c>
      <c r="AT37" s="75">
        <f t="shared" si="11"/>
        <v>0</v>
      </c>
      <c r="AU37" s="76">
        <f t="shared" si="17"/>
        <v>0</v>
      </c>
    </row>
    <row r="38" spans="1:47" ht="15" x14ac:dyDescent="0.35">
      <c r="A38" s="117"/>
      <c r="B38" s="118">
        <f t="shared" si="0"/>
        <v>46188</v>
      </c>
      <c r="C38" s="109">
        <v>30</v>
      </c>
      <c r="D38" s="67">
        <f t="shared" si="5"/>
        <v>0.1</v>
      </c>
      <c r="E38" s="77">
        <f t="shared" si="6"/>
        <v>0.35</v>
      </c>
      <c r="F38" s="69">
        <f t="shared" si="12"/>
        <v>0</v>
      </c>
      <c r="G38" s="51">
        <f t="shared" si="1"/>
        <v>0</v>
      </c>
      <c r="H38" s="118">
        <v>46188</v>
      </c>
      <c r="I38" s="70">
        <f t="shared" si="28"/>
        <v>0</v>
      </c>
      <c r="J38" s="60">
        <f t="shared" si="29"/>
        <v>0</v>
      </c>
      <c r="K38" s="71">
        <f t="shared" si="2"/>
        <v>0</v>
      </c>
      <c r="L38" s="72">
        <f t="shared" si="3"/>
        <v>0</v>
      </c>
      <c r="P38" s="1"/>
      <c r="W38" s="37"/>
      <c r="X38" s="80"/>
      <c r="Y38" s="81"/>
      <c r="Z38" s="79"/>
      <c r="AA38" s="37"/>
      <c r="AB38" s="37"/>
      <c r="AC38" s="37"/>
      <c r="AD38" s="37"/>
      <c r="AF38" s="60">
        <f t="shared" si="4"/>
        <v>0</v>
      </c>
      <c r="AG38" s="60">
        <f t="shared" si="7"/>
        <v>0</v>
      </c>
      <c r="AI38" s="74">
        <f t="shared" si="32"/>
        <v>0</v>
      </c>
      <c r="AJ38" s="75">
        <f t="shared" si="34"/>
        <v>0</v>
      </c>
      <c r="AK38" s="75">
        <f t="shared" si="16"/>
        <v>0</v>
      </c>
      <c r="AL38" s="76">
        <f t="shared" si="8"/>
        <v>0</v>
      </c>
      <c r="AM38" s="37"/>
      <c r="AO38" s="60">
        <f t="shared" si="9"/>
        <v>0</v>
      </c>
      <c r="AP38" s="60">
        <f t="shared" si="10"/>
        <v>0</v>
      </c>
      <c r="AR38" s="74">
        <f t="shared" si="33"/>
        <v>0</v>
      </c>
      <c r="AS38" s="75">
        <f t="shared" si="35"/>
        <v>0</v>
      </c>
      <c r="AT38" s="75">
        <f t="shared" si="11"/>
        <v>0</v>
      </c>
      <c r="AU38" s="76">
        <f t="shared" si="17"/>
        <v>0</v>
      </c>
    </row>
    <row r="39" spans="1:47" ht="15" x14ac:dyDescent="0.35">
      <c r="A39" s="117"/>
      <c r="B39" s="118">
        <f t="shared" si="0"/>
        <v>46218</v>
      </c>
      <c r="C39" s="109">
        <v>30</v>
      </c>
      <c r="D39" s="67">
        <f t="shared" si="5"/>
        <v>0.1</v>
      </c>
      <c r="E39" s="77">
        <f t="shared" si="6"/>
        <v>0.35</v>
      </c>
      <c r="F39" s="69">
        <f t="shared" si="12"/>
        <v>0</v>
      </c>
      <c r="G39" s="51">
        <f t="shared" si="1"/>
        <v>0</v>
      </c>
      <c r="H39" s="118">
        <v>46218</v>
      </c>
      <c r="I39" s="70">
        <f t="shared" si="28"/>
        <v>0</v>
      </c>
      <c r="J39" s="60">
        <f t="shared" si="29"/>
        <v>0</v>
      </c>
      <c r="K39" s="71">
        <f t="shared" si="2"/>
        <v>0</v>
      </c>
      <c r="L39" s="72">
        <f t="shared" si="3"/>
        <v>0</v>
      </c>
      <c r="P39" s="1"/>
      <c r="W39" s="37"/>
      <c r="X39" s="80"/>
      <c r="Y39" s="81"/>
      <c r="Z39" s="79"/>
      <c r="AA39" s="37"/>
      <c r="AB39" s="37"/>
      <c r="AC39" s="37"/>
      <c r="AD39" s="37"/>
      <c r="AF39" s="60">
        <f t="shared" si="4"/>
        <v>0</v>
      </c>
      <c r="AG39" s="60">
        <f t="shared" si="7"/>
        <v>0</v>
      </c>
      <c r="AI39" s="74">
        <f t="shared" si="32"/>
        <v>0</v>
      </c>
      <c r="AJ39" s="75">
        <f t="shared" si="34"/>
        <v>0</v>
      </c>
      <c r="AK39" s="75">
        <f t="shared" si="16"/>
        <v>0</v>
      </c>
      <c r="AL39" s="76">
        <f t="shared" si="8"/>
        <v>0</v>
      </c>
      <c r="AM39" s="37"/>
      <c r="AO39" s="60">
        <f t="shared" si="9"/>
        <v>0</v>
      </c>
      <c r="AP39" s="60">
        <f t="shared" si="10"/>
        <v>0</v>
      </c>
      <c r="AR39" s="74">
        <f t="shared" si="33"/>
        <v>0</v>
      </c>
      <c r="AS39" s="75">
        <f t="shared" si="35"/>
        <v>0</v>
      </c>
      <c r="AT39" s="75">
        <f t="shared" si="11"/>
        <v>0</v>
      </c>
      <c r="AU39" s="76">
        <f t="shared" si="17"/>
        <v>0</v>
      </c>
    </row>
    <row r="40" spans="1:47" ht="15" x14ac:dyDescent="0.35">
      <c r="A40" s="117"/>
      <c r="B40" s="118">
        <f t="shared" si="0"/>
        <v>46249</v>
      </c>
      <c r="C40" s="109">
        <v>30</v>
      </c>
      <c r="D40" s="67">
        <f t="shared" si="5"/>
        <v>0.1</v>
      </c>
      <c r="E40" s="77">
        <f t="shared" si="6"/>
        <v>0.35</v>
      </c>
      <c r="F40" s="69">
        <f t="shared" si="12"/>
        <v>0</v>
      </c>
      <c r="G40" s="51">
        <f t="shared" si="1"/>
        <v>0</v>
      </c>
      <c r="H40" s="118">
        <v>46249</v>
      </c>
      <c r="I40" s="70">
        <f t="shared" si="28"/>
        <v>0</v>
      </c>
      <c r="J40" s="60">
        <f t="shared" si="29"/>
        <v>0</v>
      </c>
      <c r="K40" s="71">
        <f t="shared" si="2"/>
        <v>0</v>
      </c>
      <c r="L40" s="72">
        <f t="shared" si="3"/>
        <v>0</v>
      </c>
      <c r="P40" s="1"/>
      <c r="W40" s="37"/>
      <c r="X40" s="80"/>
      <c r="Y40" s="81"/>
      <c r="Z40" s="79"/>
      <c r="AA40" s="37"/>
      <c r="AB40" s="37"/>
      <c r="AC40" s="37"/>
      <c r="AD40" s="37"/>
      <c r="AF40" s="60">
        <f t="shared" si="4"/>
        <v>0</v>
      </c>
      <c r="AG40" s="60">
        <f t="shared" si="7"/>
        <v>0</v>
      </c>
      <c r="AI40" s="74">
        <f t="shared" si="32"/>
        <v>0</v>
      </c>
      <c r="AJ40" s="75">
        <f t="shared" si="34"/>
        <v>0</v>
      </c>
      <c r="AK40" s="75">
        <f t="shared" si="16"/>
        <v>0</v>
      </c>
      <c r="AL40" s="76">
        <f t="shared" si="8"/>
        <v>0</v>
      </c>
      <c r="AM40" s="37"/>
      <c r="AO40" s="60">
        <f t="shared" si="9"/>
        <v>0</v>
      </c>
      <c r="AP40" s="60">
        <f t="shared" si="10"/>
        <v>0</v>
      </c>
      <c r="AR40" s="74">
        <f t="shared" si="33"/>
        <v>0</v>
      </c>
      <c r="AS40" s="75">
        <f t="shared" si="35"/>
        <v>0</v>
      </c>
      <c r="AT40" s="75">
        <f t="shared" si="11"/>
        <v>0</v>
      </c>
      <c r="AU40" s="76">
        <f t="shared" si="17"/>
        <v>0</v>
      </c>
    </row>
    <row r="41" spans="1:47" ht="15" x14ac:dyDescent="0.35">
      <c r="A41" s="117"/>
      <c r="B41" s="118">
        <f t="shared" si="0"/>
        <v>46280</v>
      </c>
      <c r="C41" s="109">
        <v>30</v>
      </c>
      <c r="D41" s="67">
        <f t="shared" si="5"/>
        <v>0.1</v>
      </c>
      <c r="E41" s="77">
        <f t="shared" si="6"/>
        <v>0.35</v>
      </c>
      <c r="F41" s="69">
        <f t="shared" si="12"/>
        <v>0</v>
      </c>
      <c r="G41" s="51">
        <f>+G30+F41-J41</f>
        <v>0</v>
      </c>
      <c r="H41" s="118">
        <v>46280</v>
      </c>
      <c r="I41" s="70">
        <f t="shared" si="28"/>
        <v>0</v>
      </c>
      <c r="J41" s="60">
        <f t="shared" si="29"/>
        <v>0</v>
      </c>
      <c r="K41" s="71">
        <f t="shared" si="2"/>
        <v>0</v>
      </c>
      <c r="L41" s="72">
        <f t="shared" si="3"/>
        <v>0</v>
      </c>
      <c r="P41" s="1"/>
      <c r="W41" s="37"/>
      <c r="X41" s="80"/>
      <c r="Y41" s="81"/>
      <c r="Z41" s="79"/>
      <c r="AA41" s="37"/>
      <c r="AB41" s="37"/>
      <c r="AC41" s="37"/>
      <c r="AD41" s="37"/>
      <c r="AF41" s="60">
        <f t="shared" si="4"/>
        <v>0</v>
      </c>
      <c r="AG41" s="60">
        <f t="shared" si="7"/>
        <v>0</v>
      </c>
      <c r="AI41" s="74">
        <f t="shared" si="32"/>
        <v>0</v>
      </c>
      <c r="AJ41" s="75">
        <f t="shared" si="34"/>
        <v>0</v>
      </c>
      <c r="AK41" s="75">
        <f t="shared" si="16"/>
        <v>0</v>
      </c>
      <c r="AL41" s="76">
        <f t="shared" si="8"/>
        <v>0</v>
      </c>
      <c r="AM41" s="37"/>
      <c r="AO41" s="60">
        <f t="shared" si="9"/>
        <v>0</v>
      </c>
      <c r="AP41" s="60">
        <f t="shared" si="10"/>
        <v>0</v>
      </c>
      <c r="AR41" s="74">
        <f t="shared" si="33"/>
        <v>0</v>
      </c>
      <c r="AS41" s="75">
        <f t="shared" si="35"/>
        <v>0</v>
      </c>
      <c r="AT41" s="75">
        <f t="shared" si="11"/>
        <v>0</v>
      </c>
      <c r="AU41" s="76">
        <f t="shared" si="17"/>
        <v>0</v>
      </c>
    </row>
    <row r="42" spans="1:47" ht="15" x14ac:dyDescent="0.35">
      <c r="A42" s="117"/>
      <c r="B42" s="118">
        <f t="shared" si="0"/>
        <v>46310</v>
      </c>
      <c r="C42" s="109">
        <v>30</v>
      </c>
      <c r="D42" s="67">
        <f t="shared" si="5"/>
        <v>0.1</v>
      </c>
      <c r="E42" s="77">
        <f t="shared" si="6"/>
        <v>0.35</v>
      </c>
      <c r="F42" s="69">
        <f t="shared" si="12"/>
        <v>0</v>
      </c>
      <c r="G42" s="51">
        <f t="shared" si="1"/>
        <v>0</v>
      </c>
      <c r="H42" s="118">
        <v>46310</v>
      </c>
      <c r="I42" s="70">
        <f t="shared" si="28"/>
        <v>0</v>
      </c>
      <c r="J42" s="60">
        <f t="shared" si="29"/>
        <v>0</v>
      </c>
      <c r="K42" s="71">
        <f t="shared" si="2"/>
        <v>0</v>
      </c>
      <c r="L42" s="72">
        <f t="shared" si="3"/>
        <v>0</v>
      </c>
      <c r="P42" s="1"/>
      <c r="W42" s="37"/>
      <c r="X42" s="80"/>
      <c r="Y42" s="81"/>
      <c r="Z42" s="79"/>
      <c r="AA42" s="37"/>
      <c r="AB42" s="37"/>
      <c r="AC42" s="37"/>
      <c r="AD42" s="37"/>
      <c r="AF42" s="60">
        <f t="shared" si="4"/>
        <v>0</v>
      </c>
      <c r="AG42" s="60">
        <f t="shared" si="7"/>
        <v>0</v>
      </c>
      <c r="AI42" s="74">
        <f t="shared" si="32"/>
        <v>0</v>
      </c>
      <c r="AJ42" s="75">
        <f t="shared" si="34"/>
        <v>0</v>
      </c>
      <c r="AK42" s="75">
        <f t="shared" si="16"/>
        <v>0</v>
      </c>
      <c r="AL42" s="76">
        <f t="shared" si="8"/>
        <v>0</v>
      </c>
      <c r="AM42" s="37"/>
      <c r="AO42" s="60">
        <f t="shared" si="9"/>
        <v>0</v>
      </c>
      <c r="AP42" s="60">
        <f t="shared" si="10"/>
        <v>0</v>
      </c>
      <c r="AR42" s="74">
        <f t="shared" si="33"/>
        <v>0</v>
      </c>
      <c r="AS42" s="75">
        <f t="shared" si="35"/>
        <v>0</v>
      </c>
      <c r="AT42" s="75">
        <f t="shared" si="11"/>
        <v>0</v>
      </c>
      <c r="AU42" s="76">
        <f t="shared" si="17"/>
        <v>0</v>
      </c>
    </row>
    <row r="43" spans="1:47" ht="15" x14ac:dyDescent="0.35">
      <c r="A43" s="117"/>
      <c r="B43" s="118">
        <f t="shared" si="0"/>
        <v>46341</v>
      </c>
      <c r="C43" s="109">
        <v>30</v>
      </c>
      <c r="D43" s="67">
        <f t="shared" si="5"/>
        <v>0.1</v>
      </c>
      <c r="E43" s="77">
        <f t="shared" si="6"/>
        <v>0.35</v>
      </c>
      <c r="F43" s="69">
        <f t="shared" si="12"/>
        <v>0</v>
      </c>
      <c r="G43" s="51">
        <f t="shared" si="1"/>
        <v>0</v>
      </c>
      <c r="H43" s="118">
        <v>46341</v>
      </c>
      <c r="I43" s="70">
        <f t="shared" si="28"/>
        <v>0</v>
      </c>
      <c r="J43" s="60">
        <f t="shared" si="29"/>
        <v>0</v>
      </c>
      <c r="K43" s="71">
        <f t="shared" si="2"/>
        <v>0</v>
      </c>
      <c r="L43" s="72">
        <f t="shared" si="3"/>
        <v>0</v>
      </c>
      <c r="P43" s="1"/>
      <c r="W43" s="37"/>
      <c r="X43" s="80"/>
      <c r="Y43" s="81"/>
      <c r="Z43" s="79"/>
      <c r="AA43" s="37"/>
      <c r="AB43" s="37"/>
      <c r="AC43" s="37"/>
      <c r="AD43" s="37"/>
      <c r="AF43" s="60">
        <f t="shared" si="4"/>
        <v>0</v>
      </c>
      <c r="AG43" s="60">
        <f t="shared" si="7"/>
        <v>0</v>
      </c>
      <c r="AI43" s="74">
        <f t="shared" si="32"/>
        <v>0</v>
      </c>
      <c r="AJ43" s="75">
        <f t="shared" si="34"/>
        <v>0</v>
      </c>
      <c r="AK43" s="75">
        <f t="shared" si="16"/>
        <v>0</v>
      </c>
      <c r="AL43" s="76">
        <f t="shared" si="8"/>
        <v>0</v>
      </c>
      <c r="AM43" s="37"/>
      <c r="AO43" s="60">
        <f t="shared" si="9"/>
        <v>0</v>
      </c>
      <c r="AP43" s="60">
        <f t="shared" si="10"/>
        <v>0</v>
      </c>
      <c r="AR43" s="74">
        <f t="shared" si="33"/>
        <v>0</v>
      </c>
      <c r="AS43" s="75">
        <f t="shared" si="35"/>
        <v>0</v>
      </c>
      <c r="AT43" s="75">
        <f t="shared" si="11"/>
        <v>0</v>
      </c>
      <c r="AU43" s="76">
        <f t="shared" si="17"/>
        <v>0</v>
      </c>
    </row>
    <row r="44" spans="1:47" ht="15" x14ac:dyDescent="0.35">
      <c r="A44" s="117"/>
      <c r="B44" s="118">
        <f t="shared" si="0"/>
        <v>46371</v>
      </c>
      <c r="C44" s="109">
        <v>30</v>
      </c>
      <c r="D44" s="67">
        <f t="shared" si="5"/>
        <v>0.1</v>
      </c>
      <c r="E44" s="77">
        <f t="shared" si="6"/>
        <v>0.35</v>
      </c>
      <c r="F44" s="69">
        <f t="shared" si="12"/>
        <v>0</v>
      </c>
      <c r="G44" s="51">
        <f t="shared" si="1"/>
        <v>0</v>
      </c>
      <c r="H44" s="118">
        <v>46371</v>
      </c>
      <c r="I44" s="70">
        <f t="shared" si="28"/>
        <v>0</v>
      </c>
      <c r="J44" s="60">
        <f t="shared" si="29"/>
        <v>0</v>
      </c>
      <c r="K44" s="71">
        <f t="shared" si="2"/>
        <v>0</v>
      </c>
      <c r="L44" s="72">
        <f t="shared" si="3"/>
        <v>0</v>
      </c>
      <c r="P44" s="1"/>
      <c r="W44" s="37"/>
      <c r="X44" s="75"/>
      <c r="Y44" s="37"/>
      <c r="AA44" s="37"/>
      <c r="AB44" s="37"/>
      <c r="AC44" s="37"/>
      <c r="AD44" s="37"/>
      <c r="AF44" s="60">
        <f t="shared" si="4"/>
        <v>0</v>
      </c>
      <c r="AG44" s="60">
        <f t="shared" si="7"/>
        <v>0</v>
      </c>
      <c r="AI44" s="74">
        <f t="shared" si="32"/>
        <v>0</v>
      </c>
      <c r="AJ44" s="75">
        <f t="shared" si="34"/>
        <v>0</v>
      </c>
      <c r="AK44" s="75">
        <f t="shared" si="16"/>
        <v>0</v>
      </c>
      <c r="AL44" s="76">
        <f t="shared" si="8"/>
        <v>0</v>
      </c>
      <c r="AM44" s="37"/>
      <c r="AO44" s="60">
        <f t="shared" si="9"/>
        <v>0</v>
      </c>
      <c r="AP44" s="60">
        <f t="shared" si="10"/>
        <v>0</v>
      </c>
      <c r="AR44" s="74">
        <f t="shared" si="33"/>
        <v>0</v>
      </c>
      <c r="AS44" s="75">
        <f t="shared" si="35"/>
        <v>0</v>
      </c>
      <c r="AT44" s="75">
        <f t="shared" si="11"/>
        <v>0</v>
      </c>
      <c r="AU44" s="76">
        <f t="shared" si="17"/>
        <v>0</v>
      </c>
    </row>
    <row r="45" spans="1:47" ht="15" x14ac:dyDescent="0.35">
      <c r="A45" s="117"/>
      <c r="B45" s="118">
        <f t="shared" si="0"/>
        <v>46402</v>
      </c>
      <c r="C45" s="109">
        <v>30</v>
      </c>
      <c r="D45" s="67">
        <f t="shared" si="5"/>
        <v>0.1</v>
      </c>
      <c r="E45" s="77">
        <f t="shared" si="6"/>
        <v>0.35</v>
      </c>
      <c r="F45" s="69">
        <f t="shared" si="12"/>
        <v>0</v>
      </c>
      <c r="G45" s="51">
        <f t="shared" si="1"/>
        <v>0</v>
      </c>
      <c r="H45" s="118">
        <v>46402</v>
      </c>
      <c r="I45" s="70">
        <f t="shared" si="28"/>
        <v>0</v>
      </c>
      <c r="J45" s="60">
        <f t="shared" si="29"/>
        <v>0</v>
      </c>
      <c r="K45" s="71">
        <f t="shared" si="2"/>
        <v>0</v>
      </c>
      <c r="L45" s="72">
        <f t="shared" si="3"/>
        <v>0</v>
      </c>
      <c r="P45" s="1"/>
      <c r="AF45" s="60">
        <f t="shared" si="4"/>
        <v>0</v>
      </c>
      <c r="AG45" s="60">
        <f t="shared" si="7"/>
        <v>0</v>
      </c>
      <c r="AI45" s="74">
        <f t="shared" si="32"/>
        <v>0</v>
      </c>
      <c r="AJ45" s="75">
        <f t="shared" si="34"/>
        <v>0</v>
      </c>
      <c r="AK45" s="75">
        <f t="shared" si="16"/>
        <v>0</v>
      </c>
      <c r="AL45" s="76">
        <f t="shared" si="8"/>
        <v>0</v>
      </c>
      <c r="AM45" s="37"/>
      <c r="AO45" s="60">
        <f t="shared" si="9"/>
        <v>0</v>
      </c>
      <c r="AP45" s="60">
        <f t="shared" si="10"/>
        <v>0</v>
      </c>
      <c r="AR45" s="74">
        <f t="shared" si="33"/>
        <v>0</v>
      </c>
      <c r="AS45" s="75">
        <f t="shared" si="35"/>
        <v>0</v>
      </c>
      <c r="AT45" s="75">
        <f t="shared" si="11"/>
        <v>0</v>
      </c>
      <c r="AU45" s="76">
        <f t="shared" si="17"/>
        <v>0</v>
      </c>
    </row>
    <row r="46" spans="1:47" ht="15" customHeight="1" x14ac:dyDescent="0.35">
      <c r="A46" s="117"/>
      <c r="B46" s="118">
        <f t="shared" si="0"/>
        <v>46433</v>
      </c>
      <c r="C46" s="109">
        <v>30</v>
      </c>
      <c r="D46" s="67">
        <f t="shared" si="5"/>
        <v>0.1</v>
      </c>
      <c r="E46" s="77">
        <f t="shared" si="6"/>
        <v>0.35</v>
      </c>
      <c r="F46" s="69">
        <f t="shared" si="12"/>
        <v>0</v>
      </c>
      <c r="G46" s="51">
        <f t="shared" si="1"/>
        <v>0</v>
      </c>
      <c r="H46" s="118">
        <v>46433</v>
      </c>
      <c r="I46" s="70">
        <f t="shared" si="28"/>
        <v>0</v>
      </c>
      <c r="J46" s="60">
        <f t="shared" si="29"/>
        <v>0</v>
      </c>
      <c r="K46" s="71">
        <f t="shared" si="2"/>
        <v>0</v>
      </c>
      <c r="L46" s="72">
        <f t="shared" si="3"/>
        <v>0</v>
      </c>
      <c r="P46" s="1"/>
      <c r="AF46" s="60">
        <f t="shared" si="4"/>
        <v>0</v>
      </c>
      <c r="AG46" s="60">
        <f t="shared" si="7"/>
        <v>0</v>
      </c>
      <c r="AI46" s="74">
        <f t="shared" si="32"/>
        <v>0</v>
      </c>
      <c r="AJ46" s="75">
        <f t="shared" si="34"/>
        <v>0</v>
      </c>
      <c r="AK46" s="75">
        <f t="shared" si="16"/>
        <v>0</v>
      </c>
      <c r="AL46" s="76">
        <f t="shared" si="8"/>
        <v>0</v>
      </c>
      <c r="AM46" s="37"/>
      <c r="AO46" s="60">
        <f t="shared" si="9"/>
        <v>0</v>
      </c>
      <c r="AP46" s="60">
        <f t="shared" si="10"/>
        <v>0</v>
      </c>
      <c r="AR46" s="74">
        <f t="shared" si="33"/>
        <v>0</v>
      </c>
      <c r="AS46" s="75">
        <f t="shared" si="35"/>
        <v>0</v>
      </c>
      <c r="AT46" s="75">
        <f t="shared" si="11"/>
        <v>0</v>
      </c>
      <c r="AU46" s="76">
        <f t="shared" si="17"/>
        <v>0</v>
      </c>
    </row>
    <row r="47" spans="1:47" x14ac:dyDescent="0.35">
      <c r="A47" s="117"/>
      <c r="B47" s="118">
        <f t="shared" si="0"/>
        <v>46461</v>
      </c>
      <c r="C47" s="109">
        <v>30</v>
      </c>
      <c r="D47" s="67">
        <f t="shared" si="5"/>
        <v>0.1</v>
      </c>
      <c r="E47" s="77">
        <f t="shared" si="6"/>
        <v>0.35</v>
      </c>
      <c r="F47" s="69">
        <f t="shared" si="12"/>
        <v>0</v>
      </c>
      <c r="G47" s="51">
        <f t="shared" si="1"/>
        <v>0</v>
      </c>
      <c r="H47" s="118">
        <v>46461</v>
      </c>
      <c r="I47" s="70">
        <f t="shared" si="28"/>
        <v>0</v>
      </c>
      <c r="J47" s="60">
        <f t="shared" si="29"/>
        <v>0</v>
      </c>
      <c r="K47" s="71">
        <f t="shared" si="2"/>
        <v>0</v>
      </c>
      <c r="L47" s="72">
        <f t="shared" si="3"/>
        <v>0</v>
      </c>
      <c r="AF47" s="60">
        <f t="shared" si="4"/>
        <v>0</v>
      </c>
      <c r="AG47" s="60">
        <f t="shared" si="7"/>
        <v>0</v>
      </c>
      <c r="AI47" s="74">
        <f t="shared" si="32"/>
        <v>0</v>
      </c>
      <c r="AJ47" s="75">
        <f t="shared" si="34"/>
        <v>0</v>
      </c>
      <c r="AK47" s="75">
        <f t="shared" si="16"/>
        <v>0</v>
      </c>
      <c r="AL47" s="76">
        <f t="shared" si="8"/>
        <v>0</v>
      </c>
      <c r="AM47" s="37"/>
      <c r="AO47" s="60">
        <f t="shared" si="9"/>
        <v>0</v>
      </c>
      <c r="AP47" s="60">
        <f t="shared" si="10"/>
        <v>0</v>
      </c>
      <c r="AR47" s="74">
        <f t="shared" si="33"/>
        <v>0</v>
      </c>
      <c r="AS47" s="75">
        <f t="shared" si="35"/>
        <v>0</v>
      </c>
      <c r="AT47" s="75">
        <f t="shared" si="11"/>
        <v>0</v>
      </c>
      <c r="AU47" s="76">
        <f t="shared" si="17"/>
        <v>0</v>
      </c>
    </row>
    <row r="48" spans="1:47" ht="15" customHeight="1" x14ac:dyDescent="0.35">
      <c r="A48" s="117"/>
      <c r="B48" s="118">
        <f t="shared" si="0"/>
        <v>46492</v>
      </c>
      <c r="C48" s="109">
        <v>30</v>
      </c>
      <c r="D48" s="67">
        <f t="shared" si="5"/>
        <v>0.1</v>
      </c>
      <c r="E48" s="77">
        <f t="shared" si="6"/>
        <v>0.35</v>
      </c>
      <c r="F48" s="69">
        <f t="shared" si="12"/>
        <v>0</v>
      </c>
      <c r="G48" s="51">
        <f t="shared" si="1"/>
        <v>0</v>
      </c>
      <c r="H48" s="118">
        <v>46492</v>
      </c>
      <c r="I48" s="70">
        <f t="shared" si="28"/>
        <v>0</v>
      </c>
      <c r="J48" s="60">
        <f t="shared" si="29"/>
        <v>0</v>
      </c>
      <c r="K48" s="71">
        <f t="shared" si="2"/>
        <v>0</v>
      </c>
      <c r="L48" s="72">
        <f t="shared" si="3"/>
        <v>0</v>
      </c>
      <c r="AF48" s="60">
        <f t="shared" si="4"/>
        <v>0</v>
      </c>
      <c r="AG48" s="60">
        <f t="shared" si="7"/>
        <v>0</v>
      </c>
      <c r="AI48" s="74">
        <f t="shared" si="32"/>
        <v>0</v>
      </c>
      <c r="AJ48" s="75">
        <f t="shared" si="34"/>
        <v>0</v>
      </c>
      <c r="AK48" s="75">
        <f t="shared" si="16"/>
        <v>0</v>
      </c>
      <c r="AL48" s="76">
        <f t="shared" si="8"/>
        <v>0</v>
      </c>
      <c r="AM48" s="37"/>
      <c r="AO48" s="60">
        <f t="shared" si="9"/>
        <v>0</v>
      </c>
      <c r="AP48" s="60">
        <f t="shared" si="10"/>
        <v>0</v>
      </c>
      <c r="AR48" s="74">
        <f t="shared" si="33"/>
        <v>0</v>
      </c>
      <c r="AS48" s="75">
        <f t="shared" si="35"/>
        <v>0</v>
      </c>
      <c r="AT48" s="75">
        <f t="shared" si="11"/>
        <v>0</v>
      </c>
      <c r="AU48" s="76">
        <f t="shared" si="17"/>
        <v>0</v>
      </c>
    </row>
    <row r="49" spans="1:47" ht="15" customHeight="1" x14ac:dyDescent="0.35">
      <c r="A49" s="117"/>
      <c r="B49" s="118">
        <f t="shared" si="0"/>
        <v>46522</v>
      </c>
      <c r="C49" s="109">
        <v>30</v>
      </c>
      <c r="D49" s="67">
        <f t="shared" si="5"/>
        <v>0.1</v>
      </c>
      <c r="E49" s="77">
        <f t="shared" si="6"/>
        <v>0.35</v>
      </c>
      <c r="F49" s="69">
        <f t="shared" si="12"/>
        <v>0</v>
      </c>
      <c r="G49" s="51">
        <f t="shared" si="1"/>
        <v>0</v>
      </c>
      <c r="H49" s="118">
        <v>46522</v>
      </c>
      <c r="I49" s="70">
        <f t="shared" si="28"/>
        <v>0</v>
      </c>
      <c r="J49" s="60">
        <f t="shared" si="29"/>
        <v>0</v>
      </c>
      <c r="K49" s="71">
        <f t="shared" si="2"/>
        <v>0</v>
      </c>
      <c r="L49" s="72">
        <f t="shared" si="3"/>
        <v>0</v>
      </c>
      <c r="AE49" s="82"/>
      <c r="AF49" s="60">
        <f t="shared" si="4"/>
        <v>0</v>
      </c>
      <c r="AG49" s="60">
        <f t="shared" si="7"/>
        <v>0</v>
      </c>
      <c r="AI49" s="74">
        <f t="shared" si="32"/>
        <v>0</v>
      </c>
      <c r="AJ49" s="75">
        <f t="shared" si="34"/>
        <v>0</v>
      </c>
      <c r="AK49" s="75">
        <f t="shared" si="16"/>
        <v>0</v>
      </c>
      <c r="AL49" s="76">
        <f t="shared" si="8"/>
        <v>0</v>
      </c>
      <c r="AM49" s="37"/>
      <c r="AO49" s="60">
        <f t="shared" si="9"/>
        <v>0</v>
      </c>
      <c r="AP49" s="60">
        <f t="shared" si="10"/>
        <v>0</v>
      </c>
      <c r="AR49" s="74">
        <f t="shared" si="33"/>
        <v>0</v>
      </c>
      <c r="AS49" s="75">
        <f t="shared" si="35"/>
        <v>0</v>
      </c>
      <c r="AT49" s="75">
        <f t="shared" si="11"/>
        <v>0</v>
      </c>
      <c r="AU49" s="76">
        <f t="shared" si="17"/>
        <v>0</v>
      </c>
    </row>
    <row r="50" spans="1:47" x14ac:dyDescent="0.35">
      <c r="A50" s="117"/>
      <c r="B50" s="118">
        <f t="shared" si="0"/>
        <v>46553</v>
      </c>
      <c r="C50" s="109">
        <v>30</v>
      </c>
      <c r="D50" s="67">
        <f t="shared" si="5"/>
        <v>0.1</v>
      </c>
      <c r="E50" s="77">
        <f t="shared" si="6"/>
        <v>0.35</v>
      </c>
      <c r="F50" s="69">
        <f t="shared" si="12"/>
        <v>0</v>
      </c>
      <c r="G50" s="51">
        <f t="shared" si="1"/>
        <v>0</v>
      </c>
      <c r="H50" s="118">
        <v>46553</v>
      </c>
      <c r="I50" s="70">
        <f t="shared" si="28"/>
        <v>0</v>
      </c>
      <c r="J50" s="60">
        <f t="shared" si="29"/>
        <v>0</v>
      </c>
      <c r="K50" s="71">
        <f t="shared" si="2"/>
        <v>0</v>
      </c>
      <c r="L50" s="72">
        <f t="shared" si="3"/>
        <v>0</v>
      </c>
      <c r="AE50" s="82"/>
      <c r="AF50" s="60">
        <f t="shared" si="4"/>
        <v>0</v>
      </c>
      <c r="AG50" s="60">
        <f t="shared" si="7"/>
        <v>0</v>
      </c>
      <c r="AI50" s="74">
        <f t="shared" si="32"/>
        <v>0</v>
      </c>
      <c r="AJ50" s="75">
        <f t="shared" si="34"/>
        <v>0</v>
      </c>
      <c r="AK50" s="75">
        <f t="shared" si="16"/>
        <v>0</v>
      </c>
      <c r="AL50" s="76">
        <f t="shared" si="8"/>
        <v>0</v>
      </c>
      <c r="AM50" s="37"/>
      <c r="AO50" s="60">
        <f t="shared" si="9"/>
        <v>0</v>
      </c>
      <c r="AP50" s="60">
        <f t="shared" si="10"/>
        <v>0</v>
      </c>
      <c r="AR50" s="74">
        <f t="shared" si="33"/>
        <v>0</v>
      </c>
      <c r="AS50" s="75">
        <f t="shared" si="35"/>
        <v>0</v>
      </c>
      <c r="AT50" s="75">
        <f t="shared" si="11"/>
        <v>0</v>
      </c>
      <c r="AU50" s="76">
        <f t="shared" si="17"/>
        <v>0</v>
      </c>
    </row>
    <row r="51" spans="1:47" x14ac:dyDescent="0.35">
      <c r="A51" s="117"/>
      <c r="B51" s="118">
        <f t="shared" si="0"/>
        <v>46583</v>
      </c>
      <c r="C51" s="109">
        <v>30</v>
      </c>
      <c r="D51" s="67">
        <f t="shared" si="5"/>
        <v>0.1</v>
      </c>
      <c r="E51" s="77">
        <f t="shared" si="6"/>
        <v>0.35</v>
      </c>
      <c r="F51" s="69">
        <f t="shared" si="12"/>
        <v>0</v>
      </c>
      <c r="G51" s="51">
        <f t="shared" si="1"/>
        <v>0</v>
      </c>
      <c r="H51" s="118">
        <v>46583</v>
      </c>
      <c r="I51" s="70">
        <f t="shared" si="28"/>
        <v>0</v>
      </c>
      <c r="J51" s="60">
        <f t="shared" si="29"/>
        <v>0</v>
      </c>
      <c r="K51" s="71">
        <f t="shared" si="2"/>
        <v>0</v>
      </c>
      <c r="L51" s="72">
        <f t="shared" si="3"/>
        <v>0</v>
      </c>
      <c r="AE51" s="82"/>
      <c r="AF51" s="60">
        <f t="shared" si="4"/>
        <v>0</v>
      </c>
      <c r="AG51" s="60">
        <f t="shared" si="7"/>
        <v>0</v>
      </c>
      <c r="AI51" s="74">
        <f t="shared" si="32"/>
        <v>0</v>
      </c>
      <c r="AJ51" s="75">
        <f t="shared" si="34"/>
        <v>0</v>
      </c>
      <c r="AK51" s="75">
        <f t="shared" si="16"/>
        <v>0</v>
      </c>
      <c r="AL51" s="76">
        <f t="shared" si="8"/>
        <v>0</v>
      </c>
      <c r="AM51" s="37"/>
      <c r="AO51" s="60">
        <f t="shared" si="9"/>
        <v>0</v>
      </c>
      <c r="AP51" s="60">
        <f t="shared" si="10"/>
        <v>0</v>
      </c>
      <c r="AR51" s="74">
        <f t="shared" si="33"/>
        <v>0</v>
      </c>
      <c r="AS51" s="75">
        <f t="shared" si="35"/>
        <v>0</v>
      </c>
      <c r="AT51" s="75">
        <f t="shared" si="11"/>
        <v>0</v>
      </c>
      <c r="AU51" s="76">
        <f t="shared" si="17"/>
        <v>0</v>
      </c>
    </row>
    <row r="52" spans="1:47" x14ac:dyDescent="0.35">
      <c r="A52" s="117"/>
      <c r="B52" s="118">
        <f t="shared" si="0"/>
        <v>46614</v>
      </c>
      <c r="C52" s="109">
        <v>30</v>
      </c>
      <c r="D52" s="67">
        <f t="shared" si="5"/>
        <v>0.1</v>
      </c>
      <c r="E52" s="77">
        <f t="shared" si="6"/>
        <v>0.35</v>
      </c>
      <c r="F52" s="69">
        <f t="shared" si="12"/>
        <v>0</v>
      </c>
      <c r="G52" s="51">
        <f t="shared" si="1"/>
        <v>0</v>
      </c>
      <c r="H52" s="118">
        <v>46614</v>
      </c>
      <c r="I52" s="70">
        <f t="shared" si="28"/>
        <v>0</v>
      </c>
      <c r="J52" s="60">
        <f t="shared" si="29"/>
        <v>0</v>
      </c>
      <c r="K52" s="71">
        <f t="shared" si="2"/>
        <v>0</v>
      </c>
      <c r="L52" s="72">
        <f t="shared" si="3"/>
        <v>0</v>
      </c>
      <c r="AE52" s="82"/>
      <c r="AF52" s="60">
        <f t="shared" si="4"/>
        <v>0</v>
      </c>
      <c r="AG52" s="60">
        <f t="shared" si="7"/>
        <v>0</v>
      </c>
      <c r="AI52" s="74">
        <f t="shared" si="32"/>
        <v>0</v>
      </c>
      <c r="AJ52" s="75">
        <f t="shared" si="34"/>
        <v>0</v>
      </c>
      <c r="AK52" s="75">
        <f t="shared" si="16"/>
        <v>0</v>
      </c>
      <c r="AL52" s="76">
        <f t="shared" si="8"/>
        <v>0</v>
      </c>
      <c r="AM52" s="37"/>
      <c r="AO52" s="60">
        <f t="shared" si="9"/>
        <v>0</v>
      </c>
      <c r="AP52" s="60">
        <f t="shared" si="10"/>
        <v>0</v>
      </c>
      <c r="AR52" s="74">
        <f t="shared" si="33"/>
        <v>0</v>
      </c>
      <c r="AS52" s="75">
        <f t="shared" si="35"/>
        <v>0</v>
      </c>
      <c r="AT52" s="75">
        <f t="shared" si="11"/>
        <v>0</v>
      </c>
      <c r="AU52" s="76">
        <f t="shared" si="17"/>
        <v>0</v>
      </c>
    </row>
    <row r="53" spans="1:47" x14ac:dyDescent="0.35">
      <c r="A53" s="117"/>
      <c r="B53" s="118">
        <f t="shared" si="0"/>
        <v>46645</v>
      </c>
      <c r="C53" s="109">
        <v>30</v>
      </c>
      <c r="D53" s="67">
        <f t="shared" si="5"/>
        <v>0.1</v>
      </c>
      <c r="E53" s="77">
        <f t="shared" si="6"/>
        <v>0.35</v>
      </c>
      <c r="F53" s="69">
        <f t="shared" si="12"/>
        <v>0</v>
      </c>
      <c r="G53" s="51">
        <f t="shared" si="1"/>
        <v>0</v>
      </c>
      <c r="H53" s="118">
        <v>46645</v>
      </c>
      <c r="I53" s="70">
        <f t="shared" si="28"/>
        <v>0</v>
      </c>
      <c r="J53" s="60">
        <f t="shared" si="29"/>
        <v>0</v>
      </c>
      <c r="K53" s="71">
        <f t="shared" si="2"/>
        <v>0</v>
      </c>
      <c r="L53" s="72">
        <f t="shared" si="3"/>
        <v>0</v>
      </c>
      <c r="AE53" s="82"/>
      <c r="AF53" s="60">
        <f t="shared" si="4"/>
        <v>0</v>
      </c>
      <c r="AG53" s="60">
        <f t="shared" si="7"/>
        <v>0</v>
      </c>
      <c r="AI53" s="74">
        <f t="shared" si="32"/>
        <v>0</v>
      </c>
      <c r="AJ53" s="75">
        <f t="shared" si="34"/>
        <v>0</v>
      </c>
      <c r="AK53" s="75">
        <f t="shared" si="16"/>
        <v>0</v>
      </c>
      <c r="AL53" s="76">
        <f t="shared" si="8"/>
        <v>0</v>
      </c>
      <c r="AM53" s="37"/>
      <c r="AO53" s="60">
        <f t="shared" si="9"/>
        <v>0</v>
      </c>
      <c r="AP53" s="60">
        <f t="shared" si="10"/>
        <v>0</v>
      </c>
      <c r="AR53" s="74">
        <f t="shared" si="33"/>
        <v>0</v>
      </c>
      <c r="AS53" s="75">
        <f t="shared" si="35"/>
        <v>0</v>
      </c>
      <c r="AT53" s="75">
        <f t="shared" si="11"/>
        <v>0</v>
      </c>
      <c r="AU53" s="76">
        <f t="shared" si="17"/>
        <v>0</v>
      </c>
    </row>
    <row r="54" spans="1:47" x14ac:dyDescent="0.35">
      <c r="A54" s="117"/>
      <c r="B54" s="118">
        <f t="shared" si="0"/>
        <v>46675</v>
      </c>
      <c r="C54" s="109">
        <v>30</v>
      </c>
      <c r="D54" s="67">
        <f t="shared" si="5"/>
        <v>0.1</v>
      </c>
      <c r="E54" s="77">
        <f t="shared" si="6"/>
        <v>0.35</v>
      </c>
      <c r="F54" s="69">
        <f t="shared" si="12"/>
        <v>0</v>
      </c>
      <c r="G54" s="51">
        <f t="shared" si="1"/>
        <v>0</v>
      </c>
      <c r="H54" s="118">
        <v>46675</v>
      </c>
      <c r="I54" s="70">
        <f>+IF(L53&gt;0,MIN(A54-J54,L53),0)</f>
        <v>0</v>
      </c>
      <c r="J54" s="60">
        <f>+MIN($A54,F54+G53)</f>
        <v>0</v>
      </c>
      <c r="K54" s="71">
        <f t="shared" si="2"/>
        <v>0</v>
      </c>
      <c r="L54" s="72">
        <f t="shared" si="3"/>
        <v>0</v>
      </c>
      <c r="AE54" s="82"/>
      <c r="AF54" s="60">
        <f t="shared" si="4"/>
        <v>0</v>
      </c>
      <c r="AG54" s="60">
        <f t="shared" si="7"/>
        <v>0</v>
      </c>
      <c r="AI54" s="74">
        <f>+IF(AK53&gt;0,MIN(A54-AJ54,AK53),0)</f>
        <v>0</v>
      </c>
      <c r="AJ54" s="75">
        <f t="shared" si="34"/>
        <v>0</v>
      </c>
      <c r="AK54" s="75">
        <f t="shared" si="16"/>
        <v>0</v>
      </c>
      <c r="AL54" s="76">
        <f t="shared" si="8"/>
        <v>0</v>
      </c>
      <c r="AM54" s="37"/>
      <c r="AO54" s="60">
        <f t="shared" si="9"/>
        <v>0</v>
      </c>
      <c r="AP54" s="60">
        <f t="shared" si="10"/>
        <v>0</v>
      </c>
      <c r="AR54" s="74">
        <f>+IF(AT53&gt;0,MIN(A54-AS54,AT53),0)</f>
        <v>0</v>
      </c>
      <c r="AS54" s="75">
        <f t="shared" si="35"/>
        <v>0</v>
      </c>
      <c r="AT54" s="75">
        <f t="shared" si="11"/>
        <v>0</v>
      </c>
      <c r="AU54" s="76">
        <f t="shared" si="17"/>
        <v>0</v>
      </c>
    </row>
    <row r="55" spans="1:47" x14ac:dyDescent="0.35">
      <c r="A55" s="117"/>
      <c r="B55" s="118">
        <f t="shared" si="0"/>
        <v>46706</v>
      </c>
      <c r="C55" s="109">
        <v>30</v>
      </c>
      <c r="D55" s="67">
        <f t="shared" si="5"/>
        <v>0.1</v>
      </c>
      <c r="E55" s="77">
        <f t="shared" si="6"/>
        <v>0.35</v>
      </c>
      <c r="F55" s="69">
        <f t="shared" si="12"/>
        <v>0</v>
      </c>
      <c r="G55" s="51">
        <f t="shared" si="1"/>
        <v>0</v>
      </c>
      <c r="H55" s="118">
        <v>46706</v>
      </c>
      <c r="I55" s="70">
        <f>+IF(L54&gt;0,MIN(A55-J55,L54),0)</f>
        <v>0</v>
      </c>
      <c r="J55" s="60">
        <f>+MIN($A55,F55+G54)</f>
        <v>0</v>
      </c>
      <c r="K55" s="71">
        <f t="shared" si="2"/>
        <v>0</v>
      </c>
      <c r="L55" s="72">
        <f t="shared" si="3"/>
        <v>0</v>
      </c>
      <c r="AF55" s="60">
        <f t="shared" si="4"/>
        <v>0</v>
      </c>
      <c r="AG55" s="60">
        <f t="shared" si="7"/>
        <v>0</v>
      </c>
      <c r="AI55" s="74">
        <f>+IF(AK54&gt;0,MIN(A55-AJ55,AK54),0)</f>
        <v>0</v>
      </c>
      <c r="AJ55" s="75">
        <f t="shared" si="34"/>
        <v>0</v>
      </c>
      <c r="AK55" s="75">
        <f t="shared" si="16"/>
        <v>0</v>
      </c>
      <c r="AL55" s="76">
        <f t="shared" si="8"/>
        <v>0</v>
      </c>
      <c r="AM55" s="37"/>
      <c r="AO55" s="60">
        <f t="shared" si="9"/>
        <v>0</v>
      </c>
      <c r="AP55" s="60">
        <f t="shared" si="10"/>
        <v>0</v>
      </c>
      <c r="AR55" s="74">
        <f>+IF(AT54&gt;0,MIN(A55-AS55,AT54),0)</f>
        <v>0</v>
      </c>
      <c r="AS55" s="75">
        <f t="shared" si="35"/>
        <v>0</v>
      </c>
      <c r="AT55" s="75">
        <f t="shared" si="11"/>
        <v>0</v>
      </c>
      <c r="AU55" s="76">
        <f t="shared" si="17"/>
        <v>0</v>
      </c>
    </row>
    <row r="56" spans="1:47" x14ac:dyDescent="0.35">
      <c r="A56" s="117"/>
      <c r="B56" s="118">
        <f t="shared" si="0"/>
        <v>46736</v>
      </c>
      <c r="C56" s="109">
        <v>30</v>
      </c>
      <c r="D56" s="67">
        <f t="shared" si="5"/>
        <v>0.1</v>
      </c>
      <c r="E56" s="77">
        <f t="shared" si="6"/>
        <v>0.35</v>
      </c>
      <c r="F56" s="69">
        <f t="shared" si="12"/>
        <v>0</v>
      </c>
      <c r="G56" s="51">
        <f t="shared" si="1"/>
        <v>0</v>
      </c>
      <c r="H56" s="118">
        <v>46736</v>
      </c>
      <c r="I56" s="70">
        <f>+IF(L55&gt;0,MIN(A56-J56,L55),0)</f>
        <v>0</v>
      </c>
      <c r="J56" s="60">
        <f>+MIN($A56,F56+G55)</f>
        <v>0</v>
      </c>
      <c r="K56" s="71">
        <f t="shared" si="2"/>
        <v>0</v>
      </c>
      <c r="L56" s="72">
        <f t="shared" si="3"/>
        <v>0</v>
      </c>
      <c r="AF56" s="60">
        <f t="shared" si="4"/>
        <v>0</v>
      </c>
      <c r="AG56" s="60">
        <f t="shared" si="7"/>
        <v>0</v>
      </c>
      <c r="AI56" s="74">
        <f>+IF(AK55&gt;0,MIN(A56-AJ56,AK55),0)</f>
        <v>0</v>
      </c>
      <c r="AJ56" s="75">
        <f t="shared" si="34"/>
        <v>0</v>
      </c>
      <c r="AK56" s="75">
        <f t="shared" si="16"/>
        <v>0</v>
      </c>
      <c r="AL56" s="76">
        <f t="shared" si="8"/>
        <v>0</v>
      </c>
      <c r="AM56" s="37"/>
      <c r="AO56" s="60">
        <f t="shared" si="9"/>
        <v>0</v>
      </c>
      <c r="AP56" s="60">
        <f t="shared" si="10"/>
        <v>0</v>
      </c>
      <c r="AR56" s="74">
        <f>+IF(AT55&gt;0,MIN(A56-AS56,AT55),0)</f>
        <v>0</v>
      </c>
      <c r="AS56" s="75">
        <f t="shared" si="35"/>
        <v>0</v>
      </c>
      <c r="AT56" s="75">
        <f t="shared" si="11"/>
        <v>0</v>
      </c>
      <c r="AU56" s="76">
        <f t="shared" si="17"/>
        <v>0</v>
      </c>
    </row>
    <row r="57" spans="1:47" x14ac:dyDescent="0.35">
      <c r="A57" s="117"/>
      <c r="B57" s="118">
        <f t="shared" si="0"/>
        <v>46767</v>
      </c>
      <c r="C57" s="109">
        <v>30</v>
      </c>
      <c r="D57" s="67">
        <f t="shared" si="5"/>
        <v>0.1</v>
      </c>
      <c r="E57" s="77">
        <f t="shared" si="6"/>
        <v>0.35</v>
      </c>
      <c r="F57" s="69">
        <f t="shared" si="12"/>
        <v>0</v>
      </c>
      <c r="G57" s="51">
        <f t="shared" si="1"/>
        <v>0</v>
      </c>
      <c r="H57" s="118">
        <v>46767</v>
      </c>
      <c r="I57" s="70">
        <f>+IF(L56&gt;0,MIN(A57-J57,L56),0)</f>
        <v>0</v>
      </c>
      <c r="J57" s="60">
        <f>+MIN($A57,F57+G56)</f>
        <v>0</v>
      </c>
      <c r="K57" s="71">
        <f t="shared" si="2"/>
        <v>0</v>
      </c>
      <c r="L57" s="72">
        <f t="shared" si="3"/>
        <v>0</v>
      </c>
      <c r="AF57" s="69"/>
      <c r="AG57" s="69"/>
      <c r="AI57" s="123"/>
      <c r="AJ57" s="75"/>
      <c r="AK57" s="75"/>
      <c r="AL57" s="123"/>
      <c r="AM57" s="37"/>
      <c r="AO57" s="69"/>
      <c r="AP57" s="60">
        <f t="shared" si="10"/>
        <v>0</v>
      </c>
      <c r="AR57" s="123"/>
      <c r="AS57" s="75"/>
      <c r="AT57" s="75"/>
      <c r="AU57" s="76">
        <f t="shared" si="17"/>
        <v>0</v>
      </c>
    </row>
    <row r="58" spans="1:47" ht="15" thickBot="1" x14ac:dyDescent="0.4">
      <c r="A58" s="117"/>
      <c r="B58" s="118">
        <f t="shared" si="0"/>
        <v>46798</v>
      </c>
      <c r="C58" s="109">
        <v>30</v>
      </c>
      <c r="D58" s="67">
        <f t="shared" si="5"/>
        <v>0.1</v>
      </c>
      <c r="E58" s="77">
        <f t="shared" si="6"/>
        <v>0.35</v>
      </c>
      <c r="F58" s="69">
        <f t="shared" si="12"/>
        <v>0</v>
      </c>
      <c r="G58" s="51">
        <f t="shared" si="1"/>
        <v>0</v>
      </c>
      <c r="H58" s="118">
        <v>46798</v>
      </c>
      <c r="I58" s="70">
        <f>+IF(L57&gt;0,MIN(A58-J58,L57),0)</f>
        <v>0</v>
      </c>
      <c r="J58" s="60">
        <f>+MIN($A58,F58+G57)</f>
        <v>0</v>
      </c>
      <c r="K58" s="71">
        <f t="shared" si="2"/>
        <v>0</v>
      </c>
      <c r="L58" s="72">
        <f t="shared" si="3"/>
        <v>0</v>
      </c>
      <c r="AF58" s="69"/>
      <c r="AG58" s="69"/>
      <c r="AI58" s="123"/>
      <c r="AJ58" s="75"/>
      <c r="AK58" s="75"/>
      <c r="AL58" s="123"/>
      <c r="AM58" s="37"/>
      <c r="AO58" s="69"/>
      <c r="AP58" s="60">
        <f t="shared" si="10"/>
        <v>0</v>
      </c>
      <c r="AR58" s="123"/>
      <c r="AS58" s="75"/>
      <c r="AT58" s="75"/>
      <c r="AU58" s="76">
        <f t="shared" si="17"/>
        <v>0</v>
      </c>
    </row>
    <row r="59" spans="1:47" ht="16" thickBot="1" x14ac:dyDescent="0.4">
      <c r="A59" s="83">
        <f>SUM(A19:A58)</f>
        <v>3687251849</v>
      </c>
      <c r="F59" s="83">
        <f>+SUM(F19:F56)</f>
        <v>444235735.41666657</v>
      </c>
      <c r="H59" s="100">
        <v>45013</v>
      </c>
      <c r="I59" s="101">
        <f>+SUM(I19:I56)</f>
        <v>2868349000</v>
      </c>
      <c r="J59" s="101">
        <f>+SUM(J19:J56)</f>
        <v>444235735.41666657</v>
      </c>
      <c r="K59" s="101">
        <f>+SUM(K19:K56)</f>
        <v>3312584735.4166675</v>
      </c>
      <c r="L59" s="84"/>
      <c r="AP59" s="60">
        <f t="shared" si="10"/>
        <v>0</v>
      </c>
    </row>
    <row r="60" spans="1:47" x14ac:dyDescent="0.35">
      <c r="H60" s="50"/>
      <c r="AP60" s="60">
        <f t="shared" si="10"/>
        <v>0</v>
      </c>
    </row>
    <row r="61" spans="1:47" x14ac:dyDescent="0.35">
      <c r="H61" s="50"/>
      <c r="I61" s="19">
        <f>+I59-Calculadora!H37</f>
        <v>0</v>
      </c>
      <c r="J61" s="19">
        <f>+J59-Calculadora!I37</f>
        <v>-1.583333432674408</v>
      </c>
    </row>
    <row r="62" spans="1:47" x14ac:dyDescent="0.35">
      <c r="H62" s="50"/>
    </row>
    <row r="63" spans="1:47" x14ac:dyDescent="0.35">
      <c r="H63" s="50"/>
    </row>
    <row r="64" spans="1:47" x14ac:dyDescent="0.35">
      <c r="H64" s="50"/>
      <c r="M64" s="85"/>
    </row>
  </sheetData>
  <sheetProtection algorithmName="SHA-512" hashValue="uqQvjGJU9i9xSg9baqwMFlQxzdfvI4e05QgWmCK3qO4Rgo+wjJcF8KruUevkTaJCqPnSJT4bwNJLPRZjs0tfDA==" saltValue="TlSrQSF+5xEVoVQ0CeyySQ==" spinCount="100000" sheet="1" selectLockedCells="1"/>
  <mergeCells count="10">
    <mergeCell ref="H2:I2"/>
    <mergeCell ref="A8:B8"/>
    <mergeCell ref="AE10:AL10"/>
    <mergeCell ref="AN10:AU10"/>
    <mergeCell ref="A16:A17"/>
    <mergeCell ref="B16:G16"/>
    <mergeCell ref="H16:L16"/>
    <mergeCell ref="D17:D18"/>
    <mergeCell ref="E17:E18"/>
    <mergeCell ref="F17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Z61"/>
  <sheetViews>
    <sheetView showGridLines="0" topLeftCell="H1" zoomScale="80" zoomScaleNormal="80" workbookViewId="0">
      <selection activeCell="AK27" sqref="AK27"/>
    </sheetView>
  </sheetViews>
  <sheetFormatPr baseColWidth="10" defaultColWidth="9.1796875" defaultRowHeight="14.5" outlineLevelCol="1" x14ac:dyDescent="0.35"/>
  <cols>
    <col min="1" max="1" width="15.54296875" style="19" hidden="1" customWidth="1" outlineLevel="1"/>
    <col min="2" max="4" width="16.26953125" style="19" hidden="1" customWidth="1" outlineLevel="1"/>
    <col min="5" max="5" width="12.453125" style="19" hidden="1" customWidth="1" outlineLevel="1"/>
    <col min="6" max="6" width="12.7265625" style="19" hidden="1" customWidth="1" outlineLevel="1"/>
    <col min="7" max="7" width="17" style="19" hidden="1" customWidth="1" outlineLevel="1"/>
    <col min="8" max="8" width="34" style="19" customWidth="1" collapsed="1"/>
    <col min="9" max="9" width="22.7265625" style="19" customWidth="1"/>
    <col min="10" max="10" width="21.7265625" style="19" customWidth="1"/>
    <col min="11" max="11" width="19.54296875" style="19" bestFit="1" customWidth="1"/>
    <col min="12" max="12" width="19" style="148" customWidth="1"/>
    <col min="13" max="13" width="14.453125" style="19" hidden="1" customWidth="1"/>
    <col min="14" max="14" width="23.81640625" style="19" customWidth="1"/>
    <col min="15" max="16" width="15.1796875" style="19" customWidth="1"/>
    <col min="17" max="17" width="23.81640625" style="19" customWidth="1"/>
    <col min="18" max="18" width="15.1796875" style="19" customWidth="1"/>
    <col min="19" max="19" width="8.81640625" style="19" customWidth="1"/>
    <col min="20" max="20" width="12.453125" style="19" bestFit="1" customWidth="1"/>
    <col min="21" max="21" width="15.54296875" style="19" customWidth="1"/>
    <col min="22" max="22" width="10.26953125" style="19" customWidth="1"/>
    <col min="23" max="23" width="15.7265625" style="19" hidden="1" customWidth="1" outlineLevel="1"/>
    <col min="24" max="24" width="19.26953125" style="19" hidden="1" customWidth="1" outlineLevel="1"/>
    <col min="25" max="25" width="9.1796875" style="19" hidden="1" customWidth="1" outlineLevel="1"/>
    <col min="26" max="29" width="12.1796875" style="19" hidden="1" customWidth="1" outlineLevel="1"/>
    <col min="30" max="30" width="13.7265625" style="19" hidden="1" customWidth="1" outlineLevel="1"/>
    <col min="31" max="31" width="15" style="19" hidden="1" customWidth="1" outlineLevel="1"/>
    <col min="32" max="32" width="14.26953125" style="19" hidden="1" customWidth="1" outlineLevel="1"/>
    <col min="33" max="33" width="19.26953125" style="19" hidden="1" customWidth="1" outlineLevel="1"/>
    <col min="34" max="34" width="9.1796875" style="19" hidden="1" customWidth="1" outlineLevel="1"/>
    <col min="35" max="35" width="13.54296875" style="19" hidden="1" customWidth="1" outlineLevel="1"/>
    <col min="36" max="36" width="10.81640625" style="19" hidden="1" customWidth="1" outlineLevel="1"/>
    <col min="37" max="37" width="12.26953125" style="19" hidden="1" customWidth="1" outlineLevel="1"/>
    <col min="38" max="38" width="13.81640625" style="19" hidden="1" customWidth="1" outlineLevel="1"/>
    <col min="39" max="39" width="12" style="19" hidden="1" customWidth="1" outlineLevel="1"/>
    <col min="40" max="40" width="15" style="19" hidden="1" customWidth="1" outlineLevel="1"/>
    <col min="41" max="41" width="16.26953125" style="19" hidden="1" customWidth="1" outlineLevel="1"/>
    <col min="42" max="42" width="9.1796875" style="19" hidden="1" customWidth="1" outlineLevel="1"/>
    <col min="43" max="43" width="14.26953125" style="19" hidden="1" customWidth="1" outlineLevel="1"/>
    <col min="44" max="44" width="19.26953125" style="19" hidden="1" customWidth="1" outlineLevel="1"/>
    <col min="45" max="45" width="9.1796875" style="19" hidden="1" customWidth="1" outlineLevel="1"/>
    <col min="46" max="46" width="23.7265625" style="19" hidden="1" customWidth="1" outlineLevel="1"/>
    <col min="47" max="47" width="13.08984375" style="19" hidden="1" customWidth="1" outlineLevel="1"/>
    <col min="48" max="48" width="13.6328125" style="19" hidden="1" customWidth="1" outlineLevel="1"/>
    <col min="49" max="50" width="12" style="19" hidden="1" customWidth="1" outlineLevel="1"/>
    <col min="51" max="51" width="15" style="19" hidden="1" customWidth="1" outlineLevel="1"/>
    <col min="52" max="52" width="9.1796875" style="19" collapsed="1"/>
    <col min="53" max="16384" width="9.1796875" style="19"/>
  </cols>
  <sheetData>
    <row r="1" spans="1:51" s="2" customFormat="1" x14ac:dyDescent="0.35">
      <c r="L1" s="145"/>
    </row>
    <row r="2" spans="1:51" s="2" customFormat="1" ht="24.5" x14ac:dyDescent="0.45">
      <c r="H2" s="281"/>
      <c r="I2" s="281"/>
      <c r="J2" s="3"/>
      <c r="K2" s="3"/>
      <c r="L2" s="146"/>
      <c r="M2" s="4"/>
      <c r="N2" s="5"/>
      <c r="O2" s="5"/>
      <c r="P2" s="5"/>
      <c r="Q2" s="5"/>
      <c r="R2" s="6"/>
      <c r="S2" s="6"/>
      <c r="T2" s="5"/>
      <c r="U2" s="5"/>
      <c r="V2" s="5"/>
    </row>
    <row r="3" spans="1:51" s="2" customFormat="1" x14ac:dyDescent="0.35">
      <c r="H3" s="7"/>
      <c r="I3" s="7"/>
      <c r="J3" s="7"/>
      <c r="K3" s="7"/>
      <c r="L3" s="7"/>
      <c r="M3" s="7"/>
      <c r="N3" s="7"/>
      <c r="O3" s="7"/>
      <c r="P3" s="7"/>
      <c r="Q3" s="5"/>
      <c r="R3" s="6"/>
      <c r="S3" s="7"/>
      <c r="T3" s="7"/>
      <c r="U3" s="7"/>
      <c r="V3" s="7"/>
    </row>
    <row r="4" spans="1:51" s="2" customFormat="1" x14ac:dyDescent="0.35">
      <c r="H4" s="7"/>
      <c r="I4" s="7"/>
      <c r="J4" s="7"/>
      <c r="K4" s="7"/>
      <c r="L4" s="7"/>
      <c r="M4" s="7"/>
      <c r="N4" s="7"/>
      <c r="O4" s="7"/>
      <c r="P4" s="7"/>
      <c r="Q4" s="5"/>
      <c r="R4" s="6"/>
      <c r="S4" s="7"/>
      <c r="T4" s="7"/>
      <c r="U4" s="7"/>
      <c r="V4" s="7"/>
    </row>
    <row r="5" spans="1:51" s="2" customFormat="1" x14ac:dyDescent="0.35">
      <c r="H5" s="9" t="s">
        <v>14</v>
      </c>
      <c r="I5" s="10">
        <f>+Calculadora!D19</f>
        <v>268428000</v>
      </c>
      <c r="J5" s="7"/>
      <c r="K5" s="11" t="s">
        <v>15</v>
      </c>
      <c r="L5" s="12"/>
      <c r="M5" s="7"/>
      <c r="N5" s="11" t="s">
        <v>16</v>
      </c>
      <c r="O5" s="7"/>
      <c r="P5" s="7"/>
      <c r="Q5" s="5"/>
      <c r="R5" s="6"/>
      <c r="S5" s="7"/>
      <c r="T5" s="7"/>
      <c r="U5" s="7"/>
      <c r="V5" s="7"/>
    </row>
    <row r="6" spans="1:51" s="2" customFormat="1" x14ac:dyDescent="0.35">
      <c r="H6" s="103"/>
      <c r="I6" s="102"/>
      <c r="J6" s="7" t="s">
        <v>17</v>
      </c>
      <c r="K6" s="11"/>
      <c r="L6" s="12"/>
      <c r="M6" s="7"/>
      <c r="N6" s="11"/>
      <c r="O6" s="7"/>
      <c r="P6" s="7"/>
      <c r="Q6" s="5"/>
      <c r="R6" s="6"/>
      <c r="S6" s="7"/>
      <c r="T6" s="7"/>
      <c r="U6" s="7"/>
      <c r="V6" s="7"/>
    </row>
    <row r="7" spans="1:51" s="2" customFormat="1" x14ac:dyDescent="0.35">
      <c r="H7" s="18"/>
      <c r="I7" s="12"/>
      <c r="J7" s="7"/>
      <c r="K7" s="11"/>
      <c r="L7" s="12"/>
      <c r="M7" s="7"/>
      <c r="N7" s="11"/>
      <c r="O7" s="7"/>
      <c r="P7" s="7"/>
      <c r="Q7" s="5"/>
      <c r="R7" s="6"/>
      <c r="S7" s="7"/>
      <c r="T7" s="7"/>
      <c r="U7" s="7"/>
      <c r="V7" s="7"/>
    </row>
    <row r="8" spans="1:51" s="2" customFormat="1" ht="15" customHeight="1" x14ac:dyDescent="0.35">
      <c r="H8" s="9" t="s">
        <v>18</v>
      </c>
      <c r="I8" s="21">
        <f>+Calculadora!D22</f>
        <v>0.36</v>
      </c>
      <c r="J8" s="87"/>
      <c r="K8" s="135"/>
      <c r="L8" s="147">
        <v>0.1</v>
      </c>
      <c r="M8" s="23" t="s">
        <v>19</v>
      </c>
      <c r="N8" s="24" t="s">
        <v>72</v>
      </c>
      <c r="O8" s="130">
        <f>+O10</f>
        <v>0.40625</v>
      </c>
      <c r="P8" s="23" t="s">
        <v>19</v>
      </c>
      <c r="Q8" s="5"/>
      <c r="R8" s="6"/>
      <c r="S8" s="7"/>
      <c r="T8" s="7"/>
      <c r="U8" s="7"/>
      <c r="V8" s="19"/>
    </row>
    <row r="9" spans="1:51" s="2" customFormat="1" x14ac:dyDescent="0.35">
      <c r="H9" s="9" t="s">
        <v>20</v>
      </c>
      <c r="I9" s="21">
        <f>+Calculadora!D23</f>
        <v>0.66</v>
      </c>
      <c r="J9" s="7"/>
      <c r="K9" s="136"/>
      <c r="L9" s="147">
        <v>0.1</v>
      </c>
      <c r="M9" s="23" t="s">
        <v>19</v>
      </c>
      <c r="N9" s="25" t="s">
        <v>73</v>
      </c>
      <c r="O9" s="130">
        <f>+O10</f>
        <v>0.40625</v>
      </c>
      <c r="P9" s="23" t="s">
        <v>19</v>
      </c>
      <c r="Q9" s="5"/>
      <c r="R9" s="6"/>
      <c r="S9" s="7"/>
      <c r="T9" s="7"/>
      <c r="U9" s="7"/>
      <c r="V9" s="19"/>
    </row>
    <row r="10" spans="1:51" s="2" customFormat="1" ht="26" x14ac:dyDescent="0.35">
      <c r="H10" s="27" t="s">
        <v>21</v>
      </c>
      <c r="I10" s="28">
        <v>200</v>
      </c>
      <c r="J10" s="7"/>
      <c r="K10" s="141" t="s">
        <v>22</v>
      </c>
      <c r="L10" s="153">
        <f>+E23</f>
        <v>0.36</v>
      </c>
      <c r="M10" s="23" t="s">
        <v>19</v>
      </c>
      <c r="N10" s="25" t="s">
        <v>75</v>
      </c>
      <c r="O10" s="129">
        <f>Calculadora!C32</f>
        <v>0.40625</v>
      </c>
      <c r="Q10" s="5"/>
      <c r="R10" s="6"/>
      <c r="S10" s="7"/>
      <c r="T10" s="7"/>
      <c r="U10" s="7"/>
      <c r="V10" s="19"/>
      <c r="AE10" s="283" t="s">
        <v>23</v>
      </c>
      <c r="AF10" s="283"/>
      <c r="AG10" s="283"/>
      <c r="AH10" s="283"/>
      <c r="AI10" s="283"/>
      <c r="AJ10" s="283"/>
      <c r="AK10" s="283"/>
      <c r="AL10" s="283"/>
      <c r="AM10" s="283"/>
      <c r="AN10" s="283"/>
      <c r="AO10" s="7"/>
      <c r="AP10" s="283" t="s">
        <v>24</v>
      </c>
      <c r="AQ10" s="283"/>
      <c r="AR10" s="283"/>
      <c r="AS10" s="283"/>
      <c r="AT10" s="283"/>
      <c r="AU10" s="283"/>
      <c r="AV10" s="283"/>
      <c r="AW10" s="283"/>
      <c r="AX10" s="283"/>
      <c r="AY10" s="283"/>
    </row>
    <row r="11" spans="1:51" s="2" customFormat="1" ht="15" thickBot="1" x14ac:dyDescent="0.4">
      <c r="H11" s="18"/>
      <c r="I11" s="12"/>
      <c r="J11" s="7"/>
      <c r="L11" s="145"/>
      <c r="P11" s="19"/>
      <c r="Q11" s="5"/>
      <c r="R11" s="6"/>
      <c r="S11" s="7"/>
      <c r="T11" s="7"/>
      <c r="U11" s="7"/>
      <c r="V11" s="19"/>
    </row>
    <row r="12" spans="1:51" s="2" customFormat="1" ht="44" thickBot="1" x14ac:dyDescent="0.4">
      <c r="H12" s="140" t="s">
        <v>25</v>
      </c>
      <c r="I12" s="134">
        <f>+'VDF A'!I12</f>
        <v>45566</v>
      </c>
      <c r="J12" s="7"/>
      <c r="K12" s="7"/>
      <c r="L12" s="7"/>
      <c r="M12" s="7"/>
      <c r="N12" s="7"/>
      <c r="O12" s="7"/>
      <c r="P12" s="7"/>
      <c r="Q12" s="5"/>
      <c r="R12" s="6"/>
      <c r="S12" s="7"/>
      <c r="T12" s="7"/>
      <c r="U12" s="7"/>
      <c r="V12" s="19"/>
      <c r="AE12" s="19"/>
      <c r="AF12" s="32" t="s">
        <v>26</v>
      </c>
      <c r="AO12" s="7"/>
      <c r="AP12" s="19"/>
      <c r="AQ12" s="32" t="s">
        <v>26</v>
      </c>
    </row>
    <row r="13" spans="1:51" s="2" customFormat="1" x14ac:dyDescent="0.35">
      <c r="H13" s="132" t="s">
        <v>27</v>
      </c>
      <c r="I13" s="131">
        <f>+'VDF A'!I13</f>
        <v>43405</v>
      </c>
      <c r="J13" s="7"/>
      <c r="K13" s="7"/>
      <c r="L13" s="7"/>
      <c r="M13" s="7"/>
      <c r="N13" s="7"/>
      <c r="O13" s="7"/>
      <c r="P13" s="7"/>
      <c r="Q13" s="5"/>
      <c r="R13" s="6"/>
      <c r="S13" s="7"/>
      <c r="T13" s="7"/>
      <c r="U13" s="7"/>
      <c r="V13" s="19"/>
      <c r="AE13" s="19"/>
      <c r="AF13" s="33"/>
      <c r="AO13" s="7"/>
      <c r="AP13" s="19"/>
      <c r="AQ13" s="33"/>
    </row>
    <row r="14" spans="1:51" x14ac:dyDescent="0.35">
      <c r="E14" s="34"/>
      <c r="F14" s="34"/>
      <c r="H14" s="139"/>
      <c r="I14" s="139"/>
      <c r="K14" s="34"/>
      <c r="L14" s="34"/>
      <c r="T14" s="7"/>
      <c r="U14" s="7"/>
      <c r="AF14" s="35" t="s">
        <v>28</v>
      </c>
      <c r="AG14" s="36">
        <f>+XNPV($O$18,K18:K58,H18:H58)</f>
        <v>106823606.78189005</v>
      </c>
      <c r="AL14" s="110">
        <f>+AM19*(O8+4%)*14/360</f>
        <v>4658344.25</v>
      </c>
      <c r="AQ14" s="35" t="s">
        <v>28</v>
      </c>
      <c r="AR14" s="36">
        <f>+XNPV($R$17,AR18:AR58,H18:H58)</f>
        <v>106823709.17738436</v>
      </c>
    </row>
    <row r="15" spans="1:51" ht="15" thickBot="1" x14ac:dyDescent="0.4">
      <c r="D15" s="88"/>
      <c r="T15" s="7"/>
      <c r="U15" s="7"/>
      <c r="AK15" s="104"/>
      <c r="AL15" s="110">
        <f>+AM20*(O9+4%)*30/360</f>
        <v>9982166.25</v>
      </c>
      <c r="AM15" s="105">
        <f>+AL15*11</f>
        <v>109803828.75</v>
      </c>
    </row>
    <row r="16" spans="1:51" ht="15.75" customHeight="1" thickBot="1" x14ac:dyDescent="0.4">
      <c r="A16" s="284" t="s">
        <v>29</v>
      </c>
      <c r="B16" s="286" t="s">
        <v>30</v>
      </c>
      <c r="C16" s="287"/>
      <c r="D16" s="287"/>
      <c r="E16" s="287"/>
      <c r="F16" s="287"/>
      <c r="G16" s="288"/>
      <c r="H16" s="289" t="s">
        <v>9</v>
      </c>
      <c r="I16" s="290"/>
      <c r="J16" s="290"/>
      <c r="K16" s="290"/>
      <c r="L16" s="291"/>
      <c r="N16" s="37"/>
      <c r="T16" s="7"/>
      <c r="U16" s="7"/>
      <c r="AD16" s="284" t="s">
        <v>29</v>
      </c>
      <c r="AE16" s="38" t="s">
        <v>31</v>
      </c>
      <c r="AF16" s="39">
        <f>+O17</f>
        <v>39.795999999999999</v>
      </c>
      <c r="AG16" s="19" t="s">
        <v>32</v>
      </c>
      <c r="AL16" s="104">
        <f>+AM15+AL14</f>
        <v>114462173</v>
      </c>
      <c r="AO16" s="37"/>
      <c r="AP16" s="38" t="s">
        <v>31</v>
      </c>
      <c r="AQ16" s="39">
        <f>+R18</f>
        <v>39.795999999999999</v>
      </c>
      <c r="AR16" s="19" t="s">
        <v>32</v>
      </c>
    </row>
    <row r="17" spans="1:51" ht="45" customHeight="1" thickBot="1" x14ac:dyDescent="0.4">
      <c r="A17" s="285"/>
      <c r="B17" s="40" t="s">
        <v>33</v>
      </c>
      <c r="C17" s="41" t="s">
        <v>34</v>
      </c>
      <c r="D17" s="292" t="s">
        <v>35</v>
      </c>
      <c r="E17" s="294" t="s">
        <v>36</v>
      </c>
      <c r="F17" s="296" t="s">
        <v>37</v>
      </c>
      <c r="G17" s="42" t="s">
        <v>38</v>
      </c>
      <c r="H17" s="97"/>
      <c r="I17" s="98" t="s">
        <v>39</v>
      </c>
      <c r="J17" s="98" t="s">
        <v>6</v>
      </c>
      <c r="K17" s="98" t="s">
        <v>0</v>
      </c>
      <c r="L17" s="149" t="s">
        <v>40</v>
      </c>
      <c r="N17" s="43" t="s">
        <v>41</v>
      </c>
      <c r="O17" s="44">
        <f>+R18</f>
        <v>39.795999999999999</v>
      </c>
      <c r="Q17" s="43" t="s">
        <v>42</v>
      </c>
      <c r="R17" s="45">
        <f>+Calculadora!D27</f>
        <v>0.53</v>
      </c>
      <c r="S17" s="19" t="s">
        <v>17</v>
      </c>
      <c r="T17" s="7"/>
      <c r="U17" s="7"/>
      <c r="AD17" s="285"/>
      <c r="AE17" s="38"/>
      <c r="AF17" s="46">
        <f>+XIRR(AF18:AF58,H18:H58)</f>
        <v>0.53000171780586236</v>
      </c>
      <c r="AG17" s="19" t="s">
        <v>44</v>
      </c>
      <c r="AI17" s="19" t="s">
        <v>45</v>
      </c>
      <c r="AJ17" s="37"/>
      <c r="AK17" s="37"/>
      <c r="AL17" s="37"/>
      <c r="AM17" s="37"/>
      <c r="AN17" s="47" t="s">
        <v>46</v>
      </c>
      <c r="AO17" s="37"/>
      <c r="AP17" s="38"/>
      <c r="AQ17" s="46">
        <f>+XIRR(AQ18:AQ50,H18:H50)</f>
        <v>0.53000171780586236</v>
      </c>
      <c r="AR17" s="19" t="s">
        <v>44</v>
      </c>
      <c r="AT17" s="19" t="s">
        <v>45</v>
      </c>
      <c r="AU17" s="37"/>
      <c r="AV17" s="37"/>
      <c r="AW17" s="37"/>
      <c r="AX17" s="37"/>
      <c r="AY17" s="47" t="s">
        <v>46</v>
      </c>
    </row>
    <row r="18" spans="1:51" ht="15.75" customHeight="1" x14ac:dyDescent="0.35">
      <c r="A18" s="48"/>
      <c r="B18" s="49">
        <f>+H18</f>
        <v>45566</v>
      </c>
      <c r="C18" s="50"/>
      <c r="D18" s="293"/>
      <c r="E18" s="295"/>
      <c r="F18" s="297"/>
      <c r="G18" s="51">
        <v>0</v>
      </c>
      <c r="H18" s="52">
        <f>+I12</f>
        <v>45566</v>
      </c>
      <c r="I18" s="53"/>
      <c r="J18" s="54"/>
      <c r="K18" s="55">
        <v>0</v>
      </c>
      <c r="L18" s="150">
        <f>+I5</f>
        <v>268428000</v>
      </c>
      <c r="N18" s="57" t="s">
        <v>47</v>
      </c>
      <c r="O18" s="58">
        <f>+AF17</f>
        <v>0.53000171780586236</v>
      </c>
      <c r="P18" s="19" t="s">
        <v>17</v>
      </c>
      <c r="Q18" s="57" t="s">
        <v>48</v>
      </c>
      <c r="R18" s="59">
        <f>+ROUND((AR14/L18)*100,4)</f>
        <v>39.795999999999999</v>
      </c>
      <c r="T18" s="7"/>
      <c r="U18" s="7"/>
      <c r="AD18" s="48"/>
      <c r="AE18" s="38"/>
      <c r="AF18" s="60">
        <f>-L18*AF16/100</f>
        <v>-106823606.88</v>
      </c>
      <c r="AI18" s="61">
        <v>0</v>
      </c>
      <c r="AJ18" s="62"/>
      <c r="AK18" s="62"/>
      <c r="AL18" s="62"/>
      <c r="AM18" s="63">
        <f>+L18</f>
        <v>268428000</v>
      </c>
      <c r="AN18" s="64">
        <f>-I5*(O17/100)</f>
        <v>-106823606.88</v>
      </c>
      <c r="AO18" s="37"/>
      <c r="AP18" s="38"/>
      <c r="AQ18" s="60">
        <f>-L18*AQ16/100</f>
        <v>-106823606.88</v>
      </c>
      <c r="AR18" s="60">
        <v>0</v>
      </c>
      <c r="AT18" s="61">
        <v>0</v>
      </c>
      <c r="AU18" s="62"/>
      <c r="AV18" s="62"/>
      <c r="AW18" s="62"/>
      <c r="AX18" s="63">
        <f>+L18</f>
        <v>268428000</v>
      </c>
      <c r="AY18" s="64">
        <f>-I5*(T19/100)</f>
        <v>-239449541.76644951</v>
      </c>
    </row>
    <row r="19" spans="1:51" ht="15.75" customHeight="1" x14ac:dyDescent="0.35">
      <c r="A19" s="65">
        <f>+'VDF A'!A19-'VDF A'!K19</f>
        <v>0.25</v>
      </c>
      <c r="B19" s="49">
        <f t="shared" ref="B19:B58" si="0">+H19</f>
        <v>45611</v>
      </c>
      <c r="C19" s="66">
        <f>+'VDF A'!$C$19</f>
        <v>45</v>
      </c>
      <c r="D19" s="67">
        <f>+L8</f>
        <v>0.1</v>
      </c>
      <c r="E19" s="68">
        <f t="shared" ref="E19:E58" si="1">+MAX($I$8,MIN($I$9,$D19+$I$10/10000))</f>
        <v>0.36</v>
      </c>
      <c r="F19" s="69">
        <f>+((E19*L18)/360)*$C19</f>
        <v>12079260</v>
      </c>
      <c r="G19" s="51">
        <f t="shared" ref="G19:G54" si="2">+G18+F19-J19</f>
        <v>12079260</v>
      </c>
      <c r="H19" s="49">
        <f>'VDF A'!H19</f>
        <v>45611</v>
      </c>
      <c r="I19" s="70">
        <v>0</v>
      </c>
      <c r="J19" s="60">
        <v>0</v>
      </c>
      <c r="K19" s="71">
        <f>+J19+I19</f>
        <v>0</v>
      </c>
      <c r="L19" s="151">
        <f t="shared" ref="L19:L54" si="3">+L18-I19</f>
        <v>268428000</v>
      </c>
      <c r="N19" s="57" t="s">
        <v>43</v>
      </c>
      <c r="O19" s="73">
        <f>XIRR(AN18:AN58,H18:H58)</f>
        <v>2.9798352003097541</v>
      </c>
      <c r="P19" s="19" t="s">
        <v>17</v>
      </c>
      <c r="Q19" s="57" t="s">
        <v>43</v>
      </c>
      <c r="R19" s="73">
        <f>+XIRR(AY18:AY58,H18:H58)</f>
        <v>0.60023704171180736</v>
      </c>
      <c r="S19" s="19" t="s">
        <v>17</v>
      </c>
      <c r="T19" s="121">
        <f>Calculadora!D29</f>
        <v>89.204383211307885</v>
      </c>
      <c r="U19" s="7"/>
      <c r="AD19" s="65">
        <f>+'VDF A'!A19-'VDF A'!AU19</f>
        <v>-23753514.90625</v>
      </c>
      <c r="AE19" s="38"/>
      <c r="AF19" s="60">
        <f>+K19</f>
        <v>0</v>
      </c>
      <c r="AI19" s="74">
        <f>+AJ19</f>
        <v>14302179.375</v>
      </c>
      <c r="AJ19" s="75">
        <f>+((MAX($I$8,MIN($I$9,$O$8+$I$10/10000))*AM18)/360)*$C19</f>
        <v>14302179.375</v>
      </c>
      <c r="AK19" s="75"/>
      <c r="AL19" s="75"/>
      <c r="AM19" s="75">
        <f>+AM18-AL19</f>
        <v>268428000</v>
      </c>
      <c r="AN19" s="76">
        <f>+AK19+AL19</f>
        <v>0</v>
      </c>
      <c r="AO19" s="37"/>
      <c r="AP19" s="38"/>
      <c r="AQ19" s="60">
        <f>+K19</f>
        <v>0</v>
      </c>
      <c r="AR19" s="60">
        <f>+AQ19</f>
        <v>0</v>
      </c>
      <c r="AT19" s="74">
        <f>+AU19</f>
        <v>14302179.375</v>
      </c>
      <c r="AU19" s="75">
        <f>+((MAX($I$8,MIN($I$9,$O$8+$I$10/10000))*AX18)/360)*$C19</f>
        <v>14302179.375</v>
      </c>
      <c r="AV19" s="75"/>
      <c r="AW19" s="75"/>
      <c r="AX19" s="75">
        <f>+AX18-AW19</f>
        <v>268428000</v>
      </c>
      <c r="AY19" s="76">
        <f>+AV19+AW19</f>
        <v>0</v>
      </c>
    </row>
    <row r="20" spans="1:51" x14ac:dyDescent="0.35">
      <c r="A20" s="65">
        <f>+'VDF A'!A20-'VDF A'!K20</f>
        <v>0.5</v>
      </c>
      <c r="B20" s="49">
        <f t="shared" si="0"/>
        <v>45642</v>
      </c>
      <c r="C20" s="66">
        <f>+'VDF A'!C20</f>
        <v>30</v>
      </c>
      <c r="D20" s="67">
        <f t="shared" ref="D20:D58" si="4">+$L$8</f>
        <v>0.1</v>
      </c>
      <c r="E20" s="77">
        <f t="shared" si="1"/>
        <v>0.36</v>
      </c>
      <c r="F20" s="69">
        <f t="shared" ref="F20:F54" si="5">+((E20*L19)/360)*$C20</f>
        <v>8052840</v>
      </c>
      <c r="G20" s="51">
        <f t="shared" si="2"/>
        <v>20132100</v>
      </c>
      <c r="H20" s="49">
        <f>'VDF A'!H20</f>
        <v>45642</v>
      </c>
      <c r="I20" s="70">
        <v>0</v>
      </c>
      <c r="J20" s="60">
        <v>0</v>
      </c>
      <c r="K20" s="71">
        <f t="shared" ref="K20:K54" si="6">+J20+I20</f>
        <v>0</v>
      </c>
      <c r="L20" s="151">
        <f t="shared" si="3"/>
        <v>268428000</v>
      </c>
      <c r="T20" s="7"/>
      <c r="U20" s="7"/>
      <c r="AD20" s="65">
        <f>+'VDF A'!A20-'VDF A'!AU20</f>
        <v>-14568821.6875</v>
      </c>
      <c r="AE20" s="38"/>
      <c r="AF20" s="60">
        <f t="shared" ref="AF20:AF53" si="7">+K20</f>
        <v>0</v>
      </c>
      <c r="AI20" s="74">
        <f>+AI19+AJ20-AK20</f>
        <v>23836965.625</v>
      </c>
      <c r="AJ20" s="75">
        <f>+((MAX($I$8,MIN($I$9,$O$9+$I$10/10000))*AM19)/360)*$C20</f>
        <v>9534786.25</v>
      </c>
      <c r="AK20" s="75"/>
      <c r="AL20" s="75"/>
      <c r="AM20" s="75">
        <f t="shared" ref="AM20:AM53" si="8">+AM19-AL20</f>
        <v>268428000</v>
      </c>
      <c r="AN20" s="76">
        <f t="shared" ref="AN20:AN53" si="9">+AK20+AL20</f>
        <v>0</v>
      </c>
      <c r="AO20" s="37"/>
      <c r="AP20" s="38"/>
      <c r="AQ20" s="60">
        <f t="shared" ref="AQ20:AQ49" si="10">+K20</f>
        <v>0</v>
      </c>
      <c r="AR20" s="60">
        <f t="shared" ref="AR20:AR49" si="11">+AQ20</f>
        <v>0</v>
      </c>
      <c r="AT20" s="74">
        <f t="shared" ref="AT20:AT31" si="12">+AT19+AU20-AV20</f>
        <v>23836965.625</v>
      </c>
      <c r="AU20" s="75">
        <f>+((MAX($I$8,MIN($I$9,$O$9+$I$10/10000))*AM19)/360)*$C20</f>
        <v>9534786.25</v>
      </c>
      <c r="AV20" s="75"/>
      <c r="AW20" s="75"/>
      <c r="AX20" s="75">
        <f t="shared" ref="AX20:AX49" si="13">+AX19-AW20</f>
        <v>268428000</v>
      </c>
      <c r="AY20" s="76">
        <f t="shared" ref="AY20:AY49" si="14">+AV20+AW20</f>
        <v>0</v>
      </c>
    </row>
    <row r="21" spans="1:51" x14ac:dyDescent="0.35">
      <c r="A21" s="65">
        <f>+'VDF A'!A21-'VDF A'!K21</f>
        <v>-0.33333331346511841</v>
      </c>
      <c r="B21" s="49">
        <f t="shared" si="0"/>
        <v>45672</v>
      </c>
      <c r="C21" s="66">
        <f>+'VDF A'!C21</f>
        <v>30</v>
      </c>
      <c r="D21" s="67">
        <f t="shared" si="4"/>
        <v>0.1</v>
      </c>
      <c r="E21" s="77">
        <f t="shared" si="1"/>
        <v>0.36</v>
      </c>
      <c r="F21" s="69">
        <f t="shared" si="5"/>
        <v>8052840</v>
      </c>
      <c r="G21" s="51">
        <f t="shared" si="2"/>
        <v>28184940</v>
      </c>
      <c r="H21" s="49">
        <f>'VDF A'!H21</f>
        <v>45672</v>
      </c>
      <c r="I21" s="70">
        <v>0</v>
      </c>
      <c r="J21" s="60">
        <v>0</v>
      </c>
      <c r="K21" s="71">
        <f t="shared" si="6"/>
        <v>0</v>
      </c>
      <c r="L21" s="151">
        <f t="shared" si="3"/>
        <v>268428000</v>
      </c>
      <c r="T21" s="7"/>
      <c r="U21" s="7"/>
      <c r="AD21" s="65">
        <f>+'VDF A'!A21-'VDF A'!AU21</f>
        <v>-12351827</v>
      </c>
      <c r="AE21" s="38"/>
      <c r="AF21" s="60">
        <f t="shared" si="7"/>
        <v>0</v>
      </c>
      <c r="AI21" s="74">
        <f t="shared" ref="AI21:AI53" si="15">+AI20+AJ21-AK21</f>
        <v>33371751.875</v>
      </c>
      <c r="AJ21" s="75">
        <f>+((MAX($I$8,MIN($I$9,$O$10+$I$10/10000))*AM20)/360)*$C21</f>
        <v>9534786.25</v>
      </c>
      <c r="AK21" s="75"/>
      <c r="AL21" s="75"/>
      <c r="AM21" s="75">
        <f t="shared" si="8"/>
        <v>268428000</v>
      </c>
      <c r="AN21" s="76">
        <f t="shared" si="9"/>
        <v>0</v>
      </c>
      <c r="AO21" s="37"/>
      <c r="AP21" s="38"/>
      <c r="AQ21" s="60">
        <f t="shared" si="10"/>
        <v>0</v>
      </c>
      <c r="AR21" s="60">
        <f t="shared" si="11"/>
        <v>0</v>
      </c>
      <c r="AT21" s="74">
        <f t="shared" si="12"/>
        <v>33371751.875</v>
      </c>
      <c r="AU21" s="75">
        <f t="shared" ref="AU21:AU33" si="16">+((MAX($I$8,MIN($I$9,$O$10+$I$10/10000))*AM20)/360)*$C21</f>
        <v>9534786.25</v>
      </c>
      <c r="AV21" s="75"/>
      <c r="AW21" s="75"/>
      <c r="AX21" s="75">
        <f t="shared" si="13"/>
        <v>268428000</v>
      </c>
      <c r="AY21" s="76">
        <f t="shared" si="14"/>
        <v>0</v>
      </c>
    </row>
    <row r="22" spans="1:51" x14ac:dyDescent="0.35">
      <c r="A22" s="65">
        <f>+'VDF A'!A22-'VDF A'!K22</f>
        <v>0.33333331346511841</v>
      </c>
      <c r="B22" s="49">
        <f t="shared" si="0"/>
        <v>45705</v>
      </c>
      <c r="C22" s="66">
        <f>+'VDF A'!C22</f>
        <v>30</v>
      </c>
      <c r="D22" s="67">
        <f t="shared" si="4"/>
        <v>0.1</v>
      </c>
      <c r="E22" s="77">
        <f t="shared" si="1"/>
        <v>0.36</v>
      </c>
      <c r="F22" s="69">
        <f t="shared" si="5"/>
        <v>8052840</v>
      </c>
      <c r="G22" s="51">
        <f t="shared" si="2"/>
        <v>36237780</v>
      </c>
      <c r="H22" s="49">
        <f>'VDF A'!H22</f>
        <v>45705</v>
      </c>
      <c r="I22" s="70">
        <v>0</v>
      </c>
      <c r="J22" s="60">
        <v>0</v>
      </c>
      <c r="K22" s="71">
        <f t="shared" si="6"/>
        <v>0</v>
      </c>
      <c r="L22" s="151">
        <f t="shared" si="3"/>
        <v>268428000</v>
      </c>
      <c r="R22" s="73">
        <f>+((R19+1)^(0.083333333)-1)*12</f>
        <v>0.47948334870178755</v>
      </c>
      <c r="T22" s="7"/>
      <c r="U22" s="7"/>
      <c r="AD22" s="65">
        <f>+'VDF A'!A22-'VDF A'!AU22</f>
        <v>-9976476.75</v>
      </c>
      <c r="AE22" s="38"/>
      <c r="AF22" s="60">
        <f t="shared" si="7"/>
        <v>0</v>
      </c>
      <c r="AI22" s="74">
        <f t="shared" si="15"/>
        <v>42906538.125</v>
      </c>
      <c r="AJ22" s="75">
        <f t="shared" ref="AJ22:AJ41" si="17">+((MAX($I$8,MIN($I$9,$O$10+$I$10/10000))*AM21)/360)*$C22</f>
        <v>9534786.25</v>
      </c>
      <c r="AK22" s="75"/>
      <c r="AL22" s="75"/>
      <c r="AM22" s="75">
        <f t="shared" si="8"/>
        <v>268428000</v>
      </c>
      <c r="AN22" s="76">
        <f t="shared" si="9"/>
        <v>0</v>
      </c>
      <c r="AO22" s="37"/>
      <c r="AP22" s="38"/>
      <c r="AQ22" s="60">
        <f t="shared" si="10"/>
        <v>0</v>
      </c>
      <c r="AR22" s="60">
        <f t="shared" si="11"/>
        <v>0</v>
      </c>
      <c r="AT22" s="74">
        <f t="shared" si="12"/>
        <v>42906538.125</v>
      </c>
      <c r="AU22" s="75">
        <f t="shared" si="16"/>
        <v>9534786.25</v>
      </c>
      <c r="AV22" s="75"/>
      <c r="AW22" s="75"/>
      <c r="AX22" s="75">
        <f t="shared" si="13"/>
        <v>268428000</v>
      </c>
      <c r="AY22" s="76">
        <f t="shared" si="14"/>
        <v>0</v>
      </c>
    </row>
    <row r="23" spans="1:51" x14ac:dyDescent="0.35">
      <c r="A23" s="65">
        <f>+'VDF A'!A23-'VDF A'!K23</f>
        <v>0</v>
      </c>
      <c r="B23" s="49">
        <f t="shared" si="0"/>
        <v>45733</v>
      </c>
      <c r="C23" s="66">
        <f>+'VDF A'!C23</f>
        <v>30</v>
      </c>
      <c r="D23" s="67">
        <f t="shared" si="4"/>
        <v>0.1</v>
      </c>
      <c r="E23" s="77">
        <f t="shared" si="1"/>
        <v>0.36</v>
      </c>
      <c r="F23" s="69">
        <f t="shared" si="5"/>
        <v>8052840</v>
      </c>
      <c r="G23" s="51">
        <f t="shared" si="2"/>
        <v>44290620</v>
      </c>
      <c r="H23" s="49">
        <f>'VDF A'!H23</f>
        <v>45733</v>
      </c>
      <c r="I23" s="70">
        <v>0</v>
      </c>
      <c r="J23" s="60">
        <v>0</v>
      </c>
      <c r="K23" s="71">
        <f t="shared" si="6"/>
        <v>0</v>
      </c>
      <c r="L23" s="151">
        <f t="shared" si="3"/>
        <v>268428000</v>
      </c>
      <c r="T23" s="7"/>
      <c r="U23" s="7"/>
      <c r="AD23" s="65">
        <f>+'VDF A'!A23-'VDF A'!AU23</f>
        <v>-7601127.5</v>
      </c>
      <c r="AE23" s="38"/>
      <c r="AF23" s="60">
        <f t="shared" si="7"/>
        <v>0</v>
      </c>
      <c r="AI23" s="74">
        <f>+AI22+AJ23-AK23</f>
        <v>52441324.375</v>
      </c>
      <c r="AJ23" s="75">
        <f t="shared" si="17"/>
        <v>9534786.25</v>
      </c>
      <c r="AK23" s="75"/>
      <c r="AL23" s="75"/>
      <c r="AM23" s="75">
        <f t="shared" si="8"/>
        <v>268428000</v>
      </c>
      <c r="AN23" s="76">
        <f t="shared" si="9"/>
        <v>0</v>
      </c>
      <c r="AO23" s="37"/>
      <c r="AP23" s="38"/>
      <c r="AQ23" s="60">
        <f t="shared" si="10"/>
        <v>0</v>
      </c>
      <c r="AR23" s="60">
        <f t="shared" si="11"/>
        <v>0</v>
      </c>
      <c r="AT23" s="74">
        <f t="shared" si="12"/>
        <v>52441324.375</v>
      </c>
      <c r="AU23" s="75">
        <f t="shared" si="16"/>
        <v>9534786.25</v>
      </c>
      <c r="AV23" s="75"/>
      <c r="AW23" s="75"/>
      <c r="AX23" s="75">
        <f t="shared" si="13"/>
        <v>268428000</v>
      </c>
      <c r="AY23" s="76">
        <f t="shared" si="14"/>
        <v>0</v>
      </c>
    </row>
    <row r="24" spans="1:51" x14ac:dyDescent="0.35">
      <c r="A24" s="65">
        <f>+'VDF A'!A24-'VDF A'!K24</f>
        <v>0.1666666567325592</v>
      </c>
      <c r="B24" s="49">
        <f t="shared" si="0"/>
        <v>45762</v>
      </c>
      <c r="C24" s="66">
        <f>+'VDF A'!C24</f>
        <v>30</v>
      </c>
      <c r="D24" s="67">
        <f t="shared" si="4"/>
        <v>0.1</v>
      </c>
      <c r="E24" s="77">
        <f t="shared" si="1"/>
        <v>0.36</v>
      </c>
      <c r="F24" s="69">
        <f t="shared" si="5"/>
        <v>8052840</v>
      </c>
      <c r="G24" s="51">
        <f t="shared" si="2"/>
        <v>52343460</v>
      </c>
      <c r="H24" s="49">
        <f>'VDF A'!H24</f>
        <v>45762</v>
      </c>
      <c r="I24" s="70">
        <v>0</v>
      </c>
      <c r="J24" s="60">
        <v>0</v>
      </c>
      <c r="K24" s="71">
        <f t="shared" si="6"/>
        <v>0</v>
      </c>
      <c r="L24" s="151">
        <f t="shared" si="3"/>
        <v>268428000</v>
      </c>
      <c r="T24" s="7"/>
      <c r="U24" s="7"/>
      <c r="AD24" s="65">
        <f>+'VDF A'!A24-'VDF A'!AU24</f>
        <v>-5384131.8125</v>
      </c>
      <c r="AE24" s="38"/>
      <c r="AF24" s="60">
        <f t="shared" si="7"/>
        <v>0</v>
      </c>
      <c r="AI24" s="74">
        <f>+AI23+AJ24-AK24</f>
        <v>61976110.625</v>
      </c>
      <c r="AJ24" s="75">
        <f t="shared" si="17"/>
        <v>9534786.25</v>
      </c>
      <c r="AK24" s="75"/>
      <c r="AL24" s="75"/>
      <c r="AM24" s="75">
        <f t="shared" si="8"/>
        <v>268428000</v>
      </c>
      <c r="AN24" s="76">
        <f t="shared" si="9"/>
        <v>0</v>
      </c>
      <c r="AO24" s="37"/>
      <c r="AP24" s="38"/>
      <c r="AQ24" s="60">
        <f t="shared" si="10"/>
        <v>0</v>
      </c>
      <c r="AR24" s="60">
        <f t="shared" si="11"/>
        <v>0</v>
      </c>
      <c r="AT24" s="74">
        <f t="shared" si="12"/>
        <v>61976110.625</v>
      </c>
      <c r="AU24" s="75">
        <f t="shared" si="16"/>
        <v>9534786.25</v>
      </c>
      <c r="AV24" s="75"/>
      <c r="AW24" s="75"/>
      <c r="AX24" s="75">
        <f t="shared" ref="AX24:AX31" si="18">+AX23-AW24</f>
        <v>268428000</v>
      </c>
      <c r="AY24" s="76">
        <f t="shared" ref="AY24:AY31" si="19">+AV24+AW24</f>
        <v>0</v>
      </c>
    </row>
    <row r="25" spans="1:51" x14ac:dyDescent="0.35">
      <c r="A25" s="65">
        <f>+'VDF A'!A25-'VDF A'!K25</f>
        <v>0.1666666567325592</v>
      </c>
      <c r="B25" s="49">
        <f t="shared" si="0"/>
        <v>45792</v>
      </c>
      <c r="C25" s="66">
        <f>+'VDF A'!C25</f>
        <v>30</v>
      </c>
      <c r="D25" s="67">
        <f t="shared" si="4"/>
        <v>0.1</v>
      </c>
      <c r="E25" s="77">
        <f t="shared" si="1"/>
        <v>0.36</v>
      </c>
      <c r="F25" s="69">
        <f t="shared" si="5"/>
        <v>8052840</v>
      </c>
      <c r="G25" s="51">
        <f t="shared" si="2"/>
        <v>60396300</v>
      </c>
      <c r="H25" s="49">
        <f>'VDF A'!H25</f>
        <v>45792</v>
      </c>
      <c r="I25" s="70">
        <v>0</v>
      </c>
      <c r="J25" s="60">
        <v>0</v>
      </c>
      <c r="K25" s="71">
        <f t="shared" si="6"/>
        <v>0</v>
      </c>
      <c r="L25" s="151">
        <f t="shared" si="3"/>
        <v>268428000</v>
      </c>
      <c r="T25" s="7"/>
      <c r="U25" s="7"/>
      <c r="AD25" s="65">
        <f>+'VDF A'!A25-'VDF A'!AU25</f>
        <v>-4275636.8125</v>
      </c>
      <c r="AE25" s="38"/>
      <c r="AF25" s="60">
        <f t="shared" si="7"/>
        <v>0</v>
      </c>
      <c r="AI25" s="74">
        <f t="shared" si="15"/>
        <v>71510896.875</v>
      </c>
      <c r="AJ25" s="75">
        <f t="shared" si="17"/>
        <v>9534786.25</v>
      </c>
      <c r="AK25" s="75"/>
      <c r="AL25" s="75"/>
      <c r="AM25" s="75">
        <f t="shared" si="8"/>
        <v>268428000</v>
      </c>
      <c r="AN25" s="76">
        <f t="shared" si="9"/>
        <v>0</v>
      </c>
      <c r="AO25" s="37"/>
      <c r="AP25" s="38"/>
      <c r="AQ25" s="60">
        <f t="shared" si="10"/>
        <v>0</v>
      </c>
      <c r="AR25" s="60">
        <f t="shared" si="11"/>
        <v>0</v>
      </c>
      <c r="AT25" s="74">
        <f t="shared" si="12"/>
        <v>71510896.875</v>
      </c>
      <c r="AU25" s="75">
        <f t="shared" si="16"/>
        <v>9534786.25</v>
      </c>
      <c r="AV25" s="75"/>
      <c r="AW25" s="75"/>
      <c r="AX25" s="75">
        <f t="shared" si="18"/>
        <v>268428000</v>
      </c>
      <c r="AY25" s="76">
        <f t="shared" si="19"/>
        <v>0</v>
      </c>
    </row>
    <row r="26" spans="1:51" x14ac:dyDescent="0.35">
      <c r="A26" s="65">
        <f>+'VDF A'!A26-'VDF A'!K26</f>
        <v>0.1666666567325592</v>
      </c>
      <c r="B26" s="49">
        <f t="shared" si="0"/>
        <v>45824</v>
      </c>
      <c r="C26" s="66">
        <f>+'VDF A'!C26</f>
        <v>30</v>
      </c>
      <c r="D26" s="67">
        <f t="shared" si="4"/>
        <v>0.1</v>
      </c>
      <c r="E26" s="77">
        <f t="shared" si="1"/>
        <v>0.36</v>
      </c>
      <c r="F26" s="69">
        <f t="shared" si="5"/>
        <v>8052840</v>
      </c>
      <c r="G26" s="51">
        <f t="shared" si="2"/>
        <v>68449140</v>
      </c>
      <c r="H26" s="49">
        <f>'VDF A'!H26</f>
        <v>45824</v>
      </c>
      <c r="I26" s="70">
        <v>0</v>
      </c>
      <c r="J26" s="60">
        <v>0</v>
      </c>
      <c r="K26" s="71">
        <f t="shared" si="6"/>
        <v>0</v>
      </c>
      <c r="L26" s="151">
        <f t="shared" si="3"/>
        <v>268428000</v>
      </c>
      <c r="T26" s="7"/>
      <c r="U26" s="7"/>
      <c r="AD26" s="65">
        <f>+'VDF A'!A26-'VDF A'!AU26</f>
        <v>-3167141.8125</v>
      </c>
      <c r="AF26" s="60">
        <f t="shared" si="7"/>
        <v>0</v>
      </c>
      <c r="AI26" s="74">
        <f t="shared" si="15"/>
        <v>81045683.125</v>
      </c>
      <c r="AJ26" s="75">
        <f t="shared" si="17"/>
        <v>9534786.25</v>
      </c>
      <c r="AK26" s="75"/>
      <c r="AL26" s="75"/>
      <c r="AM26" s="75">
        <f t="shared" si="8"/>
        <v>268428000</v>
      </c>
      <c r="AN26" s="76">
        <f t="shared" si="9"/>
        <v>0</v>
      </c>
      <c r="AO26" s="76"/>
      <c r="AQ26" s="60">
        <f t="shared" si="10"/>
        <v>0</v>
      </c>
      <c r="AR26" s="60">
        <f t="shared" si="11"/>
        <v>0</v>
      </c>
      <c r="AT26" s="74">
        <f t="shared" si="12"/>
        <v>81045683.125</v>
      </c>
      <c r="AU26" s="75">
        <f t="shared" si="16"/>
        <v>9534786.25</v>
      </c>
      <c r="AV26" s="75"/>
      <c r="AW26" s="75"/>
      <c r="AX26" s="75">
        <f t="shared" si="18"/>
        <v>268428000</v>
      </c>
      <c r="AY26" s="76">
        <f t="shared" si="19"/>
        <v>0</v>
      </c>
    </row>
    <row r="27" spans="1:51" x14ac:dyDescent="0.35">
      <c r="A27" s="65">
        <f>+'VDF A'!A27-'VDF A'!K27</f>
        <v>0.1666666567325592</v>
      </c>
      <c r="B27" s="49">
        <f t="shared" si="0"/>
        <v>45853</v>
      </c>
      <c r="C27" s="66">
        <f>+'VDF A'!C27</f>
        <v>30</v>
      </c>
      <c r="D27" s="67">
        <f t="shared" si="4"/>
        <v>0.1</v>
      </c>
      <c r="E27" s="77">
        <f t="shared" si="1"/>
        <v>0.36</v>
      </c>
      <c r="F27" s="69">
        <f t="shared" si="5"/>
        <v>8052840</v>
      </c>
      <c r="G27" s="51">
        <f t="shared" si="2"/>
        <v>76501979.833333343</v>
      </c>
      <c r="H27" s="49">
        <f>'VDF A'!H27</f>
        <v>45853</v>
      </c>
      <c r="I27" s="70">
        <v>30720000</v>
      </c>
      <c r="J27" s="60">
        <f t="shared" ref="J27:J54" si="20">+MIN($A27,F27+G26)</f>
        <v>0.1666666567325592</v>
      </c>
      <c r="K27" s="71">
        <f t="shared" si="6"/>
        <v>30720000.166666657</v>
      </c>
      <c r="L27" s="151">
        <f t="shared" si="3"/>
        <v>237708000</v>
      </c>
      <c r="T27" s="7"/>
      <c r="U27" s="7"/>
      <c r="AD27" s="65">
        <f>+'VDF A'!A27-'VDF A'!AU27</f>
        <v>-2058646.8125</v>
      </c>
      <c r="AF27" s="60">
        <f t="shared" si="7"/>
        <v>30720000.166666657</v>
      </c>
      <c r="AI27" s="74">
        <f t="shared" si="15"/>
        <v>92639116.1875</v>
      </c>
      <c r="AJ27" s="75">
        <f t="shared" si="17"/>
        <v>9534786.25</v>
      </c>
      <c r="AK27" s="75">
        <f t="shared" ref="AK27:AK33" si="21">MIN(AD27,AI26+AJ27)</f>
        <v>-2058646.8125</v>
      </c>
      <c r="AL27" s="75">
        <v>0</v>
      </c>
      <c r="AM27" s="75">
        <f t="shared" si="8"/>
        <v>268428000</v>
      </c>
      <c r="AN27" s="76">
        <f t="shared" si="9"/>
        <v>-2058646.8125</v>
      </c>
      <c r="AO27" s="76"/>
      <c r="AQ27" s="60">
        <f t="shared" si="10"/>
        <v>30720000.166666657</v>
      </c>
      <c r="AR27" s="60">
        <f t="shared" si="11"/>
        <v>30720000.166666657</v>
      </c>
      <c r="AT27" s="74">
        <f t="shared" si="12"/>
        <v>92639116.1875</v>
      </c>
      <c r="AU27" s="75">
        <f t="shared" si="16"/>
        <v>9534786.25</v>
      </c>
      <c r="AV27" s="75">
        <f>MIN(AD27,AT26+AU27)</f>
        <v>-2058646.8125</v>
      </c>
      <c r="AW27" s="75">
        <v>0</v>
      </c>
      <c r="AX27" s="75">
        <f t="shared" si="18"/>
        <v>268428000</v>
      </c>
      <c r="AY27" s="76">
        <f t="shared" si="19"/>
        <v>-2058646.8125</v>
      </c>
    </row>
    <row r="28" spans="1:51" x14ac:dyDescent="0.35">
      <c r="A28" s="65">
        <f>+'VDF A'!A28-'VDF A'!K28</f>
        <v>0.1666666567325592</v>
      </c>
      <c r="B28" s="49">
        <f t="shared" si="0"/>
        <v>45884</v>
      </c>
      <c r="C28" s="66">
        <f>+'VDF A'!C28</f>
        <v>30</v>
      </c>
      <c r="D28" s="67">
        <f t="shared" si="4"/>
        <v>0.1</v>
      </c>
      <c r="E28" s="77">
        <f t="shared" si="1"/>
        <v>0.36</v>
      </c>
      <c r="F28" s="69">
        <f t="shared" si="5"/>
        <v>7131240</v>
      </c>
      <c r="G28" s="51">
        <f t="shared" si="2"/>
        <v>83633219.666666687</v>
      </c>
      <c r="H28" s="49">
        <f>'VDF A'!H28</f>
        <v>45884</v>
      </c>
      <c r="I28" s="70">
        <v>122881000</v>
      </c>
      <c r="J28" s="60">
        <f t="shared" si="20"/>
        <v>0.1666666567325592</v>
      </c>
      <c r="K28" s="71">
        <f t="shared" si="6"/>
        <v>122881000.16666666</v>
      </c>
      <c r="L28" s="151">
        <f t="shared" si="3"/>
        <v>114827000</v>
      </c>
      <c r="T28" s="7"/>
      <c r="U28" s="7"/>
      <c r="AD28" s="65">
        <f>+'VDF A'!A28-'VDF A'!AU28</f>
        <v>-950151.8125</v>
      </c>
      <c r="AF28" s="60">
        <f t="shared" si="7"/>
        <v>122881000.16666666</v>
      </c>
      <c r="AI28" s="74">
        <f t="shared" si="15"/>
        <v>103124054.25</v>
      </c>
      <c r="AJ28" s="75">
        <f t="shared" si="17"/>
        <v>9534786.25</v>
      </c>
      <c r="AK28" s="75">
        <f t="shared" si="21"/>
        <v>-950151.8125</v>
      </c>
      <c r="AL28" s="75">
        <v>268428000</v>
      </c>
      <c r="AM28" s="75">
        <f t="shared" si="8"/>
        <v>0</v>
      </c>
      <c r="AN28" s="76">
        <f t="shared" si="9"/>
        <v>267477848.1875</v>
      </c>
      <c r="AO28" s="76"/>
      <c r="AQ28" s="60">
        <f t="shared" si="10"/>
        <v>122881000.16666666</v>
      </c>
      <c r="AR28" s="60">
        <f t="shared" si="11"/>
        <v>122881000.16666666</v>
      </c>
      <c r="AT28" s="74">
        <f t="shared" si="12"/>
        <v>103124054.25</v>
      </c>
      <c r="AU28" s="75">
        <f t="shared" si="16"/>
        <v>9534786.25</v>
      </c>
      <c r="AV28" s="75">
        <f>MIN(AD28,AT27+AU28)</f>
        <v>-950151.8125</v>
      </c>
      <c r="AW28" s="75">
        <v>268428000</v>
      </c>
      <c r="AX28" s="75">
        <f t="shared" si="18"/>
        <v>0</v>
      </c>
      <c r="AY28" s="76">
        <f t="shared" si="19"/>
        <v>267477848.1875</v>
      </c>
    </row>
    <row r="29" spans="1:51" x14ac:dyDescent="0.35">
      <c r="A29" s="65">
        <f>+'VDF A'!A29-'VDF A'!K29</f>
        <v>92607660</v>
      </c>
      <c r="B29" s="49">
        <f t="shared" si="0"/>
        <v>45915</v>
      </c>
      <c r="C29" s="66">
        <f>+'VDF A'!C29</f>
        <v>30</v>
      </c>
      <c r="D29" s="67">
        <f t="shared" si="4"/>
        <v>0.1</v>
      </c>
      <c r="E29" s="77">
        <f t="shared" si="1"/>
        <v>0.36</v>
      </c>
      <c r="F29" s="69">
        <f t="shared" si="5"/>
        <v>3444810</v>
      </c>
      <c r="G29" s="51">
        <f t="shared" si="2"/>
        <v>87078029.666666687</v>
      </c>
      <c r="H29" s="49">
        <f>'VDF A'!H29</f>
        <v>45915</v>
      </c>
      <c r="I29" s="70">
        <v>0</v>
      </c>
      <c r="J29" s="60">
        <v>0</v>
      </c>
      <c r="K29" s="71">
        <f t="shared" si="6"/>
        <v>0</v>
      </c>
      <c r="L29" s="151">
        <f t="shared" si="3"/>
        <v>114827000</v>
      </c>
      <c r="P29" s="86"/>
      <c r="W29" s="89"/>
      <c r="AD29" s="65">
        <f>+'VDF A'!A29-'VDF A'!AU29</f>
        <v>92607660</v>
      </c>
      <c r="AF29" s="60">
        <f t="shared" si="7"/>
        <v>0</v>
      </c>
      <c r="AI29" s="74">
        <f>+AI28+AJ29-AK29</f>
        <v>10516394.25</v>
      </c>
      <c r="AJ29" s="75">
        <f t="shared" si="17"/>
        <v>0</v>
      </c>
      <c r="AK29" s="75">
        <f t="shared" si="21"/>
        <v>92607660</v>
      </c>
      <c r="AL29" s="75">
        <f t="shared" ref="AL29:AL31" si="22">+IF(AM28&lt;0,0,MIN(AD29-AK29,AM28))</f>
        <v>0</v>
      </c>
      <c r="AM29" s="75">
        <f t="shared" si="8"/>
        <v>0</v>
      </c>
      <c r="AN29" s="76">
        <f t="shared" si="9"/>
        <v>92607660</v>
      </c>
      <c r="AO29" s="76"/>
      <c r="AQ29" s="60">
        <f t="shared" si="10"/>
        <v>0</v>
      </c>
      <c r="AR29" s="60">
        <f t="shared" si="11"/>
        <v>0</v>
      </c>
      <c r="AT29" s="74">
        <f t="shared" si="12"/>
        <v>103124054.25</v>
      </c>
      <c r="AU29" s="75">
        <f t="shared" si="16"/>
        <v>0</v>
      </c>
      <c r="AV29" s="75">
        <v>0</v>
      </c>
      <c r="AW29" s="75">
        <v>0</v>
      </c>
      <c r="AX29" s="75">
        <f t="shared" si="18"/>
        <v>0</v>
      </c>
      <c r="AY29" s="76">
        <f t="shared" si="19"/>
        <v>0</v>
      </c>
    </row>
    <row r="30" spans="1:51" x14ac:dyDescent="0.35">
      <c r="A30" s="65">
        <f>+'VDF A'!A30-'VDF A'!K30</f>
        <v>276480840</v>
      </c>
      <c r="B30" s="49">
        <f t="shared" si="0"/>
        <v>45945</v>
      </c>
      <c r="C30" s="66">
        <f>+'VDF A'!C30</f>
        <v>30</v>
      </c>
      <c r="D30" s="67">
        <f t="shared" si="4"/>
        <v>0.1</v>
      </c>
      <c r="E30" s="77">
        <f t="shared" si="1"/>
        <v>0.36</v>
      </c>
      <c r="F30" s="69">
        <f t="shared" si="5"/>
        <v>3444810</v>
      </c>
      <c r="G30" s="51">
        <f t="shared" si="2"/>
        <v>90522839.666666687</v>
      </c>
      <c r="H30" s="49">
        <f>'VDF A'!H30</f>
        <v>45945</v>
      </c>
      <c r="I30" s="70">
        <v>0</v>
      </c>
      <c r="J30" s="60">
        <v>0</v>
      </c>
      <c r="K30" s="71">
        <f t="shared" si="6"/>
        <v>0</v>
      </c>
      <c r="L30" s="151">
        <f t="shared" si="3"/>
        <v>114827000</v>
      </c>
      <c r="P30" s="86"/>
      <c r="AD30" s="65">
        <f>+'VDF A'!A30-'VDF A'!AU30</f>
        <v>276480840</v>
      </c>
      <c r="AF30" s="60">
        <f t="shared" si="7"/>
        <v>0</v>
      </c>
      <c r="AI30" s="74">
        <f t="shared" si="15"/>
        <v>0</v>
      </c>
      <c r="AJ30" s="75">
        <f t="shared" si="17"/>
        <v>0</v>
      </c>
      <c r="AK30" s="75">
        <f t="shared" si="21"/>
        <v>10516394.25</v>
      </c>
      <c r="AL30" s="75">
        <f t="shared" si="22"/>
        <v>0</v>
      </c>
      <c r="AM30" s="75">
        <f t="shared" si="8"/>
        <v>0</v>
      </c>
      <c r="AN30" s="76">
        <f t="shared" si="9"/>
        <v>10516394.25</v>
      </c>
      <c r="AO30" s="37"/>
      <c r="AQ30" s="60">
        <f t="shared" si="10"/>
        <v>0</v>
      </c>
      <c r="AR30" s="60">
        <f t="shared" si="11"/>
        <v>0</v>
      </c>
      <c r="AT30" s="74">
        <f t="shared" si="12"/>
        <v>0</v>
      </c>
      <c r="AU30" s="75">
        <f t="shared" si="16"/>
        <v>0</v>
      </c>
      <c r="AV30" s="75">
        <f>MIN(AD30,AT29+AU30)</f>
        <v>103124054.25</v>
      </c>
      <c r="AW30" s="75">
        <v>0</v>
      </c>
      <c r="AX30" s="75">
        <f>+AX29-AW30</f>
        <v>0</v>
      </c>
      <c r="AY30" s="76">
        <f>+AV30+AW30</f>
        <v>103124054.25</v>
      </c>
    </row>
    <row r="31" spans="1:51" x14ac:dyDescent="0.35">
      <c r="A31" s="65">
        <f>+'VDF A'!A31-'VDF A'!K31</f>
        <v>3120002</v>
      </c>
      <c r="B31" s="49">
        <f t="shared" si="0"/>
        <v>45976</v>
      </c>
      <c r="C31" s="66">
        <f>+'VDF A'!C31</f>
        <v>30</v>
      </c>
      <c r="D31" s="67">
        <f t="shared" si="4"/>
        <v>0.1</v>
      </c>
      <c r="E31" s="77">
        <f t="shared" si="1"/>
        <v>0.36</v>
      </c>
      <c r="F31" s="69">
        <f t="shared" si="5"/>
        <v>3444810</v>
      </c>
      <c r="G31" s="51">
        <f t="shared" si="2"/>
        <v>93967649.666666687</v>
      </c>
      <c r="H31" s="49">
        <f>'VDF A'!H31</f>
        <v>45976</v>
      </c>
      <c r="I31" s="70">
        <v>0</v>
      </c>
      <c r="J31" s="60">
        <v>0</v>
      </c>
      <c r="K31" s="71">
        <f t="shared" si="6"/>
        <v>0</v>
      </c>
      <c r="L31" s="151">
        <f t="shared" si="3"/>
        <v>114827000</v>
      </c>
      <c r="P31" s="86"/>
      <c r="AD31" s="65">
        <f>+'VDF A'!A31-'VDF A'!AU31</f>
        <v>3120002</v>
      </c>
      <c r="AF31" s="60">
        <f t="shared" si="7"/>
        <v>0</v>
      </c>
      <c r="AI31" s="74">
        <f t="shared" si="15"/>
        <v>0</v>
      </c>
      <c r="AJ31" s="75">
        <f t="shared" si="17"/>
        <v>0</v>
      </c>
      <c r="AK31" s="75">
        <f t="shared" si="21"/>
        <v>0</v>
      </c>
      <c r="AL31" s="75">
        <f t="shared" si="22"/>
        <v>0</v>
      </c>
      <c r="AM31" s="75">
        <f t="shared" si="8"/>
        <v>0</v>
      </c>
      <c r="AN31" s="76">
        <f t="shared" si="9"/>
        <v>0</v>
      </c>
      <c r="AO31" s="37"/>
      <c r="AQ31" s="60">
        <f t="shared" si="10"/>
        <v>0</v>
      </c>
      <c r="AR31" s="60">
        <f t="shared" si="11"/>
        <v>0</v>
      </c>
      <c r="AT31" s="74">
        <f t="shared" si="12"/>
        <v>0</v>
      </c>
      <c r="AU31" s="75">
        <f t="shared" si="16"/>
        <v>0</v>
      </c>
      <c r="AV31" s="75">
        <f t="shared" ref="AV31" si="23">MIN(AD31,AT30+AU31)</f>
        <v>0</v>
      </c>
      <c r="AW31" s="75">
        <v>0</v>
      </c>
      <c r="AX31" s="75">
        <f t="shared" si="18"/>
        <v>0</v>
      </c>
      <c r="AY31" s="76">
        <f t="shared" si="19"/>
        <v>0</v>
      </c>
    </row>
    <row r="32" spans="1:51" x14ac:dyDescent="0.35">
      <c r="A32" s="65">
        <f>+'VDF A'!A32-'VDF A'!K32</f>
        <v>2458610</v>
      </c>
      <c r="B32" s="49">
        <f t="shared" si="0"/>
        <v>46006</v>
      </c>
      <c r="C32" s="66">
        <f>+'VDF A'!C32</f>
        <v>30</v>
      </c>
      <c r="D32" s="67">
        <f t="shared" si="4"/>
        <v>0.1</v>
      </c>
      <c r="E32" s="77">
        <f t="shared" si="1"/>
        <v>0.36</v>
      </c>
      <c r="F32" s="69">
        <f t="shared" si="5"/>
        <v>3444810</v>
      </c>
      <c r="G32" s="51">
        <f t="shared" si="2"/>
        <v>97412459.666666687</v>
      </c>
      <c r="H32" s="49">
        <f>'VDF A'!H32</f>
        <v>46006</v>
      </c>
      <c r="I32" s="70">
        <v>0</v>
      </c>
      <c r="J32" s="60">
        <v>0</v>
      </c>
      <c r="K32" s="71">
        <f t="shared" si="6"/>
        <v>0</v>
      </c>
      <c r="L32" s="151">
        <f t="shared" si="3"/>
        <v>114827000</v>
      </c>
      <c r="P32" s="86"/>
      <c r="AD32" s="65">
        <f>+'VDF A'!A32-'VDF A'!AU32</f>
        <v>2458610</v>
      </c>
      <c r="AF32" s="60">
        <f t="shared" si="7"/>
        <v>0</v>
      </c>
      <c r="AI32" s="74">
        <f t="shared" si="15"/>
        <v>0</v>
      </c>
      <c r="AJ32" s="75">
        <f t="shared" si="17"/>
        <v>0</v>
      </c>
      <c r="AK32" s="75">
        <f t="shared" si="21"/>
        <v>0</v>
      </c>
      <c r="AL32" s="75">
        <f>+IF(AM31&lt;0,0,MIN(AD32-AK32,AM31))</f>
        <v>0</v>
      </c>
      <c r="AM32" s="75">
        <f t="shared" si="8"/>
        <v>0</v>
      </c>
      <c r="AN32" s="76">
        <f t="shared" si="9"/>
        <v>0</v>
      </c>
      <c r="AO32" s="37"/>
      <c r="AQ32" s="60">
        <f t="shared" si="10"/>
        <v>0</v>
      </c>
      <c r="AR32" s="60">
        <f t="shared" si="11"/>
        <v>0</v>
      </c>
      <c r="AT32" s="74">
        <f t="shared" ref="AT32:AT49" si="24">+AT31+AU32-AV32</f>
        <v>0</v>
      </c>
      <c r="AU32" s="75">
        <f t="shared" si="16"/>
        <v>0</v>
      </c>
      <c r="AV32" s="75">
        <f t="shared" ref="AV32:AV49" si="25">MIN(AD32,AT31+AU32)</f>
        <v>0</v>
      </c>
      <c r="AW32" s="75">
        <f t="shared" ref="AW32:AW49" si="26">+IF(AX31&lt;0,0,MIN(AD32-AV32,AM31))</f>
        <v>0</v>
      </c>
      <c r="AX32" s="75">
        <f t="shared" si="13"/>
        <v>0</v>
      </c>
      <c r="AY32" s="76">
        <f t="shared" si="14"/>
        <v>0</v>
      </c>
    </row>
    <row r="33" spans="1:51" x14ac:dyDescent="0.35">
      <c r="A33" s="65">
        <f>+'VDF A'!A33-'VDF A'!K33</f>
        <v>0</v>
      </c>
      <c r="B33" s="49">
        <f t="shared" si="0"/>
        <v>46037</v>
      </c>
      <c r="C33" s="66">
        <f>+'VDF A'!C33</f>
        <v>30</v>
      </c>
      <c r="D33" s="67">
        <f t="shared" si="4"/>
        <v>0.1</v>
      </c>
      <c r="E33" s="77">
        <f t="shared" si="1"/>
        <v>0.36</v>
      </c>
      <c r="F33" s="69">
        <f t="shared" si="5"/>
        <v>3444810</v>
      </c>
      <c r="G33" s="51">
        <f t="shared" si="2"/>
        <v>100857269.66666669</v>
      </c>
      <c r="H33" s="49">
        <f>'VDF A'!H33</f>
        <v>46037</v>
      </c>
      <c r="I33" s="70">
        <f t="shared" ref="I33:I54" si="27">+IF(L32&gt;0,MIN(A33-J33,L32),0)</f>
        <v>0</v>
      </c>
      <c r="J33" s="60">
        <f t="shared" si="20"/>
        <v>0</v>
      </c>
      <c r="K33" s="71">
        <f t="shared" si="6"/>
        <v>0</v>
      </c>
      <c r="L33" s="151">
        <f t="shared" si="3"/>
        <v>114827000</v>
      </c>
      <c r="P33" s="86"/>
      <c r="AD33" s="65">
        <f>+'VDF A'!A33-'VDF A'!AU33</f>
        <v>0</v>
      </c>
      <c r="AF33" s="60">
        <f t="shared" si="7"/>
        <v>0</v>
      </c>
      <c r="AI33" s="74">
        <f t="shared" si="15"/>
        <v>0</v>
      </c>
      <c r="AJ33" s="75">
        <f t="shared" si="17"/>
        <v>0</v>
      </c>
      <c r="AK33" s="75">
        <f t="shared" si="21"/>
        <v>0</v>
      </c>
      <c r="AL33" s="75">
        <f t="shared" ref="AL33:AL53" si="28">+IF(AM32&lt;0,0,MIN(AD33-AK33,AM32))</f>
        <v>0</v>
      </c>
      <c r="AM33" s="75">
        <f t="shared" si="8"/>
        <v>0</v>
      </c>
      <c r="AN33" s="76">
        <f t="shared" si="9"/>
        <v>0</v>
      </c>
      <c r="AO33" s="37"/>
      <c r="AQ33" s="60">
        <f t="shared" si="10"/>
        <v>0</v>
      </c>
      <c r="AR33" s="60">
        <f t="shared" si="11"/>
        <v>0</v>
      </c>
      <c r="AT33" s="74">
        <f t="shared" si="24"/>
        <v>0</v>
      </c>
      <c r="AU33" s="75">
        <f t="shared" si="16"/>
        <v>0</v>
      </c>
      <c r="AV33" s="75">
        <f t="shared" si="25"/>
        <v>0</v>
      </c>
      <c r="AW33" s="75">
        <f t="shared" si="26"/>
        <v>0</v>
      </c>
      <c r="AX33" s="75">
        <f t="shared" si="13"/>
        <v>0</v>
      </c>
      <c r="AY33" s="76">
        <f t="shared" si="14"/>
        <v>0</v>
      </c>
    </row>
    <row r="34" spans="1:51" x14ac:dyDescent="0.35">
      <c r="A34" s="65">
        <f>+'VDF A'!A34-'VDF A'!K34</f>
        <v>0</v>
      </c>
      <c r="B34" s="49">
        <f t="shared" si="0"/>
        <v>46068</v>
      </c>
      <c r="C34" s="66">
        <f>+'VDF A'!C34</f>
        <v>30</v>
      </c>
      <c r="D34" s="67">
        <f t="shared" si="4"/>
        <v>0.1</v>
      </c>
      <c r="E34" s="77">
        <f t="shared" si="1"/>
        <v>0.36</v>
      </c>
      <c r="F34" s="69">
        <f t="shared" si="5"/>
        <v>3444810</v>
      </c>
      <c r="G34" s="51">
        <f t="shared" si="2"/>
        <v>104302079.66666669</v>
      </c>
      <c r="H34" s="49">
        <f>'VDF A'!H34</f>
        <v>46068</v>
      </c>
      <c r="I34" s="70">
        <f t="shared" si="27"/>
        <v>0</v>
      </c>
      <c r="J34" s="60">
        <f t="shared" si="20"/>
        <v>0</v>
      </c>
      <c r="K34" s="71">
        <f t="shared" si="6"/>
        <v>0</v>
      </c>
      <c r="L34" s="151">
        <f t="shared" si="3"/>
        <v>114827000</v>
      </c>
      <c r="P34" s="86"/>
      <c r="AD34" s="65">
        <f>+'VDF A'!A34-'VDF A'!AU34</f>
        <v>0</v>
      </c>
      <c r="AF34" s="60">
        <f t="shared" si="7"/>
        <v>0</v>
      </c>
      <c r="AI34" s="74">
        <f t="shared" si="15"/>
        <v>0</v>
      </c>
      <c r="AJ34" s="75">
        <f t="shared" si="17"/>
        <v>0</v>
      </c>
      <c r="AK34" s="75">
        <f t="shared" ref="AK34:AK53" si="29">MIN(AD34,AI33+AJ34)</f>
        <v>0</v>
      </c>
      <c r="AL34" s="75">
        <f t="shared" si="28"/>
        <v>0</v>
      </c>
      <c r="AM34" s="75">
        <f t="shared" si="8"/>
        <v>0</v>
      </c>
      <c r="AN34" s="76">
        <f t="shared" si="9"/>
        <v>0</v>
      </c>
      <c r="AO34" s="37"/>
      <c r="AQ34" s="60">
        <f t="shared" si="10"/>
        <v>0</v>
      </c>
      <c r="AR34" s="60">
        <f t="shared" si="11"/>
        <v>0</v>
      </c>
      <c r="AT34" s="74">
        <f t="shared" si="24"/>
        <v>0</v>
      </c>
      <c r="AU34" s="75">
        <f t="shared" ref="AU34:AU49" si="30">+((MAX($I$8,MIN($I$9,$O$9+$I$10/10000))*AM33)/360)*$C34</f>
        <v>0</v>
      </c>
      <c r="AV34" s="75">
        <f t="shared" si="25"/>
        <v>0</v>
      </c>
      <c r="AW34" s="75">
        <f t="shared" si="26"/>
        <v>0</v>
      </c>
      <c r="AX34" s="75">
        <f t="shared" si="13"/>
        <v>0</v>
      </c>
      <c r="AY34" s="76">
        <f t="shared" si="14"/>
        <v>0</v>
      </c>
    </row>
    <row r="35" spans="1:51" x14ac:dyDescent="0.35">
      <c r="A35" s="65">
        <f>+'VDF A'!A35-'VDF A'!K35</f>
        <v>0</v>
      </c>
      <c r="B35" s="49">
        <f t="shared" si="0"/>
        <v>46096</v>
      </c>
      <c r="C35" s="66">
        <f>+'VDF A'!C35</f>
        <v>30</v>
      </c>
      <c r="D35" s="67">
        <f t="shared" si="4"/>
        <v>0.1</v>
      </c>
      <c r="E35" s="77">
        <f t="shared" si="1"/>
        <v>0.36</v>
      </c>
      <c r="F35" s="69">
        <f t="shared" si="5"/>
        <v>3444810</v>
      </c>
      <c r="G35" s="51">
        <f t="shared" si="2"/>
        <v>107746889.66666669</v>
      </c>
      <c r="H35" s="49">
        <f>'VDF A'!H35</f>
        <v>46096</v>
      </c>
      <c r="I35" s="70">
        <f t="shared" si="27"/>
        <v>0</v>
      </c>
      <c r="J35" s="60">
        <f t="shared" si="20"/>
        <v>0</v>
      </c>
      <c r="K35" s="71">
        <f t="shared" si="6"/>
        <v>0</v>
      </c>
      <c r="L35" s="151">
        <f t="shared" si="3"/>
        <v>114827000</v>
      </c>
      <c r="P35" s="86"/>
      <c r="AD35" s="65">
        <f>+'VDF A'!A35-'VDF A'!AU35</f>
        <v>0</v>
      </c>
      <c r="AF35" s="60">
        <f t="shared" si="7"/>
        <v>0</v>
      </c>
      <c r="AI35" s="74">
        <f t="shared" si="15"/>
        <v>0</v>
      </c>
      <c r="AJ35" s="75">
        <f t="shared" si="17"/>
        <v>0</v>
      </c>
      <c r="AK35" s="75">
        <f t="shared" si="29"/>
        <v>0</v>
      </c>
      <c r="AL35" s="75">
        <f t="shared" si="28"/>
        <v>0</v>
      </c>
      <c r="AM35" s="75">
        <f t="shared" si="8"/>
        <v>0</v>
      </c>
      <c r="AN35" s="76">
        <f t="shared" si="9"/>
        <v>0</v>
      </c>
      <c r="AO35" s="37"/>
      <c r="AQ35" s="60">
        <f t="shared" si="10"/>
        <v>0</v>
      </c>
      <c r="AR35" s="60">
        <f t="shared" si="11"/>
        <v>0</v>
      </c>
      <c r="AT35" s="74">
        <f t="shared" si="24"/>
        <v>0</v>
      </c>
      <c r="AU35" s="75">
        <f t="shared" si="30"/>
        <v>0</v>
      </c>
      <c r="AV35" s="75">
        <f t="shared" si="25"/>
        <v>0</v>
      </c>
      <c r="AW35" s="75">
        <f t="shared" si="26"/>
        <v>0</v>
      </c>
      <c r="AX35" s="75">
        <f t="shared" si="13"/>
        <v>0</v>
      </c>
      <c r="AY35" s="76">
        <f t="shared" si="14"/>
        <v>0</v>
      </c>
    </row>
    <row r="36" spans="1:51" x14ac:dyDescent="0.35">
      <c r="A36" s="65">
        <f>+'VDF A'!A36-'VDF A'!K36</f>
        <v>0</v>
      </c>
      <c r="B36" s="49">
        <f t="shared" si="0"/>
        <v>46127</v>
      </c>
      <c r="C36" s="66">
        <f>+'VDF A'!C36</f>
        <v>30</v>
      </c>
      <c r="D36" s="67">
        <f t="shared" si="4"/>
        <v>0.1</v>
      </c>
      <c r="E36" s="77">
        <f t="shared" si="1"/>
        <v>0.36</v>
      </c>
      <c r="F36" s="69">
        <f t="shared" si="5"/>
        <v>3444810</v>
      </c>
      <c r="G36" s="51">
        <f t="shared" si="2"/>
        <v>111191699.66666669</v>
      </c>
      <c r="H36" s="49">
        <f>'VDF A'!H36</f>
        <v>46127</v>
      </c>
      <c r="I36" s="70">
        <f t="shared" si="27"/>
        <v>0</v>
      </c>
      <c r="J36" s="60">
        <f t="shared" si="20"/>
        <v>0</v>
      </c>
      <c r="K36" s="71">
        <f t="shared" si="6"/>
        <v>0</v>
      </c>
      <c r="L36" s="151">
        <f t="shared" si="3"/>
        <v>114827000</v>
      </c>
      <c r="N36" s="90"/>
      <c r="O36" s="90"/>
      <c r="P36" s="90"/>
      <c r="AD36" s="65">
        <f>+'VDF A'!A36-'VDF A'!AU36</f>
        <v>0</v>
      </c>
      <c r="AF36" s="60">
        <f t="shared" si="7"/>
        <v>0</v>
      </c>
      <c r="AI36" s="74">
        <f t="shared" si="15"/>
        <v>0</v>
      </c>
      <c r="AJ36" s="75">
        <f t="shared" si="17"/>
        <v>0</v>
      </c>
      <c r="AK36" s="75">
        <f t="shared" si="29"/>
        <v>0</v>
      </c>
      <c r="AL36" s="75">
        <f t="shared" si="28"/>
        <v>0</v>
      </c>
      <c r="AM36" s="75">
        <f t="shared" si="8"/>
        <v>0</v>
      </c>
      <c r="AN36" s="76">
        <f t="shared" si="9"/>
        <v>0</v>
      </c>
      <c r="AO36" s="37"/>
      <c r="AQ36" s="60">
        <f t="shared" si="10"/>
        <v>0</v>
      </c>
      <c r="AR36" s="60">
        <f t="shared" si="11"/>
        <v>0</v>
      </c>
      <c r="AT36" s="74">
        <f t="shared" si="24"/>
        <v>0</v>
      </c>
      <c r="AU36" s="75">
        <f t="shared" si="30"/>
        <v>0</v>
      </c>
      <c r="AV36" s="75">
        <f t="shared" si="25"/>
        <v>0</v>
      </c>
      <c r="AW36" s="75">
        <f t="shared" si="26"/>
        <v>0</v>
      </c>
      <c r="AX36" s="75">
        <f t="shared" si="13"/>
        <v>0</v>
      </c>
      <c r="AY36" s="76">
        <f t="shared" si="14"/>
        <v>0</v>
      </c>
    </row>
    <row r="37" spans="1:51" x14ac:dyDescent="0.35">
      <c r="A37" s="65">
        <f>+'VDF A'!A37-'VDF A'!K37</f>
        <v>0</v>
      </c>
      <c r="B37" s="49">
        <f t="shared" si="0"/>
        <v>46157</v>
      </c>
      <c r="C37" s="66">
        <f>+'VDF A'!C37</f>
        <v>30</v>
      </c>
      <c r="D37" s="67">
        <f t="shared" si="4"/>
        <v>0.1</v>
      </c>
      <c r="E37" s="77">
        <f t="shared" si="1"/>
        <v>0.36</v>
      </c>
      <c r="F37" s="69">
        <f t="shared" si="5"/>
        <v>3444810</v>
      </c>
      <c r="G37" s="51">
        <f t="shared" si="2"/>
        <v>114636509.66666669</v>
      </c>
      <c r="H37" s="49">
        <f>'VDF A'!H37</f>
        <v>46157</v>
      </c>
      <c r="I37" s="70">
        <f t="shared" si="27"/>
        <v>0</v>
      </c>
      <c r="J37" s="60">
        <f t="shared" si="20"/>
        <v>0</v>
      </c>
      <c r="K37" s="71">
        <f t="shared" si="6"/>
        <v>0</v>
      </c>
      <c r="L37" s="151">
        <f t="shared" si="3"/>
        <v>114827000</v>
      </c>
      <c r="N37" s="90"/>
      <c r="O37" s="90"/>
      <c r="P37" s="90"/>
      <c r="AD37" s="65">
        <f>+'VDF A'!A37-'VDF A'!AU37</f>
        <v>0</v>
      </c>
      <c r="AF37" s="60">
        <f t="shared" si="7"/>
        <v>0</v>
      </c>
      <c r="AI37" s="74">
        <f t="shared" si="15"/>
        <v>0</v>
      </c>
      <c r="AJ37" s="75">
        <f t="shared" si="17"/>
        <v>0</v>
      </c>
      <c r="AK37" s="75">
        <f t="shared" si="29"/>
        <v>0</v>
      </c>
      <c r="AL37" s="75">
        <f t="shared" si="28"/>
        <v>0</v>
      </c>
      <c r="AM37" s="75">
        <f t="shared" si="8"/>
        <v>0</v>
      </c>
      <c r="AN37" s="76">
        <f t="shared" si="9"/>
        <v>0</v>
      </c>
      <c r="AO37" s="37"/>
      <c r="AQ37" s="60">
        <f t="shared" si="10"/>
        <v>0</v>
      </c>
      <c r="AR37" s="60">
        <f t="shared" si="11"/>
        <v>0</v>
      </c>
      <c r="AT37" s="74">
        <f t="shared" si="24"/>
        <v>0</v>
      </c>
      <c r="AU37" s="75">
        <f t="shared" si="30"/>
        <v>0</v>
      </c>
      <c r="AV37" s="75">
        <f t="shared" si="25"/>
        <v>0</v>
      </c>
      <c r="AW37" s="75">
        <f t="shared" si="26"/>
        <v>0</v>
      </c>
      <c r="AX37" s="75">
        <f t="shared" si="13"/>
        <v>0</v>
      </c>
      <c r="AY37" s="76">
        <f t="shared" si="14"/>
        <v>0</v>
      </c>
    </row>
    <row r="38" spans="1:51" x14ac:dyDescent="0.35">
      <c r="A38" s="65">
        <f>+'VDF A'!A38-'VDF A'!K38</f>
        <v>0</v>
      </c>
      <c r="B38" s="49">
        <f t="shared" si="0"/>
        <v>46188</v>
      </c>
      <c r="C38" s="66">
        <f>+'VDF A'!C38</f>
        <v>30</v>
      </c>
      <c r="D38" s="67">
        <f t="shared" si="4"/>
        <v>0.1</v>
      </c>
      <c r="E38" s="77">
        <f t="shared" si="1"/>
        <v>0.36</v>
      </c>
      <c r="F38" s="69">
        <f t="shared" si="5"/>
        <v>3444810</v>
      </c>
      <c r="G38" s="51">
        <f t="shared" si="2"/>
        <v>118081319.66666669</v>
      </c>
      <c r="H38" s="49">
        <f>'VDF A'!H38</f>
        <v>46188</v>
      </c>
      <c r="I38" s="70">
        <f t="shared" si="27"/>
        <v>0</v>
      </c>
      <c r="J38" s="60">
        <f t="shared" si="20"/>
        <v>0</v>
      </c>
      <c r="K38" s="71">
        <f t="shared" si="6"/>
        <v>0</v>
      </c>
      <c r="L38" s="151">
        <f t="shared" si="3"/>
        <v>114827000</v>
      </c>
      <c r="N38" s="90"/>
      <c r="O38" s="90"/>
      <c r="P38" s="90"/>
      <c r="AD38" s="65">
        <f>+'VDF A'!A38-'VDF A'!AU38</f>
        <v>0</v>
      </c>
      <c r="AF38" s="60">
        <f t="shared" si="7"/>
        <v>0</v>
      </c>
      <c r="AI38" s="74">
        <f t="shared" si="15"/>
        <v>0</v>
      </c>
      <c r="AJ38" s="75">
        <f t="shared" si="17"/>
        <v>0</v>
      </c>
      <c r="AK38" s="75">
        <f t="shared" si="29"/>
        <v>0</v>
      </c>
      <c r="AL38" s="75">
        <f t="shared" si="28"/>
        <v>0</v>
      </c>
      <c r="AM38" s="75">
        <f t="shared" si="8"/>
        <v>0</v>
      </c>
      <c r="AN38" s="76">
        <f t="shared" si="9"/>
        <v>0</v>
      </c>
      <c r="AO38" s="37"/>
      <c r="AQ38" s="60">
        <f t="shared" si="10"/>
        <v>0</v>
      </c>
      <c r="AR38" s="60">
        <f t="shared" si="11"/>
        <v>0</v>
      </c>
      <c r="AT38" s="74">
        <f t="shared" si="24"/>
        <v>0</v>
      </c>
      <c r="AU38" s="75">
        <f t="shared" si="30"/>
        <v>0</v>
      </c>
      <c r="AV38" s="75">
        <f t="shared" si="25"/>
        <v>0</v>
      </c>
      <c r="AW38" s="75">
        <f t="shared" si="26"/>
        <v>0</v>
      </c>
      <c r="AX38" s="75">
        <f t="shared" si="13"/>
        <v>0</v>
      </c>
      <c r="AY38" s="76">
        <f t="shared" si="14"/>
        <v>0</v>
      </c>
    </row>
    <row r="39" spans="1:51" x14ac:dyDescent="0.35">
      <c r="A39" s="65">
        <f>+'VDF A'!A39-'VDF A'!K39</f>
        <v>0</v>
      </c>
      <c r="B39" s="49">
        <f t="shared" si="0"/>
        <v>46218</v>
      </c>
      <c r="C39" s="66">
        <f>+'VDF A'!C39</f>
        <v>30</v>
      </c>
      <c r="D39" s="67">
        <f t="shared" si="4"/>
        <v>0.1</v>
      </c>
      <c r="E39" s="77">
        <f t="shared" si="1"/>
        <v>0.36</v>
      </c>
      <c r="F39" s="69">
        <f t="shared" si="5"/>
        <v>3444810</v>
      </c>
      <c r="G39" s="51">
        <f t="shared" si="2"/>
        <v>121526129.66666669</v>
      </c>
      <c r="H39" s="49">
        <f>'VDF A'!H39</f>
        <v>46218</v>
      </c>
      <c r="I39" s="70">
        <f t="shared" si="27"/>
        <v>0</v>
      </c>
      <c r="J39" s="60">
        <f t="shared" si="20"/>
        <v>0</v>
      </c>
      <c r="K39" s="71">
        <f t="shared" si="6"/>
        <v>0</v>
      </c>
      <c r="L39" s="151">
        <f t="shared" si="3"/>
        <v>114827000</v>
      </c>
      <c r="N39" s="90"/>
      <c r="O39" s="90"/>
      <c r="P39" s="90"/>
      <c r="AD39" s="65">
        <f>+'VDF A'!A39-'VDF A'!AU39</f>
        <v>0</v>
      </c>
      <c r="AF39" s="60">
        <f t="shared" si="7"/>
        <v>0</v>
      </c>
      <c r="AI39" s="74">
        <f t="shared" si="15"/>
        <v>0</v>
      </c>
      <c r="AJ39" s="75">
        <f t="shared" si="17"/>
        <v>0</v>
      </c>
      <c r="AK39" s="75">
        <f t="shared" si="29"/>
        <v>0</v>
      </c>
      <c r="AL39" s="75">
        <f t="shared" si="28"/>
        <v>0</v>
      </c>
      <c r="AM39" s="75">
        <f t="shared" si="8"/>
        <v>0</v>
      </c>
      <c r="AN39" s="76">
        <f t="shared" si="9"/>
        <v>0</v>
      </c>
      <c r="AO39" s="37"/>
      <c r="AQ39" s="60">
        <f t="shared" si="10"/>
        <v>0</v>
      </c>
      <c r="AR39" s="60">
        <f t="shared" si="11"/>
        <v>0</v>
      </c>
      <c r="AT39" s="74">
        <f t="shared" si="24"/>
        <v>0</v>
      </c>
      <c r="AU39" s="75">
        <f t="shared" si="30"/>
        <v>0</v>
      </c>
      <c r="AV39" s="75">
        <f t="shared" si="25"/>
        <v>0</v>
      </c>
      <c r="AW39" s="75">
        <f t="shared" si="26"/>
        <v>0</v>
      </c>
      <c r="AX39" s="75">
        <f t="shared" si="13"/>
        <v>0</v>
      </c>
      <c r="AY39" s="76">
        <f t="shared" si="14"/>
        <v>0</v>
      </c>
    </row>
    <row r="40" spans="1:51" x14ac:dyDescent="0.35">
      <c r="A40" s="65">
        <f>+'VDF A'!A40-'VDF A'!K40</f>
        <v>0</v>
      </c>
      <c r="B40" s="49">
        <f t="shared" si="0"/>
        <v>46249</v>
      </c>
      <c r="C40" s="66">
        <f>+'VDF A'!C40</f>
        <v>30</v>
      </c>
      <c r="D40" s="67">
        <f t="shared" si="4"/>
        <v>0.1</v>
      </c>
      <c r="E40" s="77">
        <f t="shared" si="1"/>
        <v>0.36</v>
      </c>
      <c r="F40" s="69">
        <f t="shared" si="5"/>
        <v>3444810</v>
      </c>
      <c r="G40" s="51">
        <f t="shared" si="2"/>
        <v>124970939.66666669</v>
      </c>
      <c r="H40" s="49">
        <f>'VDF A'!H40</f>
        <v>46249</v>
      </c>
      <c r="I40" s="70">
        <f t="shared" si="27"/>
        <v>0</v>
      </c>
      <c r="J40" s="60">
        <f t="shared" si="20"/>
        <v>0</v>
      </c>
      <c r="K40" s="71">
        <f t="shared" si="6"/>
        <v>0</v>
      </c>
      <c r="L40" s="151">
        <f t="shared" si="3"/>
        <v>114827000</v>
      </c>
      <c r="N40" s="90"/>
      <c r="O40" s="90"/>
      <c r="P40" s="90"/>
      <c r="AD40" s="65">
        <f>+'VDF A'!A40-'VDF A'!AU40</f>
        <v>0</v>
      </c>
      <c r="AF40" s="60">
        <f t="shared" si="7"/>
        <v>0</v>
      </c>
      <c r="AI40" s="74">
        <f t="shared" si="15"/>
        <v>0</v>
      </c>
      <c r="AJ40" s="75">
        <f t="shared" si="17"/>
        <v>0</v>
      </c>
      <c r="AK40" s="75">
        <f t="shared" si="29"/>
        <v>0</v>
      </c>
      <c r="AL40" s="75">
        <f t="shared" si="28"/>
        <v>0</v>
      </c>
      <c r="AM40" s="75">
        <f t="shared" si="8"/>
        <v>0</v>
      </c>
      <c r="AN40" s="76">
        <f t="shared" si="9"/>
        <v>0</v>
      </c>
      <c r="AO40" s="37"/>
      <c r="AQ40" s="60">
        <f t="shared" si="10"/>
        <v>0</v>
      </c>
      <c r="AR40" s="60">
        <f t="shared" si="11"/>
        <v>0</v>
      </c>
      <c r="AT40" s="74">
        <f t="shared" si="24"/>
        <v>0</v>
      </c>
      <c r="AU40" s="75">
        <f t="shared" si="30"/>
        <v>0</v>
      </c>
      <c r="AV40" s="75">
        <f t="shared" si="25"/>
        <v>0</v>
      </c>
      <c r="AW40" s="75">
        <f t="shared" si="26"/>
        <v>0</v>
      </c>
      <c r="AX40" s="75">
        <f t="shared" si="13"/>
        <v>0</v>
      </c>
      <c r="AY40" s="76">
        <f t="shared" si="14"/>
        <v>0</v>
      </c>
    </row>
    <row r="41" spans="1:51" x14ac:dyDescent="0.35">
      <c r="A41" s="65">
        <f>+'VDF A'!A41-'VDF A'!K41</f>
        <v>0</v>
      </c>
      <c r="B41" s="49">
        <f t="shared" si="0"/>
        <v>46280</v>
      </c>
      <c r="C41" s="66">
        <f>+'VDF A'!C41</f>
        <v>30</v>
      </c>
      <c r="D41" s="67">
        <f t="shared" si="4"/>
        <v>0.1</v>
      </c>
      <c r="E41" s="77">
        <f t="shared" si="1"/>
        <v>0.36</v>
      </c>
      <c r="F41" s="69">
        <f t="shared" si="5"/>
        <v>3444810</v>
      </c>
      <c r="G41" s="51">
        <f t="shared" si="2"/>
        <v>128415749.66666669</v>
      </c>
      <c r="H41" s="49">
        <f>'VDF A'!H41</f>
        <v>46280</v>
      </c>
      <c r="I41" s="70">
        <f t="shared" si="27"/>
        <v>0</v>
      </c>
      <c r="J41" s="60">
        <f t="shared" si="20"/>
        <v>0</v>
      </c>
      <c r="K41" s="71">
        <f t="shared" si="6"/>
        <v>0</v>
      </c>
      <c r="L41" s="151">
        <f t="shared" si="3"/>
        <v>114827000</v>
      </c>
      <c r="N41" s="90"/>
      <c r="O41" s="90"/>
      <c r="P41" s="90"/>
      <c r="AD41" s="65">
        <f>+'VDF A'!A41-'VDF A'!AU41</f>
        <v>0</v>
      </c>
      <c r="AF41" s="60">
        <f t="shared" si="7"/>
        <v>0</v>
      </c>
      <c r="AI41" s="74">
        <f t="shared" si="15"/>
        <v>0</v>
      </c>
      <c r="AJ41" s="75">
        <f t="shared" si="17"/>
        <v>0</v>
      </c>
      <c r="AK41" s="75">
        <f t="shared" si="29"/>
        <v>0</v>
      </c>
      <c r="AL41" s="75">
        <f t="shared" si="28"/>
        <v>0</v>
      </c>
      <c r="AM41" s="75">
        <f t="shared" si="8"/>
        <v>0</v>
      </c>
      <c r="AN41" s="76">
        <f t="shared" si="9"/>
        <v>0</v>
      </c>
      <c r="AO41" s="37"/>
      <c r="AQ41" s="60">
        <f t="shared" si="10"/>
        <v>0</v>
      </c>
      <c r="AR41" s="60">
        <f t="shared" si="11"/>
        <v>0</v>
      </c>
      <c r="AT41" s="74">
        <f t="shared" si="24"/>
        <v>0</v>
      </c>
      <c r="AU41" s="75">
        <f t="shared" si="30"/>
        <v>0</v>
      </c>
      <c r="AV41" s="75">
        <f t="shared" si="25"/>
        <v>0</v>
      </c>
      <c r="AW41" s="75">
        <f t="shared" si="26"/>
        <v>0</v>
      </c>
      <c r="AX41" s="75">
        <f t="shared" si="13"/>
        <v>0</v>
      </c>
      <c r="AY41" s="76">
        <f t="shared" si="14"/>
        <v>0</v>
      </c>
    </row>
    <row r="42" spans="1:51" x14ac:dyDescent="0.35">
      <c r="A42" s="65">
        <f>+'VDF A'!A42-'VDF A'!K42</f>
        <v>0</v>
      </c>
      <c r="B42" s="49">
        <f t="shared" si="0"/>
        <v>46310</v>
      </c>
      <c r="C42" s="66">
        <f>+'VDF A'!C42</f>
        <v>30</v>
      </c>
      <c r="D42" s="67">
        <f t="shared" si="4"/>
        <v>0.1</v>
      </c>
      <c r="E42" s="77">
        <f t="shared" si="1"/>
        <v>0.36</v>
      </c>
      <c r="F42" s="69">
        <f t="shared" si="5"/>
        <v>3444810</v>
      </c>
      <c r="G42" s="51">
        <f t="shared" si="2"/>
        <v>131860559.66666669</v>
      </c>
      <c r="H42" s="49">
        <f>'VDF A'!H42</f>
        <v>46310</v>
      </c>
      <c r="I42" s="70">
        <f t="shared" si="27"/>
        <v>0</v>
      </c>
      <c r="J42" s="60">
        <f t="shared" si="20"/>
        <v>0</v>
      </c>
      <c r="K42" s="71">
        <f t="shared" si="6"/>
        <v>0</v>
      </c>
      <c r="L42" s="151">
        <f t="shared" si="3"/>
        <v>114827000</v>
      </c>
      <c r="N42" s="90"/>
      <c r="O42" s="90"/>
      <c r="P42" s="90"/>
      <c r="AD42" s="65">
        <f>+'VDF A'!A42-'VDF A'!AU42</f>
        <v>0</v>
      </c>
      <c r="AF42" s="60">
        <f t="shared" si="7"/>
        <v>0</v>
      </c>
      <c r="AI42" s="74">
        <f t="shared" si="15"/>
        <v>0</v>
      </c>
      <c r="AJ42" s="75">
        <f t="shared" ref="AJ42:AJ53" si="31">+((MAX($I$8,MIN($I$9,$O$9+$I$10/10000))*AM41)/360)*$C42</f>
        <v>0</v>
      </c>
      <c r="AK42" s="75">
        <f t="shared" si="29"/>
        <v>0</v>
      </c>
      <c r="AL42" s="75">
        <f t="shared" si="28"/>
        <v>0</v>
      </c>
      <c r="AM42" s="75">
        <f t="shared" si="8"/>
        <v>0</v>
      </c>
      <c r="AN42" s="76">
        <f t="shared" si="9"/>
        <v>0</v>
      </c>
      <c r="AO42" s="37"/>
      <c r="AQ42" s="60">
        <f t="shared" si="10"/>
        <v>0</v>
      </c>
      <c r="AR42" s="60">
        <f t="shared" si="11"/>
        <v>0</v>
      </c>
      <c r="AT42" s="74">
        <f t="shared" si="24"/>
        <v>0</v>
      </c>
      <c r="AU42" s="75">
        <f t="shared" si="30"/>
        <v>0</v>
      </c>
      <c r="AV42" s="75">
        <f t="shared" si="25"/>
        <v>0</v>
      </c>
      <c r="AW42" s="75">
        <f t="shared" si="26"/>
        <v>0</v>
      </c>
      <c r="AX42" s="75">
        <f t="shared" si="13"/>
        <v>0</v>
      </c>
      <c r="AY42" s="76">
        <f t="shared" si="14"/>
        <v>0</v>
      </c>
    </row>
    <row r="43" spans="1:51" x14ac:dyDescent="0.35">
      <c r="A43" s="65">
        <f>+'VDF A'!A43-'VDF A'!K43</f>
        <v>0</v>
      </c>
      <c r="B43" s="49">
        <f t="shared" si="0"/>
        <v>46341</v>
      </c>
      <c r="C43" s="66">
        <f>+'VDF A'!C43</f>
        <v>30</v>
      </c>
      <c r="D43" s="67">
        <f t="shared" si="4"/>
        <v>0.1</v>
      </c>
      <c r="E43" s="77">
        <f t="shared" si="1"/>
        <v>0.36</v>
      </c>
      <c r="F43" s="69">
        <f t="shared" si="5"/>
        <v>3444810</v>
      </c>
      <c r="G43" s="51">
        <f t="shared" si="2"/>
        <v>135305369.66666669</v>
      </c>
      <c r="H43" s="49">
        <f>'VDF A'!H43</f>
        <v>46341</v>
      </c>
      <c r="I43" s="70">
        <f t="shared" si="27"/>
        <v>0</v>
      </c>
      <c r="J43" s="60">
        <f t="shared" si="20"/>
        <v>0</v>
      </c>
      <c r="K43" s="71">
        <f t="shared" si="6"/>
        <v>0</v>
      </c>
      <c r="L43" s="151">
        <f t="shared" si="3"/>
        <v>114827000</v>
      </c>
      <c r="N43" s="90"/>
      <c r="O43" s="90"/>
      <c r="P43" s="90"/>
      <c r="AD43" s="65">
        <f>+'VDF A'!A43-'VDF A'!AU43</f>
        <v>0</v>
      </c>
      <c r="AF43" s="60">
        <f t="shared" si="7"/>
        <v>0</v>
      </c>
      <c r="AI43" s="74">
        <f t="shared" si="15"/>
        <v>0</v>
      </c>
      <c r="AJ43" s="75">
        <f t="shared" si="31"/>
        <v>0</v>
      </c>
      <c r="AK43" s="75">
        <f t="shared" si="29"/>
        <v>0</v>
      </c>
      <c r="AL43" s="75">
        <f t="shared" si="28"/>
        <v>0</v>
      </c>
      <c r="AM43" s="75">
        <f t="shared" si="8"/>
        <v>0</v>
      </c>
      <c r="AN43" s="76">
        <f t="shared" si="9"/>
        <v>0</v>
      </c>
      <c r="AO43" s="37"/>
      <c r="AQ43" s="60">
        <f t="shared" si="10"/>
        <v>0</v>
      </c>
      <c r="AR43" s="60">
        <f t="shared" si="11"/>
        <v>0</v>
      </c>
      <c r="AT43" s="74">
        <f t="shared" si="24"/>
        <v>0</v>
      </c>
      <c r="AU43" s="75">
        <f t="shared" si="30"/>
        <v>0</v>
      </c>
      <c r="AV43" s="75">
        <f t="shared" si="25"/>
        <v>0</v>
      </c>
      <c r="AW43" s="75">
        <f t="shared" si="26"/>
        <v>0</v>
      </c>
      <c r="AX43" s="75">
        <f t="shared" si="13"/>
        <v>0</v>
      </c>
      <c r="AY43" s="76">
        <f t="shared" si="14"/>
        <v>0</v>
      </c>
    </row>
    <row r="44" spans="1:51" x14ac:dyDescent="0.35">
      <c r="A44" s="65">
        <f>+'VDF A'!A44-'VDF A'!K44</f>
        <v>0</v>
      </c>
      <c r="B44" s="49">
        <f t="shared" si="0"/>
        <v>46371</v>
      </c>
      <c r="C44" s="66">
        <f>+'VDF A'!C44</f>
        <v>30</v>
      </c>
      <c r="D44" s="67">
        <f t="shared" si="4"/>
        <v>0.1</v>
      </c>
      <c r="E44" s="77">
        <f t="shared" si="1"/>
        <v>0.36</v>
      </c>
      <c r="F44" s="69">
        <f t="shared" si="5"/>
        <v>3444810</v>
      </c>
      <c r="G44" s="51">
        <f t="shared" si="2"/>
        <v>138750179.66666669</v>
      </c>
      <c r="H44" s="49">
        <f>'VDF A'!H44</f>
        <v>46371</v>
      </c>
      <c r="I44" s="70">
        <f t="shared" si="27"/>
        <v>0</v>
      </c>
      <c r="J44" s="60">
        <f t="shared" si="20"/>
        <v>0</v>
      </c>
      <c r="K44" s="71">
        <f t="shared" si="6"/>
        <v>0</v>
      </c>
      <c r="L44" s="151">
        <f t="shared" si="3"/>
        <v>114827000</v>
      </c>
      <c r="N44" s="90"/>
      <c r="O44" s="90"/>
      <c r="P44" s="90"/>
      <c r="AD44" s="65">
        <f>+'VDF A'!A44-'VDF A'!AU44</f>
        <v>0</v>
      </c>
      <c r="AF44" s="60">
        <f t="shared" si="7"/>
        <v>0</v>
      </c>
      <c r="AI44" s="74">
        <f t="shared" si="15"/>
        <v>0</v>
      </c>
      <c r="AJ44" s="75">
        <f t="shared" si="31"/>
        <v>0</v>
      </c>
      <c r="AK44" s="75">
        <f t="shared" si="29"/>
        <v>0</v>
      </c>
      <c r="AL44" s="75">
        <f t="shared" si="28"/>
        <v>0</v>
      </c>
      <c r="AM44" s="75">
        <f t="shared" si="8"/>
        <v>0</v>
      </c>
      <c r="AN44" s="76">
        <f t="shared" si="9"/>
        <v>0</v>
      </c>
      <c r="AO44" s="37"/>
      <c r="AQ44" s="60">
        <f t="shared" si="10"/>
        <v>0</v>
      </c>
      <c r="AR44" s="60">
        <f t="shared" si="11"/>
        <v>0</v>
      </c>
      <c r="AT44" s="74">
        <f t="shared" si="24"/>
        <v>0</v>
      </c>
      <c r="AU44" s="75">
        <f t="shared" si="30"/>
        <v>0</v>
      </c>
      <c r="AV44" s="75">
        <f t="shared" si="25"/>
        <v>0</v>
      </c>
      <c r="AW44" s="75">
        <f t="shared" si="26"/>
        <v>0</v>
      </c>
      <c r="AX44" s="75">
        <f t="shared" si="13"/>
        <v>0</v>
      </c>
      <c r="AY44" s="76">
        <f t="shared" si="14"/>
        <v>0</v>
      </c>
    </row>
    <row r="45" spans="1:51" x14ac:dyDescent="0.35">
      <c r="A45" s="65">
        <f>+'VDF A'!A45-'VDF A'!K45</f>
        <v>0</v>
      </c>
      <c r="B45" s="49">
        <f t="shared" si="0"/>
        <v>46402</v>
      </c>
      <c r="C45" s="66">
        <f>+'VDF A'!C45</f>
        <v>30</v>
      </c>
      <c r="D45" s="67">
        <f t="shared" si="4"/>
        <v>0.1</v>
      </c>
      <c r="E45" s="77">
        <f t="shared" si="1"/>
        <v>0.36</v>
      </c>
      <c r="F45" s="69">
        <f t="shared" si="5"/>
        <v>3444810</v>
      </c>
      <c r="G45" s="51">
        <f t="shared" si="2"/>
        <v>142194989.66666669</v>
      </c>
      <c r="H45" s="49">
        <f>'VDF A'!H45</f>
        <v>46402</v>
      </c>
      <c r="I45" s="70">
        <f t="shared" si="27"/>
        <v>0</v>
      </c>
      <c r="J45" s="60">
        <f t="shared" si="20"/>
        <v>0</v>
      </c>
      <c r="K45" s="71">
        <f t="shared" si="6"/>
        <v>0</v>
      </c>
      <c r="L45" s="151">
        <f t="shared" si="3"/>
        <v>114827000</v>
      </c>
      <c r="N45" s="90"/>
      <c r="O45" s="90"/>
      <c r="P45" s="90"/>
      <c r="AD45" s="65">
        <f>+'VDF A'!A45-'VDF A'!AU45</f>
        <v>0</v>
      </c>
      <c r="AF45" s="60">
        <f t="shared" si="7"/>
        <v>0</v>
      </c>
      <c r="AI45" s="74">
        <f t="shared" si="15"/>
        <v>0</v>
      </c>
      <c r="AJ45" s="75">
        <f t="shared" si="31"/>
        <v>0</v>
      </c>
      <c r="AK45" s="75">
        <f t="shared" si="29"/>
        <v>0</v>
      </c>
      <c r="AL45" s="75">
        <f t="shared" si="28"/>
        <v>0</v>
      </c>
      <c r="AM45" s="75">
        <f t="shared" si="8"/>
        <v>0</v>
      </c>
      <c r="AN45" s="76">
        <f t="shared" si="9"/>
        <v>0</v>
      </c>
      <c r="AO45" s="37"/>
      <c r="AQ45" s="60">
        <f t="shared" si="10"/>
        <v>0</v>
      </c>
      <c r="AR45" s="60">
        <f t="shared" si="11"/>
        <v>0</v>
      </c>
      <c r="AT45" s="74">
        <f t="shared" si="24"/>
        <v>0</v>
      </c>
      <c r="AU45" s="75">
        <f t="shared" si="30"/>
        <v>0</v>
      </c>
      <c r="AV45" s="75">
        <f t="shared" si="25"/>
        <v>0</v>
      </c>
      <c r="AW45" s="75">
        <f t="shared" si="26"/>
        <v>0</v>
      </c>
      <c r="AX45" s="75">
        <f t="shared" si="13"/>
        <v>0</v>
      </c>
      <c r="AY45" s="76">
        <f t="shared" si="14"/>
        <v>0</v>
      </c>
    </row>
    <row r="46" spans="1:51" x14ac:dyDescent="0.35">
      <c r="A46" s="65">
        <f>+'VDF A'!A46-'VDF A'!K46</f>
        <v>0</v>
      </c>
      <c r="B46" s="49">
        <f t="shared" si="0"/>
        <v>46433</v>
      </c>
      <c r="C46" s="66">
        <f>+'VDF A'!C46</f>
        <v>30</v>
      </c>
      <c r="D46" s="67">
        <f t="shared" si="4"/>
        <v>0.1</v>
      </c>
      <c r="E46" s="77">
        <f t="shared" si="1"/>
        <v>0.36</v>
      </c>
      <c r="F46" s="69">
        <f t="shared" si="5"/>
        <v>3444810</v>
      </c>
      <c r="G46" s="51">
        <f t="shared" si="2"/>
        <v>145639799.66666669</v>
      </c>
      <c r="H46" s="49">
        <f>'VDF A'!H46</f>
        <v>46433</v>
      </c>
      <c r="I46" s="70">
        <f t="shared" si="27"/>
        <v>0</v>
      </c>
      <c r="J46" s="60">
        <f t="shared" si="20"/>
        <v>0</v>
      </c>
      <c r="K46" s="71">
        <f t="shared" si="6"/>
        <v>0</v>
      </c>
      <c r="L46" s="151">
        <f t="shared" si="3"/>
        <v>114827000</v>
      </c>
      <c r="N46" s="90"/>
      <c r="O46" s="90"/>
      <c r="P46" s="90"/>
      <c r="V46" s="86"/>
      <c r="AD46" s="65">
        <f>+'VDF A'!A46-'VDF A'!AU46</f>
        <v>0</v>
      </c>
      <c r="AF46" s="60">
        <f t="shared" si="7"/>
        <v>0</v>
      </c>
      <c r="AI46" s="74">
        <f t="shared" si="15"/>
        <v>0</v>
      </c>
      <c r="AJ46" s="75">
        <f t="shared" si="31"/>
        <v>0</v>
      </c>
      <c r="AK46" s="75">
        <f t="shared" si="29"/>
        <v>0</v>
      </c>
      <c r="AL46" s="75">
        <f t="shared" si="28"/>
        <v>0</v>
      </c>
      <c r="AM46" s="75">
        <f t="shared" si="8"/>
        <v>0</v>
      </c>
      <c r="AN46" s="76">
        <f t="shared" si="9"/>
        <v>0</v>
      </c>
      <c r="AO46" s="37"/>
      <c r="AQ46" s="60">
        <f t="shared" si="10"/>
        <v>0</v>
      </c>
      <c r="AR46" s="60">
        <f t="shared" si="11"/>
        <v>0</v>
      </c>
      <c r="AT46" s="74">
        <f t="shared" si="24"/>
        <v>0</v>
      </c>
      <c r="AU46" s="75">
        <f t="shared" si="30"/>
        <v>0</v>
      </c>
      <c r="AV46" s="75">
        <f t="shared" si="25"/>
        <v>0</v>
      </c>
      <c r="AW46" s="75">
        <f t="shared" si="26"/>
        <v>0</v>
      </c>
      <c r="AX46" s="75">
        <f t="shared" si="13"/>
        <v>0</v>
      </c>
      <c r="AY46" s="76">
        <f t="shared" si="14"/>
        <v>0</v>
      </c>
    </row>
    <row r="47" spans="1:51" x14ac:dyDescent="0.35">
      <c r="A47" s="65">
        <f>+'VDF A'!A47-'VDF A'!K47</f>
        <v>0</v>
      </c>
      <c r="B47" s="49">
        <f t="shared" si="0"/>
        <v>46461</v>
      </c>
      <c r="C47" s="66">
        <f>+'VDF A'!C47</f>
        <v>30</v>
      </c>
      <c r="D47" s="67">
        <f t="shared" si="4"/>
        <v>0.1</v>
      </c>
      <c r="E47" s="77">
        <f t="shared" si="1"/>
        <v>0.36</v>
      </c>
      <c r="F47" s="69">
        <f t="shared" si="5"/>
        <v>3444810</v>
      </c>
      <c r="G47" s="51">
        <f t="shared" si="2"/>
        <v>149084609.66666669</v>
      </c>
      <c r="H47" s="49">
        <f>'VDF A'!H47</f>
        <v>46461</v>
      </c>
      <c r="I47" s="70">
        <f t="shared" si="27"/>
        <v>0</v>
      </c>
      <c r="J47" s="60">
        <f t="shared" si="20"/>
        <v>0</v>
      </c>
      <c r="K47" s="71">
        <f t="shared" si="6"/>
        <v>0</v>
      </c>
      <c r="L47" s="151">
        <f t="shared" si="3"/>
        <v>114827000</v>
      </c>
      <c r="N47" s="90"/>
      <c r="O47" s="90"/>
      <c r="P47" s="90"/>
      <c r="V47" s="86"/>
      <c r="AD47" s="65">
        <f>+'VDF A'!A47-'VDF A'!AU47</f>
        <v>0</v>
      </c>
      <c r="AF47" s="60">
        <f t="shared" si="7"/>
        <v>0</v>
      </c>
      <c r="AI47" s="74">
        <f t="shared" si="15"/>
        <v>0</v>
      </c>
      <c r="AJ47" s="75">
        <f t="shared" si="31"/>
        <v>0</v>
      </c>
      <c r="AK47" s="75">
        <f t="shared" si="29"/>
        <v>0</v>
      </c>
      <c r="AL47" s="75">
        <f t="shared" si="28"/>
        <v>0</v>
      </c>
      <c r="AM47" s="75">
        <f t="shared" si="8"/>
        <v>0</v>
      </c>
      <c r="AN47" s="76">
        <f t="shared" si="9"/>
        <v>0</v>
      </c>
      <c r="AO47" s="37"/>
      <c r="AQ47" s="60">
        <f t="shared" si="10"/>
        <v>0</v>
      </c>
      <c r="AR47" s="60">
        <f t="shared" si="11"/>
        <v>0</v>
      </c>
      <c r="AT47" s="74">
        <f t="shared" si="24"/>
        <v>0</v>
      </c>
      <c r="AU47" s="75">
        <f t="shared" si="30"/>
        <v>0</v>
      </c>
      <c r="AV47" s="75">
        <f t="shared" si="25"/>
        <v>0</v>
      </c>
      <c r="AW47" s="75">
        <f t="shared" si="26"/>
        <v>0</v>
      </c>
      <c r="AX47" s="75">
        <f t="shared" si="13"/>
        <v>0</v>
      </c>
      <c r="AY47" s="76">
        <f t="shared" si="14"/>
        <v>0</v>
      </c>
    </row>
    <row r="48" spans="1:51" x14ac:dyDescent="0.35">
      <c r="A48" s="65">
        <f>+'VDF A'!A48-'VDF A'!K48</f>
        <v>0</v>
      </c>
      <c r="B48" s="49">
        <f t="shared" si="0"/>
        <v>46492</v>
      </c>
      <c r="C48" s="66">
        <f>+'VDF A'!C48</f>
        <v>30</v>
      </c>
      <c r="D48" s="67">
        <f t="shared" si="4"/>
        <v>0.1</v>
      </c>
      <c r="E48" s="77">
        <f t="shared" si="1"/>
        <v>0.36</v>
      </c>
      <c r="F48" s="69">
        <f t="shared" si="5"/>
        <v>3444810</v>
      </c>
      <c r="G48" s="51">
        <f t="shared" si="2"/>
        <v>152529419.66666669</v>
      </c>
      <c r="H48" s="49">
        <f>'VDF A'!H48</f>
        <v>46492</v>
      </c>
      <c r="I48" s="70">
        <f t="shared" si="27"/>
        <v>0</v>
      </c>
      <c r="J48" s="60">
        <f t="shared" si="20"/>
        <v>0</v>
      </c>
      <c r="K48" s="71">
        <f t="shared" si="6"/>
        <v>0</v>
      </c>
      <c r="L48" s="151">
        <f t="shared" si="3"/>
        <v>114827000</v>
      </c>
      <c r="N48" s="90"/>
      <c r="O48" s="90"/>
      <c r="P48" s="90"/>
      <c r="V48" s="86"/>
      <c r="AD48" s="65">
        <f>+'VDF A'!A48-'VDF A'!AU48</f>
        <v>0</v>
      </c>
      <c r="AF48" s="60">
        <f t="shared" si="7"/>
        <v>0</v>
      </c>
      <c r="AI48" s="74">
        <f t="shared" si="15"/>
        <v>0</v>
      </c>
      <c r="AJ48" s="75">
        <f t="shared" si="31"/>
        <v>0</v>
      </c>
      <c r="AK48" s="75">
        <f t="shared" si="29"/>
        <v>0</v>
      </c>
      <c r="AL48" s="75">
        <f t="shared" si="28"/>
        <v>0</v>
      </c>
      <c r="AM48" s="75">
        <f t="shared" si="8"/>
        <v>0</v>
      </c>
      <c r="AN48" s="76">
        <f t="shared" si="9"/>
        <v>0</v>
      </c>
      <c r="AO48" s="37"/>
      <c r="AQ48" s="60">
        <f t="shared" si="10"/>
        <v>0</v>
      </c>
      <c r="AR48" s="60">
        <f t="shared" si="11"/>
        <v>0</v>
      </c>
      <c r="AT48" s="74">
        <f t="shared" si="24"/>
        <v>0</v>
      </c>
      <c r="AU48" s="75">
        <f t="shared" si="30"/>
        <v>0</v>
      </c>
      <c r="AV48" s="75">
        <f t="shared" si="25"/>
        <v>0</v>
      </c>
      <c r="AW48" s="75">
        <f t="shared" si="26"/>
        <v>0</v>
      </c>
      <c r="AX48" s="75">
        <f t="shared" si="13"/>
        <v>0</v>
      </c>
      <c r="AY48" s="76">
        <f t="shared" si="14"/>
        <v>0</v>
      </c>
    </row>
    <row r="49" spans="1:51" x14ac:dyDescent="0.35">
      <c r="A49" s="65">
        <f>+'VDF A'!A49-'VDF A'!K49</f>
        <v>0</v>
      </c>
      <c r="B49" s="49">
        <f t="shared" si="0"/>
        <v>46522</v>
      </c>
      <c r="C49" s="66">
        <f>+'VDF A'!C49</f>
        <v>30</v>
      </c>
      <c r="D49" s="67">
        <f t="shared" si="4"/>
        <v>0.1</v>
      </c>
      <c r="E49" s="77">
        <f t="shared" si="1"/>
        <v>0.36</v>
      </c>
      <c r="F49" s="69">
        <f t="shared" si="5"/>
        <v>3444810</v>
      </c>
      <c r="G49" s="51">
        <f t="shared" si="2"/>
        <v>155974229.66666669</v>
      </c>
      <c r="H49" s="49">
        <f>'VDF A'!H49</f>
        <v>46522</v>
      </c>
      <c r="I49" s="70">
        <f t="shared" si="27"/>
        <v>0</v>
      </c>
      <c r="J49" s="60">
        <f t="shared" si="20"/>
        <v>0</v>
      </c>
      <c r="K49" s="71">
        <f t="shared" si="6"/>
        <v>0</v>
      </c>
      <c r="L49" s="151">
        <f t="shared" si="3"/>
        <v>114827000</v>
      </c>
      <c r="N49" s="90"/>
      <c r="O49" s="90"/>
      <c r="P49" s="90"/>
      <c r="V49" s="86"/>
      <c r="AD49" s="65">
        <f>+'VDF A'!A49-'VDF A'!AU49</f>
        <v>0</v>
      </c>
      <c r="AE49" s="82"/>
      <c r="AF49" s="60">
        <f t="shared" si="7"/>
        <v>0</v>
      </c>
      <c r="AI49" s="74">
        <f t="shared" si="15"/>
        <v>0</v>
      </c>
      <c r="AJ49" s="75">
        <f t="shared" si="31"/>
        <v>0</v>
      </c>
      <c r="AK49" s="75">
        <f t="shared" si="29"/>
        <v>0</v>
      </c>
      <c r="AL49" s="75">
        <f t="shared" si="28"/>
        <v>0</v>
      </c>
      <c r="AM49" s="75">
        <f t="shared" si="8"/>
        <v>0</v>
      </c>
      <c r="AN49" s="76">
        <f t="shared" si="9"/>
        <v>0</v>
      </c>
      <c r="AO49" s="37"/>
      <c r="AQ49" s="60">
        <f t="shared" si="10"/>
        <v>0</v>
      </c>
      <c r="AR49" s="60">
        <f t="shared" si="11"/>
        <v>0</v>
      </c>
      <c r="AT49" s="74">
        <f t="shared" si="24"/>
        <v>0</v>
      </c>
      <c r="AU49" s="75">
        <f t="shared" si="30"/>
        <v>0</v>
      </c>
      <c r="AV49" s="75">
        <f t="shared" si="25"/>
        <v>0</v>
      </c>
      <c r="AW49" s="75">
        <f t="shared" si="26"/>
        <v>0</v>
      </c>
      <c r="AX49" s="75">
        <f t="shared" si="13"/>
        <v>0</v>
      </c>
      <c r="AY49" s="76">
        <f t="shared" si="14"/>
        <v>0</v>
      </c>
    </row>
    <row r="50" spans="1:51" x14ac:dyDescent="0.35">
      <c r="A50" s="65">
        <f>+'VDF A'!A50-'VDF A'!K50</f>
        <v>0</v>
      </c>
      <c r="B50" s="49">
        <f t="shared" si="0"/>
        <v>46553</v>
      </c>
      <c r="C50" s="66">
        <f>+'VDF A'!C50</f>
        <v>30</v>
      </c>
      <c r="D50" s="67">
        <f t="shared" si="4"/>
        <v>0.1</v>
      </c>
      <c r="E50" s="77">
        <f t="shared" si="1"/>
        <v>0.36</v>
      </c>
      <c r="F50" s="69">
        <f t="shared" si="5"/>
        <v>3444810</v>
      </c>
      <c r="G50" s="51">
        <f t="shared" si="2"/>
        <v>159419039.66666669</v>
      </c>
      <c r="H50" s="49">
        <f>'VDF A'!H50</f>
        <v>46553</v>
      </c>
      <c r="I50" s="70">
        <f t="shared" si="27"/>
        <v>0</v>
      </c>
      <c r="J50" s="60">
        <f t="shared" si="20"/>
        <v>0</v>
      </c>
      <c r="K50" s="71">
        <f t="shared" si="6"/>
        <v>0</v>
      </c>
      <c r="L50" s="151">
        <f t="shared" si="3"/>
        <v>114827000</v>
      </c>
      <c r="N50" s="90"/>
      <c r="O50" s="90"/>
      <c r="P50" s="90"/>
      <c r="V50" s="86"/>
      <c r="AD50" s="65">
        <f>+'VDF A'!A50-'VDF A'!AU50</f>
        <v>0</v>
      </c>
      <c r="AE50" s="82"/>
      <c r="AF50" s="60">
        <f t="shared" si="7"/>
        <v>0</v>
      </c>
      <c r="AI50" s="74">
        <f t="shared" si="15"/>
        <v>0</v>
      </c>
      <c r="AJ50" s="75">
        <f t="shared" si="31"/>
        <v>0</v>
      </c>
      <c r="AK50" s="75">
        <f t="shared" si="29"/>
        <v>0</v>
      </c>
      <c r="AL50" s="75">
        <f t="shared" si="28"/>
        <v>0</v>
      </c>
      <c r="AM50" s="75">
        <f t="shared" si="8"/>
        <v>0</v>
      </c>
      <c r="AN50" s="76">
        <f t="shared" si="9"/>
        <v>0</v>
      </c>
      <c r="AO50" s="37"/>
      <c r="AQ50" s="60">
        <f t="shared" ref="AQ50:AQ61" si="32">+K50</f>
        <v>0</v>
      </c>
      <c r="AR50" s="60">
        <f t="shared" ref="AR50:AR61" si="33">+AQ50</f>
        <v>0</v>
      </c>
      <c r="AT50" s="74">
        <f t="shared" ref="AT50:AT61" si="34">+AT49+AU50-AV50</f>
        <v>0</v>
      </c>
      <c r="AU50" s="75">
        <f t="shared" ref="AU50:AU61" si="35">+((MAX($I$8,MIN($I$9,$O$9+$I$10/10000))*AM49)/360)*$C50</f>
        <v>0</v>
      </c>
      <c r="AV50" s="75">
        <f t="shared" ref="AV50:AV61" si="36">MIN(AD50,AT49+AU50)</f>
        <v>0</v>
      </c>
      <c r="AW50" s="75">
        <f t="shared" ref="AW50:AW61" si="37">+IF(AX49&lt;0,0,MIN(AD50-AV50,AM49))</f>
        <v>0</v>
      </c>
      <c r="AX50" s="75">
        <f t="shared" ref="AX50:AX61" si="38">+AX49-AW50</f>
        <v>0</v>
      </c>
      <c r="AY50" s="76">
        <f t="shared" ref="AY50:AY61" si="39">+AV50+AW50</f>
        <v>0</v>
      </c>
    </row>
    <row r="51" spans="1:51" x14ac:dyDescent="0.35">
      <c r="A51" s="65">
        <f>+'VDF A'!A51-'VDF A'!K51</f>
        <v>0</v>
      </c>
      <c r="B51" s="49">
        <f t="shared" si="0"/>
        <v>46583</v>
      </c>
      <c r="C51" s="66">
        <f>+'VDF A'!C51</f>
        <v>30</v>
      </c>
      <c r="D51" s="67">
        <f t="shared" si="4"/>
        <v>0.1</v>
      </c>
      <c r="E51" s="77">
        <f t="shared" si="1"/>
        <v>0.36</v>
      </c>
      <c r="F51" s="69">
        <f t="shared" si="5"/>
        <v>3444810</v>
      </c>
      <c r="G51" s="51">
        <f t="shared" si="2"/>
        <v>162863849.66666669</v>
      </c>
      <c r="H51" s="49">
        <f>'VDF A'!H51</f>
        <v>46583</v>
      </c>
      <c r="I51" s="70">
        <f t="shared" si="27"/>
        <v>0</v>
      </c>
      <c r="J51" s="60">
        <f t="shared" si="20"/>
        <v>0</v>
      </c>
      <c r="K51" s="71">
        <f t="shared" si="6"/>
        <v>0</v>
      </c>
      <c r="L51" s="151">
        <f t="shared" si="3"/>
        <v>114827000</v>
      </c>
      <c r="M51" s="86"/>
      <c r="N51" s="90"/>
      <c r="O51" s="90"/>
      <c r="P51" s="90"/>
      <c r="V51" s="86"/>
      <c r="AD51" s="65">
        <f>+'VDF A'!A51-'VDF A'!AU51</f>
        <v>0</v>
      </c>
      <c r="AF51" s="60">
        <f t="shared" si="7"/>
        <v>0</v>
      </c>
      <c r="AI51" s="74">
        <f t="shared" si="15"/>
        <v>0</v>
      </c>
      <c r="AJ51" s="75">
        <f t="shared" si="31"/>
        <v>0</v>
      </c>
      <c r="AK51" s="75">
        <f t="shared" si="29"/>
        <v>0</v>
      </c>
      <c r="AL51" s="75">
        <f t="shared" si="28"/>
        <v>0</v>
      </c>
      <c r="AM51" s="75">
        <f t="shared" si="8"/>
        <v>0</v>
      </c>
      <c r="AN51" s="76">
        <f t="shared" si="9"/>
        <v>0</v>
      </c>
      <c r="AO51" s="37"/>
      <c r="AQ51" s="60">
        <f t="shared" si="32"/>
        <v>0</v>
      </c>
      <c r="AR51" s="60">
        <f t="shared" si="33"/>
        <v>0</v>
      </c>
      <c r="AT51" s="74">
        <f t="shared" si="34"/>
        <v>0</v>
      </c>
      <c r="AU51" s="75">
        <f t="shared" si="35"/>
        <v>0</v>
      </c>
      <c r="AV51" s="75">
        <f t="shared" si="36"/>
        <v>0</v>
      </c>
      <c r="AW51" s="75">
        <f t="shared" si="37"/>
        <v>0</v>
      </c>
      <c r="AX51" s="75">
        <f t="shared" si="38"/>
        <v>0</v>
      </c>
      <c r="AY51" s="76">
        <f t="shared" si="39"/>
        <v>0</v>
      </c>
    </row>
    <row r="52" spans="1:51" x14ac:dyDescent="0.35">
      <c r="A52" s="65">
        <f>+'VDF A'!A52-'VDF A'!K52</f>
        <v>0</v>
      </c>
      <c r="B52" s="49">
        <f t="shared" si="0"/>
        <v>46614</v>
      </c>
      <c r="C52" s="66">
        <f>+'VDF A'!C52</f>
        <v>30</v>
      </c>
      <c r="D52" s="67">
        <f t="shared" si="4"/>
        <v>0.1</v>
      </c>
      <c r="E52" s="77">
        <f t="shared" si="1"/>
        <v>0.36</v>
      </c>
      <c r="F52" s="69">
        <f t="shared" si="5"/>
        <v>3444810</v>
      </c>
      <c r="G52" s="51">
        <f t="shared" si="2"/>
        <v>166308659.66666669</v>
      </c>
      <c r="H52" s="49">
        <f>'VDF A'!H52</f>
        <v>46614</v>
      </c>
      <c r="I52" s="70">
        <f t="shared" si="27"/>
        <v>0</v>
      </c>
      <c r="J52" s="60">
        <f t="shared" si="20"/>
        <v>0</v>
      </c>
      <c r="K52" s="71">
        <f t="shared" si="6"/>
        <v>0</v>
      </c>
      <c r="L52" s="151">
        <f t="shared" si="3"/>
        <v>114827000</v>
      </c>
      <c r="M52" s="86"/>
      <c r="N52" s="90"/>
      <c r="O52" s="90"/>
      <c r="P52" s="90"/>
      <c r="V52" s="86"/>
      <c r="W52" s="86"/>
      <c r="AD52" s="65">
        <f>+'VDF A'!A52-'VDF A'!AU52</f>
        <v>0</v>
      </c>
      <c r="AF52" s="60">
        <f t="shared" si="7"/>
        <v>0</v>
      </c>
      <c r="AI52" s="74">
        <f t="shared" si="15"/>
        <v>0</v>
      </c>
      <c r="AJ52" s="75">
        <f t="shared" si="31"/>
        <v>0</v>
      </c>
      <c r="AK52" s="75">
        <f t="shared" si="29"/>
        <v>0</v>
      </c>
      <c r="AL52" s="75">
        <f t="shared" si="28"/>
        <v>0</v>
      </c>
      <c r="AM52" s="75">
        <f t="shared" si="8"/>
        <v>0</v>
      </c>
      <c r="AN52" s="76">
        <f t="shared" si="9"/>
        <v>0</v>
      </c>
      <c r="AO52" s="37"/>
      <c r="AQ52" s="60">
        <f t="shared" si="32"/>
        <v>0</v>
      </c>
      <c r="AR52" s="60">
        <f t="shared" si="33"/>
        <v>0</v>
      </c>
      <c r="AT52" s="74">
        <f t="shared" si="34"/>
        <v>0</v>
      </c>
      <c r="AU52" s="75">
        <f t="shared" si="35"/>
        <v>0</v>
      </c>
      <c r="AV52" s="75">
        <f t="shared" si="36"/>
        <v>0</v>
      </c>
      <c r="AW52" s="75">
        <f t="shared" si="37"/>
        <v>0</v>
      </c>
      <c r="AX52" s="75">
        <f t="shared" si="38"/>
        <v>0</v>
      </c>
      <c r="AY52" s="76">
        <f t="shared" si="39"/>
        <v>0</v>
      </c>
    </row>
    <row r="53" spans="1:51" x14ac:dyDescent="0.35">
      <c r="A53" s="65">
        <f>+'VDF A'!A53-'VDF A'!K53</f>
        <v>0</v>
      </c>
      <c r="B53" s="49">
        <f t="shared" si="0"/>
        <v>46645</v>
      </c>
      <c r="C53" s="66">
        <f>+'VDF A'!C53</f>
        <v>30</v>
      </c>
      <c r="D53" s="67">
        <f t="shared" si="4"/>
        <v>0.1</v>
      </c>
      <c r="E53" s="77">
        <f t="shared" si="1"/>
        <v>0.36</v>
      </c>
      <c r="F53" s="69">
        <f t="shared" si="5"/>
        <v>3444810</v>
      </c>
      <c r="G53" s="51">
        <f t="shared" si="2"/>
        <v>169753469.66666669</v>
      </c>
      <c r="H53" s="49">
        <f>'VDF A'!H53</f>
        <v>46645</v>
      </c>
      <c r="I53" s="70">
        <f t="shared" si="27"/>
        <v>0</v>
      </c>
      <c r="J53" s="60">
        <f t="shared" si="20"/>
        <v>0</v>
      </c>
      <c r="K53" s="71">
        <f t="shared" si="6"/>
        <v>0</v>
      </c>
      <c r="L53" s="151">
        <f t="shared" si="3"/>
        <v>114827000</v>
      </c>
      <c r="M53" s="86"/>
      <c r="N53" s="90"/>
      <c r="O53" s="90"/>
      <c r="P53" s="90"/>
      <c r="V53" s="86"/>
      <c r="AD53" s="65">
        <f>+'VDF A'!A53-'VDF A'!AU53</f>
        <v>0</v>
      </c>
      <c r="AF53" s="60">
        <f t="shared" si="7"/>
        <v>0</v>
      </c>
      <c r="AI53" s="74">
        <f t="shared" si="15"/>
        <v>0</v>
      </c>
      <c r="AJ53" s="75">
        <f t="shared" si="31"/>
        <v>0</v>
      </c>
      <c r="AK53" s="75">
        <f t="shared" si="29"/>
        <v>0</v>
      </c>
      <c r="AL53" s="75">
        <f t="shared" si="28"/>
        <v>0</v>
      </c>
      <c r="AM53" s="75">
        <f t="shared" si="8"/>
        <v>0</v>
      </c>
      <c r="AN53" s="76">
        <f t="shared" si="9"/>
        <v>0</v>
      </c>
      <c r="AO53" s="37"/>
      <c r="AQ53" s="60">
        <f t="shared" si="32"/>
        <v>0</v>
      </c>
      <c r="AR53" s="60">
        <f t="shared" si="33"/>
        <v>0</v>
      </c>
      <c r="AT53" s="74">
        <f t="shared" si="34"/>
        <v>0</v>
      </c>
      <c r="AU53" s="75">
        <f t="shared" si="35"/>
        <v>0</v>
      </c>
      <c r="AV53" s="75">
        <f t="shared" si="36"/>
        <v>0</v>
      </c>
      <c r="AW53" s="75">
        <f t="shared" si="37"/>
        <v>0</v>
      </c>
      <c r="AX53" s="75">
        <f t="shared" si="38"/>
        <v>0</v>
      </c>
      <c r="AY53" s="76">
        <f t="shared" si="39"/>
        <v>0</v>
      </c>
    </row>
    <row r="54" spans="1:51" x14ac:dyDescent="0.35">
      <c r="A54" s="65">
        <f>+'VDF A'!A54-'VDF A'!K54</f>
        <v>0</v>
      </c>
      <c r="B54" s="49">
        <f t="shared" si="0"/>
        <v>46675</v>
      </c>
      <c r="C54" s="66">
        <f>+'VDF A'!C54</f>
        <v>30</v>
      </c>
      <c r="D54" s="67">
        <f t="shared" si="4"/>
        <v>0.1</v>
      </c>
      <c r="E54" s="77">
        <f t="shared" si="1"/>
        <v>0.36</v>
      </c>
      <c r="F54" s="69">
        <f t="shared" si="5"/>
        <v>3444810</v>
      </c>
      <c r="G54" s="51">
        <f t="shared" si="2"/>
        <v>173198279.66666669</v>
      </c>
      <c r="H54" s="49">
        <f>'VDF A'!H54</f>
        <v>46675</v>
      </c>
      <c r="I54" s="70">
        <f t="shared" si="27"/>
        <v>0</v>
      </c>
      <c r="J54" s="60">
        <f t="shared" si="20"/>
        <v>0</v>
      </c>
      <c r="K54" s="71">
        <f t="shared" si="6"/>
        <v>0</v>
      </c>
      <c r="L54" s="151">
        <f t="shared" si="3"/>
        <v>114827000</v>
      </c>
      <c r="M54" s="86"/>
      <c r="N54" s="90"/>
      <c r="O54" s="90"/>
      <c r="P54" s="90"/>
      <c r="V54" s="86"/>
      <c r="AD54" s="65">
        <f>+'VDF A'!A54-'VDF A'!AU54</f>
        <v>0</v>
      </c>
      <c r="AF54" s="60">
        <f t="shared" ref="AF54:AF59" si="40">+K54</f>
        <v>0</v>
      </c>
      <c r="AI54" s="74">
        <f t="shared" ref="AI54:AI59" si="41">+AI53+AJ54-AK54</f>
        <v>0</v>
      </c>
      <c r="AJ54" s="75">
        <f t="shared" ref="AJ54:AJ59" si="42">+((MAX($I$8,MIN($I$9,$O$9+$I$10/10000))*AM53)/360)*$C54</f>
        <v>0</v>
      </c>
      <c r="AK54" s="75">
        <f t="shared" ref="AK54:AK59" si="43">MIN(AD54,AI53+AJ54)</f>
        <v>0</v>
      </c>
      <c r="AL54" s="75">
        <f t="shared" ref="AL54:AL59" si="44">+IF(AM53&lt;0,0,MIN(AD54-AK54,AM53))</f>
        <v>0</v>
      </c>
      <c r="AM54" s="75">
        <f t="shared" ref="AM54:AM59" si="45">+AM53-AL54</f>
        <v>0</v>
      </c>
      <c r="AN54" s="76">
        <f t="shared" ref="AN54:AN59" si="46">+AK54+AL54</f>
        <v>0</v>
      </c>
      <c r="AO54" s="37"/>
      <c r="AQ54" s="60">
        <f t="shared" si="32"/>
        <v>0</v>
      </c>
      <c r="AR54" s="60">
        <f t="shared" si="33"/>
        <v>0</v>
      </c>
      <c r="AT54" s="74">
        <f t="shared" si="34"/>
        <v>0</v>
      </c>
      <c r="AU54" s="75">
        <f t="shared" si="35"/>
        <v>0</v>
      </c>
      <c r="AV54" s="75">
        <f t="shared" si="36"/>
        <v>0</v>
      </c>
      <c r="AW54" s="75">
        <f t="shared" si="37"/>
        <v>0</v>
      </c>
      <c r="AX54" s="75">
        <f t="shared" si="38"/>
        <v>0</v>
      </c>
      <c r="AY54" s="76">
        <f t="shared" si="39"/>
        <v>0</v>
      </c>
    </row>
    <row r="55" spans="1:51" x14ac:dyDescent="0.35">
      <c r="A55" s="65">
        <f>+'VDF A'!A55-'VDF A'!K55</f>
        <v>0</v>
      </c>
      <c r="B55" s="49">
        <f t="shared" si="0"/>
        <v>46706</v>
      </c>
      <c r="C55" s="66">
        <f>+'VDF A'!C55</f>
        <v>30</v>
      </c>
      <c r="D55" s="67">
        <f t="shared" si="4"/>
        <v>0.1</v>
      </c>
      <c r="E55" s="77">
        <f t="shared" si="1"/>
        <v>0.36</v>
      </c>
      <c r="F55" s="69">
        <f>+((E55*L54)/360)*$C55</f>
        <v>3444810</v>
      </c>
      <c r="G55" s="51">
        <f>+G54+F55-J55</f>
        <v>176643089.66666669</v>
      </c>
      <c r="H55" s="49">
        <f>'VDF A'!H55</f>
        <v>46706</v>
      </c>
      <c r="I55" s="70">
        <f>+IF(L54&gt;0,MIN(A55-J55,L54),0)</f>
        <v>0</v>
      </c>
      <c r="J55" s="60">
        <f>+MIN($A55,F55+G54)</f>
        <v>0</v>
      </c>
      <c r="K55" s="71">
        <f>+J55+I55</f>
        <v>0</v>
      </c>
      <c r="L55" s="151">
        <f>+L54-I55</f>
        <v>114827000</v>
      </c>
      <c r="N55" s="92"/>
      <c r="O55" s="93"/>
      <c r="P55" s="94"/>
      <c r="AD55" s="65">
        <f>+'VDF A'!A55-'VDF A'!AU55</f>
        <v>0</v>
      </c>
      <c r="AF55" s="60">
        <f t="shared" si="40"/>
        <v>0</v>
      </c>
      <c r="AI55" s="74">
        <f t="shared" si="41"/>
        <v>0</v>
      </c>
      <c r="AJ55" s="75">
        <f t="shared" si="42"/>
        <v>0</v>
      </c>
      <c r="AK55" s="75">
        <f t="shared" si="43"/>
        <v>0</v>
      </c>
      <c r="AL55" s="75">
        <f t="shared" si="44"/>
        <v>0</v>
      </c>
      <c r="AM55" s="75">
        <f t="shared" si="45"/>
        <v>0</v>
      </c>
      <c r="AN55" s="76">
        <f t="shared" si="46"/>
        <v>0</v>
      </c>
      <c r="AO55" s="37"/>
      <c r="AQ55" s="60">
        <f t="shared" si="32"/>
        <v>0</v>
      </c>
      <c r="AR55" s="60">
        <f t="shared" si="33"/>
        <v>0</v>
      </c>
      <c r="AT55" s="74">
        <f t="shared" si="34"/>
        <v>0</v>
      </c>
      <c r="AU55" s="75">
        <f t="shared" si="35"/>
        <v>0</v>
      </c>
      <c r="AV55" s="75">
        <f t="shared" si="36"/>
        <v>0</v>
      </c>
      <c r="AW55" s="75">
        <f t="shared" si="37"/>
        <v>0</v>
      </c>
      <c r="AX55" s="75">
        <f t="shared" si="38"/>
        <v>0</v>
      </c>
      <c r="AY55" s="76">
        <f t="shared" si="39"/>
        <v>0</v>
      </c>
    </row>
    <row r="56" spans="1:51" x14ac:dyDescent="0.35">
      <c r="A56" s="65">
        <f>+'VDF A'!A56-'VDF A'!K56</f>
        <v>0</v>
      </c>
      <c r="B56" s="49">
        <f t="shared" si="0"/>
        <v>46736</v>
      </c>
      <c r="C56" s="66">
        <f>+'VDF A'!C56</f>
        <v>30</v>
      </c>
      <c r="D56" s="67">
        <f t="shared" si="4"/>
        <v>0.1</v>
      </c>
      <c r="E56" s="77">
        <f t="shared" si="1"/>
        <v>0.36</v>
      </c>
      <c r="F56" s="69">
        <f>+((E56*L55)/360)*$C56</f>
        <v>3444810</v>
      </c>
      <c r="G56" s="51">
        <f>+G55+F56-J56</f>
        <v>180087899.66666669</v>
      </c>
      <c r="H56" s="49">
        <f>'VDF A'!H56</f>
        <v>46736</v>
      </c>
      <c r="I56" s="70">
        <f>+IF(L55&gt;0,MIN(A56-J56,L55),0)</f>
        <v>0</v>
      </c>
      <c r="J56" s="60">
        <f>+MIN($A56,F56+G55)</f>
        <v>0</v>
      </c>
      <c r="K56" s="71">
        <f>+J56+I56</f>
        <v>0</v>
      </c>
      <c r="L56" s="151">
        <f>+L55-I56</f>
        <v>114827000</v>
      </c>
      <c r="N56" s="92"/>
      <c r="O56" s="93"/>
      <c r="P56" s="94"/>
      <c r="AD56" s="65">
        <f>+'VDF A'!A56-'VDF A'!AU56</f>
        <v>0</v>
      </c>
      <c r="AF56" s="60">
        <f t="shared" si="40"/>
        <v>0</v>
      </c>
      <c r="AI56" s="74">
        <f t="shared" si="41"/>
        <v>0</v>
      </c>
      <c r="AJ56" s="75">
        <f t="shared" si="42"/>
        <v>0</v>
      </c>
      <c r="AK56" s="75">
        <f t="shared" si="43"/>
        <v>0</v>
      </c>
      <c r="AL56" s="75">
        <f t="shared" si="44"/>
        <v>0</v>
      </c>
      <c r="AM56" s="75">
        <f t="shared" si="45"/>
        <v>0</v>
      </c>
      <c r="AN56" s="76">
        <f t="shared" si="46"/>
        <v>0</v>
      </c>
      <c r="AO56" s="37"/>
      <c r="AQ56" s="60">
        <f t="shared" si="32"/>
        <v>0</v>
      </c>
      <c r="AR56" s="60">
        <f t="shared" si="33"/>
        <v>0</v>
      </c>
      <c r="AT56" s="74">
        <f t="shared" si="34"/>
        <v>0</v>
      </c>
      <c r="AU56" s="75">
        <f t="shared" si="35"/>
        <v>0</v>
      </c>
      <c r="AV56" s="75">
        <f t="shared" si="36"/>
        <v>0</v>
      </c>
      <c r="AW56" s="75">
        <f t="shared" si="37"/>
        <v>0</v>
      </c>
      <c r="AX56" s="75">
        <f t="shared" si="38"/>
        <v>0</v>
      </c>
      <c r="AY56" s="76">
        <f t="shared" si="39"/>
        <v>0</v>
      </c>
    </row>
    <row r="57" spans="1:51" x14ac:dyDescent="0.35">
      <c r="A57" s="65">
        <f>+'VDF A'!A57-'VDF A'!K57</f>
        <v>0</v>
      </c>
      <c r="B57" s="49">
        <f t="shared" si="0"/>
        <v>46767</v>
      </c>
      <c r="C57" s="66">
        <f>+'VDF A'!C57</f>
        <v>30</v>
      </c>
      <c r="D57" s="67">
        <f t="shared" si="4"/>
        <v>0.1</v>
      </c>
      <c r="E57" s="77">
        <f t="shared" si="1"/>
        <v>0.36</v>
      </c>
      <c r="F57" s="69">
        <f>+((E57*L56)/360)*$C57</f>
        <v>3444810</v>
      </c>
      <c r="G57" s="51">
        <f>+G56+F57-J57</f>
        <v>183532709.66666669</v>
      </c>
      <c r="H57" s="49">
        <f>'VDF A'!H57</f>
        <v>46767</v>
      </c>
      <c r="I57" s="70">
        <f>+IF(L56&gt;0,MIN(A57-J57,L56),0)</f>
        <v>0</v>
      </c>
      <c r="J57" s="60">
        <f>+MIN($A57,F57+G56)</f>
        <v>0</v>
      </c>
      <c r="K57" s="71">
        <f>+J57+I57</f>
        <v>0</v>
      </c>
      <c r="L57" s="151">
        <f>+L56-I57</f>
        <v>114827000</v>
      </c>
      <c r="N57" s="92"/>
      <c r="O57" s="93"/>
      <c r="P57" s="94"/>
      <c r="R57" s="86"/>
      <c r="AD57" s="65">
        <f>+'VDF A'!A57-'VDF A'!AU57</f>
        <v>0</v>
      </c>
      <c r="AF57" s="60">
        <f t="shared" si="40"/>
        <v>0</v>
      </c>
      <c r="AI57" s="74">
        <f t="shared" si="41"/>
        <v>0</v>
      </c>
      <c r="AJ57" s="75">
        <f t="shared" si="42"/>
        <v>0</v>
      </c>
      <c r="AK57" s="75">
        <f t="shared" si="43"/>
        <v>0</v>
      </c>
      <c r="AL57" s="75">
        <f t="shared" si="44"/>
        <v>0</v>
      </c>
      <c r="AM57" s="75">
        <f t="shared" si="45"/>
        <v>0</v>
      </c>
      <c r="AN57" s="76">
        <f t="shared" si="46"/>
        <v>0</v>
      </c>
      <c r="AO57" s="37"/>
      <c r="AQ57" s="60">
        <f t="shared" si="32"/>
        <v>0</v>
      </c>
      <c r="AR57" s="60">
        <f t="shared" si="33"/>
        <v>0</v>
      </c>
      <c r="AT57" s="74">
        <f t="shared" si="34"/>
        <v>0</v>
      </c>
      <c r="AU57" s="75">
        <f t="shared" si="35"/>
        <v>0</v>
      </c>
      <c r="AV57" s="75">
        <f t="shared" si="36"/>
        <v>0</v>
      </c>
      <c r="AW57" s="75">
        <f t="shared" si="37"/>
        <v>0</v>
      </c>
      <c r="AX57" s="75">
        <f t="shared" si="38"/>
        <v>0</v>
      </c>
      <c r="AY57" s="76">
        <f t="shared" si="39"/>
        <v>0</v>
      </c>
    </row>
    <row r="58" spans="1:51" ht="15" thickBot="1" x14ac:dyDescent="0.4">
      <c r="A58" s="65">
        <f>+'VDF A'!A58-'VDF A'!K58</f>
        <v>0</v>
      </c>
      <c r="B58" s="49">
        <f t="shared" si="0"/>
        <v>46798</v>
      </c>
      <c r="C58" s="66">
        <f>+'VDF A'!C58</f>
        <v>30</v>
      </c>
      <c r="D58" s="67">
        <f t="shared" si="4"/>
        <v>0.1</v>
      </c>
      <c r="E58" s="77">
        <f t="shared" si="1"/>
        <v>0.36</v>
      </c>
      <c r="F58" s="69">
        <f>+((E58*L57)/360)*$C58</f>
        <v>3444810</v>
      </c>
      <c r="G58" s="51">
        <f>+G57+F58-J58</f>
        <v>186977519.66666669</v>
      </c>
      <c r="H58" s="49">
        <f>'VDF A'!H58</f>
        <v>46798</v>
      </c>
      <c r="I58" s="70">
        <f>+IF(L57&gt;0,MIN(A58-J58,L57),0)</f>
        <v>0</v>
      </c>
      <c r="J58" s="60">
        <f>+MIN($A58,F58+G57)</f>
        <v>0</v>
      </c>
      <c r="K58" s="71">
        <f>+J58+I58</f>
        <v>0</v>
      </c>
      <c r="L58" s="151">
        <f>+L57-I58</f>
        <v>114827000</v>
      </c>
      <c r="N58" s="92"/>
      <c r="O58" s="93"/>
      <c r="P58" s="94"/>
      <c r="AD58" s="65">
        <f>+'VDF A'!A58-'VDF A'!AU58</f>
        <v>0</v>
      </c>
      <c r="AE58" s="82"/>
      <c r="AF58" s="60">
        <f t="shared" si="40"/>
        <v>0</v>
      </c>
      <c r="AI58" s="74">
        <f t="shared" si="41"/>
        <v>0</v>
      </c>
      <c r="AJ58" s="75">
        <f t="shared" si="42"/>
        <v>0</v>
      </c>
      <c r="AK58" s="75">
        <f t="shared" si="43"/>
        <v>0</v>
      </c>
      <c r="AL58" s="75">
        <f t="shared" si="44"/>
        <v>0</v>
      </c>
      <c r="AM58" s="75">
        <f t="shared" si="45"/>
        <v>0</v>
      </c>
      <c r="AN58" s="76">
        <f t="shared" si="46"/>
        <v>0</v>
      </c>
      <c r="AO58" s="37"/>
      <c r="AQ58" s="60">
        <f t="shared" si="32"/>
        <v>0</v>
      </c>
      <c r="AR58" s="60">
        <f t="shared" si="33"/>
        <v>0</v>
      </c>
      <c r="AT58" s="74">
        <f t="shared" si="34"/>
        <v>0</v>
      </c>
      <c r="AU58" s="75">
        <f t="shared" si="35"/>
        <v>0</v>
      </c>
      <c r="AV58" s="75">
        <f t="shared" si="36"/>
        <v>0</v>
      </c>
      <c r="AW58" s="75">
        <f t="shared" si="37"/>
        <v>0</v>
      </c>
      <c r="AX58" s="75">
        <f t="shared" si="38"/>
        <v>0</v>
      </c>
      <c r="AY58" s="76">
        <f t="shared" si="39"/>
        <v>0</v>
      </c>
    </row>
    <row r="59" spans="1:51" ht="16" thickBot="1" x14ac:dyDescent="0.4">
      <c r="A59" s="83">
        <f>SUM(A17:A54)</f>
        <v>374667113.58333325</v>
      </c>
      <c r="B59" s="49"/>
      <c r="F59" s="91">
        <f>+SUM(F19:F54)</f>
        <v>173198280</v>
      </c>
      <c r="H59" s="100" t="s">
        <v>0</v>
      </c>
      <c r="I59" s="101">
        <f>+SUM(I17:I54)</f>
        <v>153601000</v>
      </c>
      <c r="J59" s="101">
        <f>+SUM(J17:J54)</f>
        <v>0.33333331346511841</v>
      </c>
      <c r="K59" s="101">
        <f>+SUM(K17:K54)</f>
        <v>153601000.33333331</v>
      </c>
      <c r="N59" s="92"/>
      <c r="O59" s="93"/>
      <c r="P59" s="94"/>
      <c r="AD59" s="65">
        <f>+'VDF A'!A59-'VDF A'!AU59</f>
        <v>3687251849</v>
      </c>
      <c r="AE59" s="82"/>
      <c r="AF59" s="60">
        <f t="shared" si="40"/>
        <v>153601000.33333331</v>
      </c>
      <c r="AI59" s="74">
        <f t="shared" si="41"/>
        <v>0</v>
      </c>
      <c r="AJ59" s="75">
        <f t="shared" si="42"/>
        <v>0</v>
      </c>
      <c r="AK59" s="75">
        <f t="shared" si="43"/>
        <v>0</v>
      </c>
      <c r="AL59" s="75">
        <f t="shared" si="44"/>
        <v>0</v>
      </c>
      <c r="AM59" s="75">
        <f t="shared" si="45"/>
        <v>0</v>
      </c>
      <c r="AN59" s="76">
        <f t="shared" si="46"/>
        <v>0</v>
      </c>
      <c r="AO59" s="37"/>
      <c r="AQ59" s="60">
        <f t="shared" si="32"/>
        <v>153601000.33333331</v>
      </c>
      <c r="AR59" s="60">
        <f t="shared" si="33"/>
        <v>153601000.33333331</v>
      </c>
      <c r="AT59" s="74">
        <f t="shared" si="34"/>
        <v>0</v>
      </c>
      <c r="AU59" s="75">
        <f t="shared" si="35"/>
        <v>0</v>
      </c>
      <c r="AV59" s="75">
        <f t="shared" si="36"/>
        <v>0</v>
      </c>
      <c r="AW59" s="75">
        <f t="shared" si="37"/>
        <v>0</v>
      </c>
      <c r="AX59" s="75">
        <f t="shared" si="38"/>
        <v>0</v>
      </c>
      <c r="AY59" s="76">
        <f t="shared" si="39"/>
        <v>0</v>
      </c>
    </row>
    <row r="60" spans="1:51" x14ac:dyDescent="0.35">
      <c r="B60" s="49"/>
      <c r="H60" s="50"/>
      <c r="N60" s="92"/>
      <c r="O60" s="93"/>
      <c r="P60" s="95"/>
      <c r="AO60" s="37"/>
      <c r="AQ60" s="60">
        <f t="shared" si="32"/>
        <v>0</v>
      </c>
      <c r="AR60" s="60">
        <f t="shared" si="33"/>
        <v>0</v>
      </c>
      <c r="AT60" s="74">
        <f t="shared" si="34"/>
        <v>0</v>
      </c>
      <c r="AU60" s="75">
        <f t="shared" si="35"/>
        <v>0</v>
      </c>
      <c r="AV60" s="75">
        <f t="shared" si="36"/>
        <v>0</v>
      </c>
      <c r="AW60" s="75">
        <f t="shared" si="37"/>
        <v>0</v>
      </c>
      <c r="AX60" s="75">
        <f t="shared" si="38"/>
        <v>0</v>
      </c>
      <c r="AY60" s="76">
        <f t="shared" si="39"/>
        <v>0</v>
      </c>
    </row>
    <row r="61" spans="1:51" x14ac:dyDescent="0.35">
      <c r="H61" s="50"/>
      <c r="I61" s="19">
        <f>+I59-Calculadora!H52</f>
        <v>-114827000</v>
      </c>
      <c r="J61" s="19">
        <f>+J59-Calculadora!I52</f>
        <v>-100660499.66666669</v>
      </c>
      <c r="N61" s="92"/>
      <c r="O61" s="93"/>
      <c r="P61" s="86"/>
      <c r="U61" s="96"/>
      <c r="AO61" s="37"/>
      <c r="AQ61" s="60">
        <f t="shared" si="32"/>
        <v>0</v>
      </c>
      <c r="AR61" s="60">
        <f t="shared" si="33"/>
        <v>0</v>
      </c>
      <c r="AT61" s="74">
        <f t="shared" si="34"/>
        <v>0</v>
      </c>
      <c r="AU61" s="75">
        <f t="shared" si="35"/>
        <v>0</v>
      </c>
      <c r="AV61" s="75">
        <f t="shared" si="36"/>
        <v>0</v>
      </c>
      <c r="AW61" s="75">
        <f t="shared" si="37"/>
        <v>0</v>
      </c>
      <c r="AX61" s="75">
        <f t="shared" si="38"/>
        <v>0</v>
      </c>
      <c r="AY61" s="76">
        <f t="shared" si="39"/>
        <v>0</v>
      </c>
    </row>
  </sheetData>
  <sheetProtection algorithmName="SHA-512" hashValue="QqYJkyyfrxQM4XVqT/jSFAbl8HWY1tkgCaOgiH3dctdudy5B4yHrOooVgwWcgnM+1a4+3/fyAMV2v4EXwfvgxg==" saltValue="1DY0OAOWNIZQeLa7r9CD0A==" spinCount="100000" sheet="1" selectLockedCells="1"/>
  <mergeCells count="10">
    <mergeCell ref="H2:I2"/>
    <mergeCell ref="AE10:AN10"/>
    <mergeCell ref="AP10:AY10"/>
    <mergeCell ref="A16:A17"/>
    <mergeCell ref="B16:G16"/>
    <mergeCell ref="H16:L16"/>
    <mergeCell ref="AD16:AD17"/>
    <mergeCell ref="D17:D18"/>
    <mergeCell ref="E17:E18"/>
    <mergeCell ref="F17:F18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A62"/>
  <sheetViews>
    <sheetView showGridLines="0" topLeftCell="H1" zoomScale="80" zoomScaleNormal="80" workbookViewId="0">
      <selection activeCell="J4" sqref="J4"/>
    </sheetView>
  </sheetViews>
  <sheetFormatPr baseColWidth="10" defaultColWidth="9.1796875" defaultRowHeight="14.5" outlineLevelCol="1" x14ac:dyDescent="0.35"/>
  <cols>
    <col min="1" max="1" width="15.54296875" style="19" hidden="1" customWidth="1" outlineLevel="1"/>
    <col min="2" max="4" width="16.26953125" style="19" hidden="1" customWidth="1" outlineLevel="1"/>
    <col min="5" max="5" width="12.453125" style="19" hidden="1" customWidth="1" outlineLevel="1"/>
    <col min="6" max="6" width="12.7265625" style="19" hidden="1" customWidth="1" outlineLevel="1"/>
    <col min="7" max="7" width="17" style="19" hidden="1" customWidth="1" outlineLevel="1"/>
    <col min="8" max="8" width="34" style="19" customWidth="1" collapsed="1"/>
    <col min="9" max="9" width="22.7265625" style="19" customWidth="1"/>
    <col min="10" max="10" width="21.7265625" style="19" customWidth="1"/>
    <col min="11" max="11" width="19.54296875" style="19" bestFit="1" customWidth="1"/>
    <col min="12" max="12" width="20.1796875" style="19" customWidth="1"/>
    <col min="13" max="13" width="14.453125" style="19" hidden="1" customWidth="1"/>
    <col min="14" max="14" width="21" style="19" bestFit="1" customWidth="1"/>
    <col min="15" max="15" width="14.54296875" style="19" customWidth="1"/>
    <col min="16" max="16" width="9.7265625" style="19" customWidth="1"/>
    <col min="17" max="17" width="23.81640625" style="19" customWidth="1"/>
    <col min="18" max="18" width="15.1796875" style="19" customWidth="1"/>
    <col min="19" max="19" width="8.81640625" style="19" customWidth="1"/>
    <col min="20" max="20" width="19.54296875" style="19" customWidth="1"/>
    <col min="21" max="21" width="15.54296875" style="19" customWidth="1"/>
    <col min="22" max="22" width="10.26953125" style="19" customWidth="1"/>
    <col min="23" max="23" width="15.7265625" style="19" hidden="1" customWidth="1" outlineLevel="1"/>
    <col min="24" max="24" width="19.26953125" style="19" hidden="1" customWidth="1" outlineLevel="1"/>
    <col min="25" max="25" width="9.1796875" style="19" hidden="1" customWidth="1" outlineLevel="1"/>
    <col min="26" max="29" width="12.1796875" style="19" hidden="1" customWidth="1" outlineLevel="1"/>
    <col min="30" max="30" width="13.7265625" style="19" hidden="1" customWidth="1" outlineLevel="1"/>
    <col min="31" max="31" width="15" style="19" hidden="1" customWidth="1" outlineLevel="1"/>
    <col min="32" max="32" width="14.26953125" style="19" hidden="1" customWidth="1" outlineLevel="1"/>
    <col min="33" max="33" width="19.26953125" style="19" hidden="1" customWidth="1" outlineLevel="1"/>
    <col min="34" max="34" width="9.1796875" style="19" hidden="1" customWidth="1" outlineLevel="1"/>
    <col min="35" max="36" width="10.81640625" style="19" hidden="1" customWidth="1" outlineLevel="1"/>
    <col min="37" max="37" width="15.1796875" style="19" hidden="1" customWidth="1" outlineLevel="1"/>
    <col min="38" max="38" width="16.26953125" style="19" hidden="1" customWidth="1" outlineLevel="1"/>
    <col min="39" max="39" width="12" style="19" hidden="1" customWidth="1" outlineLevel="1"/>
    <col min="40" max="41" width="16.26953125" style="19" hidden="1" customWidth="1" outlineLevel="1"/>
    <col min="42" max="42" width="9.1796875" style="19" hidden="1" customWidth="1" outlineLevel="1"/>
    <col min="43" max="43" width="14.26953125" style="19" hidden="1" customWidth="1" outlineLevel="1"/>
    <col min="44" max="44" width="19.26953125" style="19" hidden="1" customWidth="1" outlineLevel="1"/>
    <col min="45" max="45" width="9.1796875" style="19" hidden="1" customWidth="1" outlineLevel="1"/>
    <col min="46" max="46" width="17.1796875" style="19" hidden="1" customWidth="1" outlineLevel="1"/>
    <col min="47" max="47" width="13.54296875" style="19" hidden="1" customWidth="1" outlineLevel="1"/>
    <col min="48" max="48" width="10.81640625" style="19" hidden="1" customWidth="1" outlineLevel="1"/>
    <col min="49" max="50" width="12" style="19" hidden="1" customWidth="1" outlineLevel="1"/>
    <col min="51" max="51" width="15" style="19" hidden="1" customWidth="1" outlineLevel="1"/>
    <col min="52" max="52" width="9.1796875" style="19" hidden="1" customWidth="1" outlineLevel="1"/>
    <col min="53" max="53" width="9.1796875" style="19" collapsed="1"/>
    <col min="54" max="16384" width="9.1796875" style="19"/>
  </cols>
  <sheetData>
    <row r="1" spans="1:51" s="2" customFormat="1" x14ac:dyDescent="0.35"/>
    <row r="2" spans="1:51" s="2" customFormat="1" ht="24.5" x14ac:dyDescent="0.45">
      <c r="H2" s="281"/>
      <c r="I2" s="281"/>
      <c r="J2" s="3"/>
      <c r="K2" s="3"/>
      <c r="L2" s="4"/>
      <c r="M2" s="4"/>
      <c r="N2" s="5"/>
      <c r="O2" s="5"/>
      <c r="P2" s="5"/>
      <c r="Q2" s="5"/>
      <c r="R2" s="6"/>
      <c r="S2" s="6"/>
      <c r="T2" s="5"/>
      <c r="U2" s="5"/>
      <c r="V2" s="5"/>
    </row>
    <row r="3" spans="1:51" s="2" customFormat="1" x14ac:dyDescent="0.35">
      <c r="H3" s="7"/>
      <c r="I3" s="7"/>
      <c r="J3" s="7"/>
      <c r="K3" s="7"/>
      <c r="L3" s="7"/>
      <c r="M3" s="7"/>
      <c r="N3" s="7"/>
      <c r="O3" s="7"/>
      <c r="P3" s="7"/>
      <c r="Q3" s="5"/>
      <c r="R3" s="6"/>
      <c r="S3" s="7"/>
      <c r="T3" s="7"/>
      <c r="U3" s="7"/>
      <c r="V3" s="7"/>
    </row>
    <row r="4" spans="1:51" s="2" customFormat="1" x14ac:dyDescent="0.35">
      <c r="H4" s="7"/>
      <c r="I4" s="7"/>
      <c r="J4" s="7"/>
      <c r="K4" s="7"/>
      <c r="L4" s="7"/>
      <c r="M4" s="7"/>
      <c r="N4" s="7"/>
      <c r="O4" s="7"/>
      <c r="P4" s="7"/>
      <c r="Q4" s="5"/>
      <c r="R4" s="6"/>
      <c r="S4" s="7"/>
      <c r="T4" s="7"/>
      <c r="U4" s="7"/>
      <c r="V4" s="7"/>
    </row>
    <row r="5" spans="1:51" s="2" customFormat="1" x14ac:dyDescent="0.35">
      <c r="H5" s="9" t="s">
        <v>14</v>
      </c>
      <c r="I5" s="10">
        <f>+Calculadora!E19</f>
        <v>0</v>
      </c>
      <c r="J5" s="7"/>
      <c r="K5" s="11" t="s">
        <v>15</v>
      </c>
      <c r="L5" s="12"/>
      <c r="M5" s="7"/>
      <c r="N5" s="11" t="s">
        <v>16</v>
      </c>
      <c r="O5" s="7"/>
      <c r="P5" s="7"/>
      <c r="Q5" s="5"/>
      <c r="R5" s="6"/>
      <c r="S5" s="7"/>
      <c r="T5" s="7"/>
      <c r="U5" s="7"/>
      <c r="V5" s="7"/>
    </row>
    <row r="6" spans="1:51" s="2" customFormat="1" x14ac:dyDescent="0.35">
      <c r="H6" s="103"/>
      <c r="I6" s="102"/>
      <c r="J6" s="7" t="s">
        <v>17</v>
      </c>
      <c r="K6" s="11"/>
      <c r="L6" s="12"/>
      <c r="M6" s="7"/>
      <c r="N6" s="11"/>
      <c r="O6" s="7"/>
      <c r="P6" s="7"/>
      <c r="Q6" s="5"/>
      <c r="R6" s="6"/>
      <c r="S6" s="7"/>
      <c r="T6" s="7"/>
      <c r="U6" s="7"/>
      <c r="V6" s="7"/>
    </row>
    <row r="7" spans="1:51" s="2" customFormat="1" x14ac:dyDescent="0.35">
      <c r="H7" s="18"/>
      <c r="I7" s="12"/>
      <c r="J7" s="7"/>
      <c r="K7" s="11"/>
      <c r="L7" s="12"/>
      <c r="M7" s="7"/>
      <c r="N7" s="11"/>
      <c r="O7" s="7"/>
      <c r="P7" s="7"/>
      <c r="Q7" s="5"/>
      <c r="R7" s="6"/>
      <c r="S7" s="7"/>
      <c r="T7" s="7"/>
      <c r="U7" s="7"/>
      <c r="V7" s="7"/>
    </row>
    <row r="8" spans="1:51" s="2" customFormat="1" ht="15" customHeight="1" x14ac:dyDescent="0.35">
      <c r="H8" s="9" t="s">
        <v>18</v>
      </c>
      <c r="I8" s="21">
        <f>Calculadora!E22</f>
        <v>0</v>
      </c>
      <c r="J8" s="87"/>
      <c r="K8" s="135"/>
      <c r="L8" s="22">
        <v>0.1</v>
      </c>
      <c r="M8" s="23" t="s">
        <v>19</v>
      </c>
      <c r="N8" s="24" t="s">
        <v>65</v>
      </c>
      <c r="O8" s="114">
        <f>+'VDF B'!O8</f>
        <v>0.40625</v>
      </c>
      <c r="P8" s="23" t="s">
        <v>19</v>
      </c>
      <c r="Q8" s="5"/>
      <c r="R8" s="6"/>
      <c r="S8" s="7"/>
      <c r="T8" s="7"/>
      <c r="U8" s="7"/>
      <c r="V8" s="19"/>
    </row>
    <row r="9" spans="1:51" s="2" customFormat="1" x14ac:dyDescent="0.35">
      <c r="H9" s="9" t="s">
        <v>20</v>
      </c>
      <c r="I9" s="21">
        <f>Calculadora!E23</f>
        <v>0</v>
      </c>
      <c r="J9" s="7"/>
      <c r="K9" s="136"/>
      <c r="L9" s="22">
        <v>0.1</v>
      </c>
      <c r="M9" s="23" t="s">
        <v>19</v>
      </c>
      <c r="N9" s="25" t="s">
        <v>66</v>
      </c>
      <c r="O9" s="114">
        <f>+'VDF B'!O9</f>
        <v>0.40625</v>
      </c>
      <c r="P9" s="23" t="s">
        <v>19</v>
      </c>
      <c r="Q9" s="5"/>
      <c r="R9" s="6"/>
      <c r="S9" s="7"/>
      <c r="T9" s="7"/>
      <c r="U9" s="7"/>
      <c r="V9" s="19"/>
    </row>
    <row r="10" spans="1:51" s="2" customFormat="1" ht="26" x14ac:dyDescent="0.35">
      <c r="H10" s="27" t="s">
        <v>21</v>
      </c>
      <c r="I10" s="28">
        <v>300</v>
      </c>
      <c r="J10" s="7"/>
      <c r="K10" s="141" t="s">
        <v>22</v>
      </c>
      <c r="L10" s="22">
        <f>+E23</f>
        <v>0</v>
      </c>
      <c r="M10" s="23" t="s">
        <v>19</v>
      </c>
      <c r="N10" s="25" t="s">
        <v>67</v>
      </c>
      <c r="O10" s="115">
        <f>'VDF A'!O10</f>
        <v>0.40625</v>
      </c>
      <c r="Q10" s="5"/>
      <c r="R10" s="6"/>
      <c r="S10" s="7"/>
      <c r="T10" s="7"/>
      <c r="U10" s="7"/>
      <c r="V10" s="19"/>
      <c r="AE10" s="283" t="s">
        <v>23</v>
      </c>
      <c r="AF10" s="283"/>
      <c r="AG10" s="283"/>
      <c r="AH10" s="283"/>
      <c r="AI10" s="283"/>
      <c r="AJ10" s="283"/>
      <c r="AK10" s="283"/>
      <c r="AL10" s="283"/>
      <c r="AM10" s="283"/>
      <c r="AN10" s="283"/>
      <c r="AO10" s="7"/>
      <c r="AP10" s="283" t="s">
        <v>24</v>
      </c>
      <c r="AQ10" s="283"/>
      <c r="AR10" s="283"/>
      <c r="AS10" s="283"/>
      <c r="AT10" s="283"/>
      <c r="AU10" s="283"/>
      <c r="AV10" s="283"/>
      <c r="AW10" s="283"/>
      <c r="AX10" s="283"/>
      <c r="AY10" s="283"/>
    </row>
    <row r="11" spans="1:51" s="2" customFormat="1" ht="15" thickBot="1" x14ac:dyDescent="0.4">
      <c r="H11" s="18"/>
      <c r="I11" s="12"/>
      <c r="J11" s="7"/>
      <c r="P11" s="19"/>
      <c r="Q11" s="5"/>
      <c r="R11" s="6"/>
      <c r="S11" s="7"/>
      <c r="T11" s="7"/>
      <c r="U11" s="7"/>
      <c r="V11" s="19"/>
    </row>
    <row r="12" spans="1:51" s="2" customFormat="1" ht="44" thickBot="1" x14ac:dyDescent="0.4">
      <c r="H12" s="140" t="s">
        <v>25</v>
      </c>
      <c r="I12" s="134">
        <f>+'VDF A'!I12</f>
        <v>45566</v>
      </c>
      <c r="J12" s="7"/>
      <c r="K12" s="7"/>
      <c r="L12" s="7"/>
      <c r="M12" s="7"/>
      <c r="N12" s="7"/>
      <c r="O12" s="7"/>
      <c r="P12" s="7"/>
      <c r="Q12" s="5"/>
      <c r="R12" s="6"/>
      <c r="S12" s="7"/>
      <c r="T12" s="7"/>
      <c r="U12" s="7"/>
      <c r="V12" s="19"/>
      <c r="AE12" s="19"/>
      <c r="AF12" s="32" t="s">
        <v>26</v>
      </c>
      <c r="AO12" s="7"/>
      <c r="AP12" s="19"/>
      <c r="AQ12" s="32" t="s">
        <v>26</v>
      </c>
    </row>
    <row r="13" spans="1:51" s="2" customFormat="1" x14ac:dyDescent="0.35">
      <c r="H13" s="132" t="s">
        <v>27</v>
      </c>
      <c r="I13" s="131">
        <f>+'VDF B'!I13</f>
        <v>43405</v>
      </c>
      <c r="J13" s="7"/>
      <c r="K13" s="7"/>
      <c r="L13" s="7"/>
      <c r="M13" s="7"/>
      <c r="N13" s="7"/>
      <c r="O13" s="7"/>
      <c r="P13" s="7"/>
      <c r="Q13" s="5"/>
      <c r="R13" s="6"/>
      <c r="S13" s="7"/>
      <c r="T13" s="7"/>
      <c r="U13" s="7"/>
      <c r="V13" s="19"/>
      <c r="AE13" s="19"/>
      <c r="AF13" s="33"/>
      <c r="AO13" s="7"/>
      <c r="AP13" s="19"/>
      <c r="AQ13" s="33"/>
    </row>
    <row r="14" spans="1:51" x14ac:dyDescent="0.35">
      <c r="E14" s="34"/>
      <c r="F14" s="34"/>
      <c r="K14" s="34"/>
      <c r="L14" s="34"/>
      <c r="T14" s="7"/>
      <c r="U14" s="7"/>
      <c r="AF14" s="35" t="s">
        <v>28</v>
      </c>
      <c r="AG14" s="36" t="e">
        <f>+XNPV($O$18,K18:K58,H18:H58)</f>
        <v>#NUM!</v>
      </c>
      <c r="AL14" s="104">
        <f>+AM19*(O9+4%)*0.0833333333333333</f>
        <v>0</v>
      </c>
      <c r="AQ14" s="35" t="s">
        <v>28</v>
      </c>
      <c r="AR14" s="36" t="e">
        <f>+XNPV($R$17,AR18:AR56,H18:H56)</f>
        <v>#NUM!</v>
      </c>
    </row>
    <row r="15" spans="1:51" ht="15" thickBot="1" x14ac:dyDescent="0.4">
      <c r="D15" s="88"/>
      <c r="T15" s="7"/>
      <c r="U15" s="7"/>
      <c r="AL15" s="104">
        <f>+AM18*AM15*0.0416666666666667</f>
        <v>0</v>
      </c>
      <c r="AM15" s="105">
        <f>+O8+4%</f>
        <v>0.44624999999999998</v>
      </c>
    </row>
    <row r="16" spans="1:51" ht="15.75" customHeight="1" thickBot="1" x14ac:dyDescent="0.4">
      <c r="A16" s="284" t="s">
        <v>29</v>
      </c>
      <c r="B16" s="286" t="s">
        <v>30</v>
      </c>
      <c r="C16" s="287"/>
      <c r="D16" s="287"/>
      <c r="E16" s="287"/>
      <c r="F16" s="287"/>
      <c r="G16" s="288"/>
      <c r="H16" s="289" t="s">
        <v>13</v>
      </c>
      <c r="I16" s="290"/>
      <c r="J16" s="290"/>
      <c r="K16" s="290"/>
      <c r="L16" s="291"/>
      <c r="N16" s="37"/>
      <c r="T16" s="7"/>
      <c r="U16" s="7"/>
      <c r="AD16" s="284" t="s">
        <v>29</v>
      </c>
      <c r="AE16" s="38" t="s">
        <v>31</v>
      </c>
      <c r="AF16" s="39" t="e">
        <f>+O17</f>
        <v>#NUM!</v>
      </c>
      <c r="AG16" s="19" t="s">
        <v>32</v>
      </c>
      <c r="AL16" s="104">
        <f>+AL15*2</f>
        <v>0</v>
      </c>
      <c r="AO16" s="37"/>
      <c r="AP16" s="38" t="s">
        <v>31</v>
      </c>
      <c r="AQ16" s="39" t="e">
        <f>+R18</f>
        <v>#NUM!</v>
      </c>
      <c r="AR16" s="19" t="s">
        <v>32</v>
      </c>
    </row>
    <row r="17" spans="1:52" ht="45" customHeight="1" thickBot="1" x14ac:dyDescent="0.4">
      <c r="A17" s="285"/>
      <c r="B17" s="40" t="s">
        <v>33</v>
      </c>
      <c r="C17" s="41" t="s">
        <v>34</v>
      </c>
      <c r="D17" s="292" t="s">
        <v>35</v>
      </c>
      <c r="E17" s="294" t="s">
        <v>36</v>
      </c>
      <c r="F17" s="296" t="s">
        <v>37</v>
      </c>
      <c r="G17" s="42" t="s">
        <v>38</v>
      </c>
      <c r="H17" s="97"/>
      <c r="I17" s="98" t="s">
        <v>39</v>
      </c>
      <c r="J17" s="98" t="s">
        <v>6</v>
      </c>
      <c r="K17" s="98" t="s">
        <v>0</v>
      </c>
      <c r="L17" s="99" t="s">
        <v>40</v>
      </c>
      <c r="N17" s="43" t="s">
        <v>41</v>
      </c>
      <c r="O17" s="44" t="e">
        <f>+R18</f>
        <v>#NUM!</v>
      </c>
      <c r="Q17" s="43" t="s">
        <v>42</v>
      </c>
      <c r="R17" s="45">
        <f>+Calculadora!E27</f>
        <v>0</v>
      </c>
      <c r="S17" s="19" t="s">
        <v>17</v>
      </c>
      <c r="T17" s="7"/>
      <c r="U17" s="7"/>
      <c r="AD17" s="285"/>
      <c r="AE17" s="38"/>
      <c r="AF17" s="46" t="e">
        <f>+XIRR(AF18:AF50,H18:H50)</f>
        <v>#NUM!</v>
      </c>
      <c r="AG17" s="19" t="s">
        <v>44</v>
      </c>
      <c r="AI17" s="19" t="s">
        <v>45</v>
      </c>
      <c r="AJ17" s="37"/>
      <c r="AK17" s="37"/>
      <c r="AL17" s="37"/>
      <c r="AM17" s="37"/>
      <c r="AN17" s="47" t="s">
        <v>46</v>
      </c>
      <c r="AO17" s="37"/>
      <c r="AP17" s="38"/>
      <c r="AQ17" s="46" t="e">
        <f>+XIRR(AQ18:AQ50,H18:H50)</f>
        <v>#NUM!</v>
      </c>
      <c r="AR17" s="19" t="s">
        <v>44</v>
      </c>
      <c r="AT17" s="19" t="s">
        <v>45</v>
      </c>
      <c r="AU17" s="37"/>
      <c r="AV17" s="37"/>
      <c r="AW17" s="37"/>
      <c r="AX17" s="37"/>
      <c r="AY17" s="47" t="s">
        <v>46</v>
      </c>
    </row>
    <row r="18" spans="1:52" ht="15.75" customHeight="1" x14ac:dyDescent="0.35">
      <c r="A18" s="48"/>
      <c r="B18" s="49">
        <f>+H18</f>
        <v>45566</v>
      </c>
      <c r="C18" s="50"/>
      <c r="D18" s="293"/>
      <c r="E18" s="295"/>
      <c r="F18" s="297"/>
      <c r="G18" s="51">
        <v>0</v>
      </c>
      <c r="H18" s="52">
        <f>+I12</f>
        <v>45566</v>
      </c>
      <c r="I18" s="53"/>
      <c r="J18" s="54"/>
      <c r="K18" s="55">
        <v>0</v>
      </c>
      <c r="L18" s="56">
        <f>+I5</f>
        <v>0</v>
      </c>
      <c r="N18" s="57" t="s">
        <v>47</v>
      </c>
      <c r="O18" s="58" t="e">
        <f>+AF17</f>
        <v>#NUM!</v>
      </c>
      <c r="P18" s="19" t="s">
        <v>17</v>
      </c>
      <c r="Q18" s="57" t="s">
        <v>48</v>
      </c>
      <c r="R18" s="59" t="e">
        <f>(AR14/L18)*100</f>
        <v>#NUM!</v>
      </c>
      <c r="T18" s="7"/>
      <c r="U18" s="7"/>
      <c r="AD18" s="48"/>
      <c r="AE18" s="38"/>
      <c r="AF18" s="60" t="e">
        <f>-L18*AF16/100</f>
        <v>#NUM!</v>
      </c>
      <c r="AI18" s="61">
        <v>0</v>
      </c>
      <c r="AJ18" s="62"/>
      <c r="AK18" s="62"/>
      <c r="AL18" s="62"/>
      <c r="AM18" s="63">
        <f>+L18</f>
        <v>0</v>
      </c>
      <c r="AN18" s="64" t="e">
        <f>-I5*(O17/100)</f>
        <v>#NUM!</v>
      </c>
      <c r="AO18" s="37"/>
      <c r="AP18" s="38"/>
      <c r="AQ18" s="60" t="e">
        <f>-L18*AQ16/100</f>
        <v>#NUM!</v>
      </c>
      <c r="AR18" s="60">
        <v>0</v>
      </c>
      <c r="AT18" s="61">
        <v>0</v>
      </c>
      <c r="AU18" s="62"/>
      <c r="AV18" s="62"/>
      <c r="AW18" s="62"/>
      <c r="AX18" s="63">
        <f>+L18</f>
        <v>0</v>
      </c>
      <c r="AY18" s="64">
        <f>-I5*(T19/100)</f>
        <v>0</v>
      </c>
    </row>
    <row r="19" spans="1:52" ht="15.75" customHeight="1" x14ac:dyDescent="0.35">
      <c r="A19" s="65">
        <f>+'VDF A'!A19-'VDF A'!K19-'VDF B'!K19</f>
        <v>0.25</v>
      </c>
      <c r="B19" s="49">
        <f t="shared" ref="B19:B58" si="0">+H19</f>
        <v>45611</v>
      </c>
      <c r="C19" s="66">
        <f>+'VDF A'!$C$19</f>
        <v>45</v>
      </c>
      <c r="D19" s="67">
        <f>+L8</f>
        <v>0.1</v>
      </c>
      <c r="E19" s="68">
        <f t="shared" ref="E19:E58" si="1">+MAX($I$8,MIN($I$9,$D19+$I$10/10000))</f>
        <v>0</v>
      </c>
      <c r="F19" s="69">
        <f>+((E19*L18)/360)*$C19</f>
        <v>0</v>
      </c>
      <c r="G19" s="51">
        <f t="shared" ref="G19:G54" si="2">+G18+F19-J19</f>
        <v>0</v>
      </c>
      <c r="H19" s="49">
        <f>+'VDF A'!H19</f>
        <v>45611</v>
      </c>
      <c r="I19" s="70">
        <v>0</v>
      </c>
      <c r="J19" s="60">
        <v>0</v>
      </c>
      <c r="K19" s="71">
        <f>+J19+I19</f>
        <v>0</v>
      </c>
      <c r="L19" s="72">
        <f t="shared" ref="L19:L54" si="3">+L18-I19</f>
        <v>0</v>
      </c>
      <c r="N19" s="57" t="s">
        <v>43</v>
      </c>
      <c r="O19" s="73" t="e">
        <f>XIRR(AN18:AN54,H18:H54)</f>
        <v>#NUM!</v>
      </c>
      <c r="P19" s="19" t="s">
        <v>17</v>
      </c>
      <c r="Q19" s="57" t="s">
        <v>43</v>
      </c>
      <c r="R19" s="73" t="e">
        <f>+XIRR(AY18:AY58,H18:H58)</f>
        <v>#NUM!</v>
      </c>
      <c r="S19" s="19" t="s">
        <v>17</v>
      </c>
      <c r="T19" s="121">
        <f>Calculadora!E29</f>
        <v>0</v>
      </c>
      <c r="U19" s="7"/>
      <c r="AD19" s="65">
        <f>+'VDF A'!A19-'VDF A'!AU19-'VDF B'!AY19</f>
        <v>-23753514.90625</v>
      </c>
      <c r="AE19" s="38"/>
      <c r="AF19" s="60">
        <f>+K19</f>
        <v>0</v>
      </c>
      <c r="AI19" s="74">
        <f>+AJ19</f>
        <v>0</v>
      </c>
      <c r="AJ19" s="75">
        <f>+((MAX($I$8,MIN($I$9,$O$8+$I$10/10000))*AM18)/360)*$C19</f>
        <v>0</v>
      </c>
      <c r="AK19" s="75"/>
      <c r="AL19" s="75"/>
      <c r="AM19" s="75">
        <f>+AM18-AL19</f>
        <v>0</v>
      </c>
      <c r="AN19" s="76">
        <f>+AK19+AL19</f>
        <v>0</v>
      </c>
      <c r="AO19" s="37"/>
      <c r="AP19" s="38"/>
      <c r="AQ19" s="60">
        <f>+K19</f>
        <v>0</v>
      </c>
      <c r="AR19" s="60">
        <f>+AQ19</f>
        <v>0</v>
      </c>
      <c r="AT19" s="74">
        <f>+AU19</f>
        <v>0</v>
      </c>
      <c r="AU19" s="75">
        <f>+((MAX($I$8,MIN($I$9,$O$8+$I$10/10000))*AX18)/360)*$C19</f>
        <v>0</v>
      </c>
      <c r="AV19" s="75"/>
      <c r="AW19" s="75"/>
      <c r="AX19" s="75">
        <f>+AX18-AW19</f>
        <v>0</v>
      </c>
      <c r="AY19" s="76">
        <f>+AV19+AW19</f>
        <v>0</v>
      </c>
    </row>
    <row r="20" spans="1:52" x14ac:dyDescent="0.35">
      <c r="A20" s="65">
        <f>+'VDF A'!A20-'VDF A'!K20-'VDF B'!K20</f>
        <v>0.5</v>
      </c>
      <c r="B20" s="49">
        <f t="shared" si="0"/>
        <v>45642</v>
      </c>
      <c r="C20" s="66">
        <f>+'VDF A'!C20</f>
        <v>30</v>
      </c>
      <c r="D20" s="67">
        <f t="shared" ref="D20:D58" si="4">+$L$8</f>
        <v>0.1</v>
      </c>
      <c r="E20" s="77">
        <f t="shared" si="1"/>
        <v>0</v>
      </c>
      <c r="F20" s="69">
        <f>+((E20*L19)/360)*$C20</f>
        <v>0</v>
      </c>
      <c r="G20" s="51">
        <f t="shared" si="2"/>
        <v>0</v>
      </c>
      <c r="H20" s="49">
        <f>+'VDF A'!H20</f>
        <v>45642</v>
      </c>
      <c r="I20" s="70">
        <v>0</v>
      </c>
      <c r="J20" s="60">
        <v>0</v>
      </c>
      <c r="K20" s="71">
        <f t="shared" ref="K20:K54" si="5">+J20+I20</f>
        <v>0</v>
      </c>
      <c r="L20" s="72">
        <f t="shared" si="3"/>
        <v>0</v>
      </c>
      <c r="T20" s="7"/>
      <c r="U20" s="7"/>
      <c r="AD20" s="65">
        <f>+'VDF A'!A20-'VDF A'!AU20-'VDF B'!AY20</f>
        <v>-14568821.6875</v>
      </c>
      <c r="AE20" s="38"/>
      <c r="AF20" s="60">
        <f t="shared" ref="AF20:AF55" si="6">+K20</f>
        <v>0</v>
      </c>
      <c r="AI20" s="74">
        <f>+AI19+AJ20-AK20</f>
        <v>0</v>
      </c>
      <c r="AJ20" s="75">
        <f>+((MAX($I$8,MIN($I$9,$O$9+$I$10/10000))*AM19)/360)*$C20</f>
        <v>0</v>
      </c>
      <c r="AK20" s="75"/>
      <c r="AL20" s="75"/>
      <c r="AM20" s="75">
        <f t="shared" ref="AM20:AM54" si="7">+AM19-AL20</f>
        <v>0</v>
      </c>
      <c r="AN20" s="76">
        <f t="shared" ref="AN20:AN54" si="8">+AK20+AL20</f>
        <v>0</v>
      </c>
      <c r="AO20" s="37"/>
      <c r="AP20" s="38"/>
      <c r="AQ20" s="60">
        <f t="shared" ref="AQ20:AQ54" si="9">+K20</f>
        <v>0</v>
      </c>
      <c r="AR20" s="60">
        <f t="shared" ref="AR20:AR54" si="10">+AQ20</f>
        <v>0</v>
      </c>
      <c r="AT20" s="74">
        <f>+AT19+AU20-AV20</f>
        <v>0</v>
      </c>
      <c r="AU20" s="75">
        <f>+((MAX($I$8,MIN($I$9,$O$9+$I$10/10000))*AM19)/360)*$C20</f>
        <v>0</v>
      </c>
      <c r="AV20" s="75"/>
      <c r="AW20" s="75"/>
      <c r="AX20" s="75">
        <f t="shared" ref="AX20:AX54" si="11">+AX19-AW20</f>
        <v>0</v>
      </c>
      <c r="AY20" s="76">
        <f t="shared" ref="AY20:AY54" si="12">+AV20+AW20</f>
        <v>0</v>
      </c>
      <c r="AZ20" s="37"/>
    </row>
    <row r="21" spans="1:52" x14ac:dyDescent="0.35">
      <c r="A21" s="65">
        <f>+'VDF A'!A21-'VDF A'!K21-'VDF B'!K21</f>
        <v>-0.33333331346511841</v>
      </c>
      <c r="B21" s="49">
        <f t="shared" si="0"/>
        <v>45672</v>
      </c>
      <c r="C21" s="66">
        <f>+'VDF A'!C21</f>
        <v>30</v>
      </c>
      <c r="D21" s="67">
        <f t="shared" si="4"/>
        <v>0.1</v>
      </c>
      <c r="E21" s="77">
        <f t="shared" si="1"/>
        <v>0</v>
      </c>
      <c r="F21" s="69">
        <f t="shared" ref="F21:F54" si="13">+((E21*L20)/360)*$C21</f>
        <v>0</v>
      </c>
      <c r="G21" s="51">
        <f t="shared" si="2"/>
        <v>0</v>
      </c>
      <c r="H21" s="49">
        <f>+'VDF A'!H21</f>
        <v>45672</v>
      </c>
      <c r="I21" s="70">
        <v>0</v>
      </c>
      <c r="J21" s="60">
        <v>0</v>
      </c>
      <c r="K21" s="71">
        <f t="shared" si="5"/>
        <v>0</v>
      </c>
      <c r="L21" s="72">
        <f t="shared" si="3"/>
        <v>0</v>
      </c>
      <c r="T21" s="7"/>
      <c r="U21" s="7"/>
      <c r="AD21" s="65">
        <f>+'VDF A'!A21-'VDF A'!AU21-'VDF B'!AY21</f>
        <v>-12351827</v>
      </c>
      <c r="AE21" s="38"/>
      <c r="AF21" s="60">
        <f t="shared" si="6"/>
        <v>0</v>
      </c>
      <c r="AI21" s="74">
        <f t="shared" ref="AI21:AI54" si="14">+AI20+AJ21-AK21</f>
        <v>0</v>
      </c>
      <c r="AJ21" s="75">
        <f>+((MAX($I$8,MIN($I$9,$O$10+$I$10/10000))*AM20)/360)*$C21</f>
        <v>0</v>
      </c>
      <c r="AK21" s="75"/>
      <c r="AL21" s="75"/>
      <c r="AM21" s="75">
        <f t="shared" si="7"/>
        <v>0</v>
      </c>
      <c r="AN21" s="76">
        <f t="shared" si="8"/>
        <v>0</v>
      </c>
      <c r="AO21" s="37"/>
      <c r="AP21" s="38"/>
      <c r="AQ21" s="60">
        <f t="shared" si="9"/>
        <v>0</v>
      </c>
      <c r="AR21" s="60">
        <f t="shared" si="10"/>
        <v>0</v>
      </c>
      <c r="AT21" s="74">
        <f>+AT20+AU21-AV21</f>
        <v>0</v>
      </c>
      <c r="AU21" s="75">
        <f>+((MAX($I$8,MIN($I$9,$O$10+$I$10/10000))*AM20)/360)*$C21</f>
        <v>0</v>
      </c>
      <c r="AV21" s="75"/>
      <c r="AW21" s="75"/>
      <c r="AX21" s="75">
        <f t="shared" si="11"/>
        <v>0</v>
      </c>
      <c r="AY21" s="76">
        <f t="shared" si="12"/>
        <v>0</v>
      </c>
    </row>
    <row r="22" spans="1:52" x14ac:dyDescent="0.35">
      <c r="A22" s="65">
        <f>+'VDF A'!A22-'VDF A'!K22-'VDF B'!K22</f>
        <v>0.33333331346511841</v>
      </c>
      <c r="B22" s="49">
        <f t="shared" si="0"/>
        <v>45705</v>
      </c>
      <c r="C22" s="66">
        <f>+'VDF A'!C22</f>
        <v>30</v>
      </c>
      <c r="D22" s="67">
        <f t="shared" si="4"/>
        <v>0.1</v>
      </c>
      <c r="E22" s="77">
        <f t="shared" si="1"/>
        <v>0</v>
      </c>
      <c r="F22" s="69">
        <f t="shared" si="13"/>
        <v>0</v>
      </c>
      <c r="G22" s="51">
        <f t="shared" si="2"/>
        <v>0</v>
      </c>
      <c r="H22" s="49">
        <f>+'VDF A'!H22</f>
        <v>45705</v>
      </c>
      <c r="I22" s="70">
        <v>0</v>
      </c>
      <c r="J22" s="60">
        <v>0</v>
      </c>
      <c r="K22" s="71">
        <f t="shared" si="5"/>
        <v>0</v>
      </c>
      <c r="L22" s="72">
        <f t="shared" si="3"/>
        <v>0</v>
      </c>
      <c r="R22" s="73" t="e">
        <f>+((R19+1)^(0.083333333)-1)*12</f>
        <v>#NUM!</v>
      </c>
      <c r="T22" s="7"/>
      <c r="U22" s="7"/>
      <c r="AD22" s="65">
        <f>+'VDF A'!A22-'VDF A'!AU22-'VDF B'!AY22</f>
        <v>-9976476.75</v>
      </c>
      <c r="AE22" s="38"/>
      <c r="AF22" s="60">
        <f t="shared" si="6"/>
        <v>0</v>
      </c>
      <c r="AI22" s="74">
        <f t="shared" si="14"/>
        <v>0</v>
      </c>
      <c r="AJ22" s="75">
        <f t="shared" ref="AJ22:AJ39" si="15">+((MAX($I$8,MIN($I$9,$O$10+$I$10/10000))*AM21)/360)*$C22</f>
        <v>0</v>
      </c>
      <c r="AK22" s="75"/>
      <c r="AL22" s="75"/>
      <c r="AM22" s="75">
        <f t="shared" si="7"/>
        <v>0</v>
      </c>
      <c r="AN22" s="76">
        <f t="shared" si="8"/>
        <v>0</v>
      </c>
      <c r="AO22" s="37"/>
      <c r="AP22" s="38"/>
      <c r="AQ22" s="60">
        <f t="shared" si="9"/>
        <v>0</v>
      </c>
      <c r="AR22" s="60">
        <f t="shared" si="10"/>
        <v>0</v>
      </c>
      <c r="AT22" s="74">
        <f>+AT21+AU22-AV22</f>
        <v>0</v>
      </c>
      <c r="AU22" s="75">
        <f t="shared" ref="AU22:AU35" si="16">+((MAX($I$8,MIN($I$9,$O$10+$I$10/10000))*AM21)/360)*$C22</f>
        <v>0</v>
      </c>
      <c r="AV22" s="75"/>
      <c r="AW22" s="75"/>
      <c r="AX22" s="75">
        <f t="shared" si="11"/>
        <v>0</v>
      </c>
      <c r="AY22" s="76">
        <f t="shared" si="12"/>
        <v>0</v>
      </c>
    </row>
    <row r="23" spans="1:52" x14ac:dyDescent="0.35">
      <c r="A23" s="65">
        <f>+'VDF A'!A23-'VDF A'!K23-'VDF B'!K23</f>
        <v>0</v>
      </c>
      <c r="B23" s="49">
        <f t="shared" si="0"/>
        <v>45733</v>
      </c>
      <c r="C23" s="66">
        <f>+'VDF A'!C23</f>
        <v>30</v>
      </c>
      <c r="D23" s="67">
        <f t="shared" si="4"/>
        <v>0.1</v>
      </c>
      <c r="E23" s="77">
        <f t="shared" si="1"/>
        <v>0</v>
      </c>
      <c r="F23" s="69">
        <f t="shared" si="13"/>
        <v>0</v>
      </c>
      <c r="G23" s="51">
        <f t="shared" si="2"/>
        <v>0</v>
      </c>
      <c r="H23" s="49">
        <f>+'VDF A'!H23</f>
        <v>45733</v>
      </c>
      <c r="I23" s="70">
        <v>0</v>
      </c>
      <c r="J23" s="60">
        <v>0</v>
      </c>
      <c r="K23" s="71">
        <f t="shared" si="5"/>
        <v>0</v>
      </c>
      <c r="L23" s="72">
        <f t="shared" si="3"/>
        <v>0</v>
      </c>
      <c r="T23" s="7"/>
      <c r="U23" s="7"/>
      <c r="AD23" s="65">
        <f>+'VDF A'!A23-'VDF A'!AU23-'VDF B'!AY23</f>
        <v>-7601127.5</v>
      </c>
      <c r="AE23" s="38"/>
      <c r="AF23" s="60">
        <f t="shared" si="6"/>
        <v>0</v>
      </c>
      <c r="AI23" s="74">
        <f t="shared" si="14"/>
        <v>0</v>
      </c>
      <c r="AJ23" s="75">
        <f t="shared" si="15"/>
        <v>0</v>
      </c>
      <c r="AK23" s="75"/>
      <c r="AL23" s="75"/>
      <c r="AM23" s="75">
        <f t="shared" si="7"/>
        <v>0</v>
      </c>
      <c r="AN23" s="76">
        <f t="shared" si="8"/>
        <v>0</v>
      </c>
      <c r="AO23" s="37"/>
      <c r="AP23" s="38"/>
      <c r="AQ23" s="60">
        <f t="shared" si="9"/>
        <v>0</v>
      </c>
      <c r="AR23" s="60">
        <f t="shared" si="10"/>
        <v>0</v>
      </c>
      <c r="AT23" s="74">
        <f>+AT22+AU23-AV23</f>
        <v>0</v>
      </c>
      <c r="AU23" s="75">
        <f t="shared" si="16"/>
        <v>0</v>
      </c>
      <c r="AV23" s="75"/>
      <c r="AW23" s="75"/>
      <c r="AX23" s="75">
        <f t="shared" si="11"/>
        <v>0</v>
      </c>
      <c r="AY23" s="76">
        <f t="shared" si="12"/>
        <v>0</v>
      </c>
    </row>
    <row r="24" spans="1:52" x14ac:dyDescent="0.35">
      <c r="A24" s="65">
        <f>+'VDF A'!A24-'VDF A'!K24-'VDF B'!K24</f>
        <v>0.1666666567325592</v>
      </c>
      <c r="B24" s="49">
        <f t="shared" si="0"/>
        <v>45762</v>
      </c>
      <c r="C24" s="66">
        <f>+'VDF A'!C24</f>
        <v>30</v>
      </c>
      <c r="D24" s="67">
        <f t="shared" si="4"/>
        <v>0.1</v>
      </c>
      <c r="E24" s="77">
        <f t="shared" si="1"/>
        <v>0</v>
      </c>
      <c r="F24" s="69">
        <f t="shared" si="13"/>
        <v>0</v>
      </c>
      <c r="G24" s="51">
        <f t="shared" si="2"/>
        <v>0</v>
      </c>
      <c r="H24" s="49">
        <f>+'VDF A'!H24</f>
        <v>45762</v>
      </c>
      <c r="I24" s="70">
        <v>0</v>
      </c>
      <c r="J24" s="60">
        <v>0</v>
      </c>
      <c r="K24" s="71">
        <f t="shared" si="5"/>
        <v>0</v>
      </c>
      <c r="L24" s="72">
        <f t="shared" si="3"/>
        <v>0</v>
      </c>
      <c r="T24" s="7"/>
      <c r="U24" s="7"/>
      <c r="AD24" s="65">
        <f>+'VDF A'!A24-'VDF A'!AU24-'VDF B'!AY24</f>
        <v>-5384131.8125</v>
      </c>
      <c r="AE24" s="38"/>
      <c r="AF24" s="60">
        <f t="shared" si="6"/>
        <v>0</v>
      </c>
      <c r="AI24" s="74">
        <f>+AI23+AJ24-AK24</f>
        <v>0</v>
      </c>
      <c r="AJ24" s="75">
        <f t="shared" si="15"/>
        <v>0</v>
      </c>
      <c r="AK24" s="75"/>
      <c r="AL24" s="75"/>
      <c r="AM24" s="75">
        <f t="shared" si="7"/>
        <v>0</v>
      </c>
      <c r="AN24" s="76">
        <f t="shared" si="8"/>
        <v>0</v>
      </c>
      <c r="AO24" s="37"/>
      <c r="AP24" s="38"/>
      <c r="AQ24" s="60">
        <f t="shared" si="9"/>
        <v>0</v>
      </c>
      <c r="AR24" s="60">
        <f t="shared" si="10"/>
        <v>0</v>
      </c>
      <c r="AT24" s="74">
        <f>+AT23+AU24-AV24</f>
        <v>0</v>
      </c>
      <c r="AU24" s="75">
        <f t="shared" si="16"/>
        <v>0</v>
      </c>
      <c r="AV24" s="75"/>
      <c r="AW24" s="75"/>
      <c r="AX24" s="75">
        <f t="shared" si="11"/>
        <v>0</v>
      </c>
      <c r="AY24" s="76">
        <f t="shared" si="12"/>
        <v>0</v>
      </c>
    </row>
    <row r="25" spans="1:52" x14ac:dyDescent="0.35">
      <c r="A25" s="65">
        <f>+'VDF A'!A25-'VDF A'!K25-'VDF B'!K25</f>
        <v>0.1666666567325592</v>
      </c>
      <c r="B25" s="49">
        <f t="shared" si="0"/>
        <v>45792</v>
      </c>
      <c r="C25" s="66">
        <f>+'VDF A'!C25</f>
        <v>30</v>
      </c>
      <c r="D25" s="67">
        <f t="shared" si="4"/>
        <v>0.1</v>
      </c>
      <c r="E25" s="77">
        <f t="shared" si="1"/>
        <v>0</v>
      </c>
      <c r="F25" s="69">
        <f t="shared" si="13"/>
        <v>0</v>
      </c>
      <c r="G25" s="51">
        <f t="shared" si="2"/>
        <v>0</v>
      </c>
      <c r="H25" s="49">
        <f>+'VDF A'!H25</f>
        <v>45792</v>
      </c>
      <c r="I25" s="70">
        <v>0</v>
      </c>
      <c r="J25" s="60">
        <v>0</v>
      </c>
      <c r="K25" s="71">
        <f t="shared" si="5"/>
        <v>0</v>
      </c>
      <c r="L25" s="72">
        <f t="shared" si="3"/>
        <v>0</v>
      </c>
      <c r="T25" s="7"/>
      <c r="U25" s="7"/>
      <c r="AD25" s="65">
        <f>+'VDF A'!A25-'VDF A'!AU25-'VDF B'!AY25</f>
        <v>-4275636.8125</v>
      </c>
      <c r="AE25" s="38"/>
      <c r="AF25" s="60">
        <f t="shared" si="6"/>
        <v>0</v>
      </c>
      <c r="AI25" s="74">
        <f t="shared" si="14"/>
        <v>0</v>
      </c>
      <c r="AJ25" s="75">
        <f t="shared" si="15"/>
        <v>0</v>
      </c>
      <c r="AK25" s="75"/>
      <c r="AL25" s="75"/>
      <c r="AM25" s="75">
        <f t="shared" si="7"/>
        <v>0</v>
      </c>
      <c r="AN25" s="76">
        <f t="shared" si="8"/>
        <v>0</v>
      </c>
      <c r="AO25" s="37"/>
      <c r="AP25" s="38"/>
      <c r="AQ25" s="60">
        <f t="shared" si="9"/>
        <v>0</v>
      </c>
      <c r="AR25" s="60">
        <f t="shared" si="10"/>
        <v>0</v>
      </c>
      <c r="AT25" s="74">
        <f t="shared" ref="AT25:AT54" si="17">+AT24+AU25-AV25</f>
        <v>0</v>
      </c>
      <c r="AU25" s="75">
        <f t="shared" si="16"/>
        <v>0</v>
      </c>
      <c r="AV25" s="75"/>
      <c r="AW25" s="75"/>
      <c r="AX25" s="75">
        <f t="shared" si="11"/>
        <v>0</v>
      </c>
      <c r="AY25" s="76">
        <f t="shared" si="12"/>
        <v>0</v>
      </c>
    </row>
    <row r="26" spans="1:52" x14ac:dyDescent="0.35">
      <c r="A26" s="65">
        <f>+'VDF A'!A26-'VDF A'!K26-'VDF B'!K26</f>
        <v>0.1666666567325592</v>
      </c>
      <c r="B26" s="49">
        <f t="shared" si="0"/>
        <v>45824</v>
      </c>
      <c r="C26" s="66">
        <f>+'VDF A'!C26</f>
        <v>30</v>
      </c>
      <c r="D26" s="67">
        <f t="shared" si="4"/>
        <v>0.1</v>
      </c>
      <c r="E26" s="77">
        <f t="shared" si="1"/>
        <v>0</v>
      </c>
      <c r="F26" s="69">
        <f t="shared" si="13"/>
        <v>0</v>
      </c>
      <c r="G26" s="51">
        <f t="shared" si="2"/>
        <v>0</v>
      </c>
      <c r="H26" s="49">
        <f>+'VDF A'!H26</f>
        <v>45824</v>
      </c>
      <c r="I26" s="70">
        <v>0</v>
      </c>
      <c r="J26" s="60">
        <v>0</v>
      </c>
      <c r="K26" s="71">
        <f t="shared" si="5"/>
        <v>0</v>
      </c>
      <c r="L26" s="72">
        <f t="shared" si="3"/>
        <v>0</v>
      </c>
      <c r="T26" s="7"/>
      <c r="U26" s="7"/>
      <c r="AD26" s="65">
        <f>+'VDF A'!A26-'VDF A'!AU26-'VDF B'!AY26</f>
        <v>-3167141.8125</v>
      </c>
      <c r="AF26" s="60">
        <f t="shared" si="6"/>
        <v>0</v>
      </c>
      <c r="AI26" s="74">
        <f t="shared" si="14"/>
        <v>0</v>
      </c>
      <c r="AJ26" s="75">
        <f t="shared" si="15"/>
        <v>0</v>
      </c>
      <c r="AK26" s="75"/>
      <c r="AL26" s="75"/>
      <c r="AM26" s="75">
        <f t="shared" si="7"/>
        <v>0</v>
      </c>
      <c r="AN26" s="76">
        <f t="shared" si="8"/>
        <v>0</v>
      </c>
      <c r="AO26" s="76"/>
      <c r="AQ26" s="60">
        <f t="shared" si="9"/>
        <v>0</v>
      </c>
      <c r="AR26" s="60">
        <f t="shared" si="10"/>
        <v>0</v>
      </c>
      <c r="AT26" s="74">
        <f t="shared" si="17"/>
        <v>0</v>
      </c>
      <c r="AU26" s="75">
        <f t="shared" si="16"/>
        <v>0</v>
      </c>
      <c r="AV26" s="75"/>
      <c r="AW26" s="75"/>
      <c r="AX26" s="75">
        <f t="shared" si="11"/>
        <v>0</v>
      </c>
      <c r="AY26" s="76">
        <f t="shared" si="12"/>
        <v>0</v>
      </c>
    </row>
    <row r="27" spans="1:52" x14ac:dyDescent="0.35">
      <c r="A27" s="65">
        <f>+'VDF A'!A27-'VDF A'!K27-'VDF B'!K27</f>
        <v>-30720000</v>
      </c>
      <c r="B27" s="49">
        <f t="shared" si="0"/>
        <v>45853</v>
      </c>
      <c r="C27" s="66">
        <f>+'VDF A'!C27</f>
        <v>30</v>
      </c>
      <c r="D27" s="67">
        <f t="shared" si="4"/>
        <v>0.1</v>
      </c>
      <c r="E27" s="77">
        <f t="shared" si="1"/>
        <v>0</v>
      </c>
      <c r="F27" s="69">
        <f t="shared" si="13"/>
        <v>0</v>
      </c>
      <c r="G27" s="51">
        <f t="shared" si="2"/>
        <v>0</v>
      </c>
      <c r="H27" s="49">
        <f>+'VDF A'!H27</f>
        <v>45853</v>
      </c>
      <c r="I27" s="70">
        <v>0</v>
      </c>
      <c r="J27" s="60">
        <v>0</v>
      </c>
      <c r="K27" s="71">
        <f t="shared" si="5"/>
        <v>0</v>
      </c>
      <c r="L27" s="72">
        <f t="shared" si="3"/>
        <v>0</v>
      </c>
      <c r="AD27" s="65">
        <f>+'VDF A'!A27-'VDF A'!AU27-'VDF B'!AY27</f>
        <v>0</v>
      </c>
      <c r="AF27" s="60">
        <f t="shared" si="6"/>
        <v>0</v>
      </c>
      <c r="AI27" s="74">
        <f t="shared" si="14"/>
        <v>0</v>
      </c>
      <c r="AJ27" s="75">
        <f t="shared" si="15"/>
        <v>0</v>
      </c>
      <c r="AK27" s="75"/>
      <c r="AL27" s="75"/>
      <c r="AM27" s="75">
        <f t="shared" si="7"/>
        <v>0</v>
      </c>
      <c r="AN27" s="76">
        <f t="shared" si="8"/>
        <v>0</v>
      </c>
      <c r="AO27" s="76"/>
      <c r="AQ27" s="60">
        <f t="shared" si="9"/>
        <v>0</v>
      </c>
      <c r="AR27" s="60">
        <f t="shared" si="10"/>
        <v>0</v>
      </c>
      <c r="AT27" s="74">
        <f t="shared" si="17"/>
        <v>0</v>
      </c>
      <c r="AU27" s="75">
        <f t="shared" si="16"/>
        <v>0</v>
      </c>
      <c r="AV27" s="75"/>
      <c r="AW27" s="75"/>
      <c r="AX27" s="75">
        <f t="shared" si="11"/>
        <v>0</v>
      </c>
      <c r="AY27" s="76">
        <f t="shared" si="12"/>
        <v>0</v>
      </c>
    </row>
    <row r="28" spans="1:52" x14ac:dyDescent="0.35">
      <c r="A28" s="65">
        <f>+'VDF A'!A28-'VDF A'!K28-'VDF B'!K28</f>
        <v>-122881000</v>
      </c>
      <c r="B28" s="49">
        <f t="shared" si="0"/>
        <v>45884</v>
      </c>
      <c r="C28" s="66">
        <f>+'VDF A'!C28</f>
        <v>30</v>
      </c>
      <c r="D28" s="67">
        <f t="shared" si="4"/>
        <v>0.1</v>
      </c>
      <c r="E28" s="77">
        <f t="shared" si="1"/>
        <v>0</v>
      </c>
      <c r="F28" s="69">
        <f t="shared" si="13"/>
        <v>0</v>
      </c>
      <c r="G28" s="51">
        <f t="shared" si="2"/>
        <v>0</v>
      </c>
      <c r="H28" s="49">
        <f>+'VDF A'!H28</f>
        <v>45884</v>
      </c>
      <c r="I28" s="70">
        <v>0</v>
      </c>
      <c r="J28" s="60">
        <v>0</v>
      </c>
      <c r="K28" s="71">
        <f t="shared" si="5"/>
        <v>0</v>
      </c>
      <c r="L28" s="72">
        <f>+L27-I28</f>
        <v>0</v>
      </c>
      <c r="AD28" s="65">
        <f>+'VDF A'!A28-'VDF A'!AU28-'VDF B'!AY28</f>
        <v>-268428000</v>
      </c>
      <c r="AF28" s="60">
        <f t="shared" si="6"/>
        <v>0</v>
      </c>
      <c r="AI28" s="74">
        <f t="shared" si="14"/>
        <v>0</v>
      </c>
      <c r="AJ28" s="75">
        <f t="shared" si="15"/>
        <v>0</v>
      </c>
      <c r="AK28" s="75"/>
      <c r="AL28" s="75"/>
      <c r="AM28" s="75">
        <f t="shared" si="7"/>
        <v>0</v>
      </c>
      <c r="AN28" s="76">
        <f t="shared" si="8"/>
        <v>0</v>
      </c>
      <c r="AO28" s="76"/>
      <c r="AQ28" s="60">
        <f t="shared" si="9"/>
        <v>0</v>
      </c>
      <c r="AR28" s="60">
        <f t="shared" si="10"/>
        <v>0</v>
      </c>
      <c r="AT28" s="74">
        <f t="shared" si="17"/>
        <v>0</v>
      </c>
      <c r="AU28" s="75">
        <f t="shared" si="16"/>
        <v>0</v>
      </c>
      <c r="AV28" s="75"/>
      <c r="AW28" s="75"/>
      <c r="AX28" s="75">
        <f t="shared" si="11"/>
        <v>0</v>
      </c>
      <c r="AY28" s="76">
        <f t="shared" si="12"/>
        <v>0</v>
      </c>
    </row>
    <row r="29" spans="1:52" x14ac:dyDescent="0.35">
      <c r="A29" s="65">
        <f>+'VDF A'!A29-'VDF A'!K29-'VDF B'!K29</f>
        <v>92607660</v>
      </c>
      <c r="B29" s="49">
        <f t="shared" si="0"/>
        <v>45915</v>
      </c>
      <c r="C29" s="66">
        <f>+'VDF A'!C29</f>
        <v>30</v>
      </c>
      <c r="D29" s="67">
        <f t="shared" si="4"/>
        <v>0.1</v>
      </c>
      <c r="E29" s="77">
        <f t="shared" si="1"/>
        <v>0</v>
      </c>
      <c r="F29" s="69">
        <f t="shared" si="13"/>
        <v>0</v>
      </c>
      <c r="G29" s="51">
        <f t="shared" si="2"/>
        <v>0</v>
      </c>
      <c r="H29" s="49">
        <f>+'VDF A'!H29</f>
        <v>45915</v>
      </c>
      <c r="I29" s="70">
        <v>0</v>
      </c>
      <c r="J29" s="60">
        <v>0</v>
      </c>
      <c r="K29" s="71">
        <f t="shared" si="5"/>
        <v>0</v>
      </c>
      <c r="L29" s="152">
        <f t="shared" si="3"/>
        <v>0</v>
      </c>
      <c r="P29" s="86"/>
      <c r="W29" s="89"/>
      <c r="AD29" s="65">
        <f>+'VDF A'!A29-'VDF A'!AU29-'VDF B'!AY29</f>
        <v>92607660</v>
      </c>
      <c r="AF29" s="60">
        <f t="shared" si="6"/>
        <v>0</v>
      </c>
      <c r="AI29" s="74">
        <f t="shared" si="14"/>
        <v>0</v>
      </c>
      <c r="AJ29" s="75">
        <f t="shared" si="15"/>
        <v>0</v>
      </c>
      <c r="AK29" s="75"/>
      <c r="AL29" s="75"/>
      <c r="AM29" s="75">
        <f t="shared" si="7"/>
        <v>0</v>
      </c>
      <c r="AN29" s="76">
        <f t="shared" si="8"/>
        <v>0</v>
      </c>
      <c r="AO29" s="76"/>
      <c r="AQ29" s="60">
        <f t="shared" si="9"/>
        <v>0</v>
      </c>
      <c r="AR29" s="60">
        <f t="shared" si="10"/>
        <v>0</v>
      </c>
      <c r="AT29" s="74">
        <f t="shared" si="17"/>
        <v>0</v>
      </c>
      <c r="AU29" s="75">
        <f t="shared" si="16"/>
        <v>0</v>
      </c>
      <c r="AV29" s="75"/>
      <c r="AW29" s="75"/>
      <c r="AX29" s="75">
        <f t="shared" si="11"/>
        <v>0</v>
      </c>
      <c r="AY29" s="76">
        <f t="shared" si="12"/>
        <v>0</v>
      </c>
    </row>
    <row r="30" spans="1:52" x14ac:dyDescent="0.35">
      <c r="A30" s="65">
        <f>+'VDF A'!A30-'VDF A'!K30-'VDF B'!K30</f>
        <v>276480840</v>
      </c>
      <c r="B30" s="49">
        <f t="shared" si="0"/>
        <v>45945</v>
      </c>
      <c r="C30" s="66">
        <f>+'VDF A'!C30</f>
        <v>30</v>
      </c>
      <c r="D30" s="67">
        <f t="shared" si="4"/>
        <v>0.1</v>
      </c>
      <c r="E30" s="77">
        <f t="shared" si="1"/>
        <v>0</v>
      </c>
      <c r="F30" s="69">
        <f t="shared" si="13"/>
        <v>0</v>
      </c>
      <c r="G30" s="51">
        <f t="shared" si="2"/>
        <v>0</v>
      </c>
      <c r="H30" s="49">
        <f>+'VDF A'!H30</f>
        <v>45945</v>
      </c>
      <c r="I30" s="70">
        <v>0</v>
      </c>
      <c r="J30" s="60">
        <v>0</v>
      </c>
      <c r="K30" s="71">
        <f t="shared" si="5"/>
        <v>0</v>
      </c>
      <c r="L30" s="72">
        <f t="shared" si="3"/>
        <v>0</v>
      </c>
      <c r="P30" s="86"/>
      <c r="AD30" s="65">
        <f>+'VDF A'!A30-'VDF A'!AU30-'VDF B'!AY30</f>
        <v>173356785.75</v>
      </c>
      <c r="AF30" s="60">
        <f t="shared" si="6"/>
        <v>0</v>
      </c>
      <c r="AI30" s="74">
        <f t="shared" si="14"/>
        <v>0</v>
      </c>
      <c r="AJ30" s="75">
        <f t="shared" si="15"/>
        <v>0</v>
      </c>
      <c r="AK30" s="75"/>
      <c r="AL30" s="75"/>
      <c r="AM30" s="75">
        <f t="shared" si="7"/>
        <v>0</v>
      </c>
      <c r="AN30" s="76">
        <f t="shared" si="8"/>
        <v>0</v>
      </c>
      <c r="AO30" s="37"/>
      <c r="AQ30" s="60">
        <f t="shared" si="9"/>
        <v>0</v>
      </c>
      <c r="AR30" s="60">
        <f t="shared" si="10"/>
        <v>0</v>
      </c>
      <c r="AT30" s="74">
        <f t="shared" si="17"/>
        <v>0</v>
      </c>
      <c r="AU30" s="75">
        <f t="shared" si="16"/>
        <v>0</v>
      </c>
      <c r="AV30" s="75"/>
      <c r="AW30" s="75"/>
      <c r="AX30" s="75">
        <f t="shared" si="11"/>
        <v>0</v>
      </c>
      <c r="AY30" s="76">
        <f t="shared" si="12"/>
        <v>0</v>
      </c>
    </row>
    <row r="31" spans="1:52" x14ac:dyDescent="0.35">
      <c r="A31" s="65">
        <f>+'VDF A'!A31-'VDF A'!K31-'VDF B'!K31</f>
        <v>3120002</v>
      </c>
      <c r="B31" s="49">
        <f t="shared" si="0"/>
        <v>45976</v>
      </c>
      <c r="C31" s="66">
        <f>+'VDF A'!C31</f>
        <v>30</v>
      </c>
      <c r="D31" s="67">
        <f t="shared" si="4"/>
        <v>0.1</v>
      </c>
      <c r="E31" s="77">
        <f t="shared" si="1"/>
        <v>0</v>
      </c>
      <c r="F31" s="69">
        <f t="shared" si="13"/>
        <v>0</v>
      </c>
      <c r="G31" s="51">
        <f t="shared" si="2"/>
        <v>0</v>
      </c>
      <c r="H31" s="49">
        <f>+'VDF A'!H31</f>
        <v>45976</v>
      </c>
      <c r="I31" s="70">
        <v>252000</v>
      </c>
      <c r="J31" s="60">
        <f t="shared" ref="J31:J54" si="18">+MIN($A31,F31+G30)</f>
        <v>0</v>
      </c>
      <c r="K31" s="71">
        <f t="shared" si="5"/>
        <v>252000</v>
      </c>
      <c r="L31" s="72">
        <f t="shared" si="3"/>
        <v>-252000</v>
      </c>
      <c r="P31" s="86"/>
      <c r="AD31" s="65">
        <f>+'VDF A'!A31-'VDF A'!AU31-'VDF B'!AY31</f>
        <v>3120002</v>
      </c>
      <c r="AF31" s="60">
        <f t="shared" si="6"/>
        <v>252000</v>
      </c>
      <c r="AI31" s="74">
        <f t="shared" si="14"/>
        <v>0</v>
      </c>
      <c r="AJ31" s="75">
        <f t="shared" si="15"/>
        <v>0</v>
      </c>
      <c r="AK31" s="75">
        <f t="shared" ref="AK31:AK54" si="19">MIN(AD31,AI30+AJ31)</f>
        <v>0</v>
      </c>
      <c r="AL31" s="75">
        <v>252000</v>
      </c>
      <c r="AM31" s="75">
        <f t="shared" si="7"/>
        <v>-252000</v>
      </c>
      <c r="AN31" s="76">
        <f t="shared" si="8"/>
        <v>252000</v>
      </c>
      <c r="AO31" s="37"/>
      <c r="AQ31" s="60">
        <f t="shared" si="9"/>
        <v>252000</v>
      </c>
      <c r="AR31" s="60">
        <f t="shared" si="10"/>
        <v>252000</v>
      </c>
      <c r="AT31" s="74">
        <f t="shared" si="17"/>
        <v>0</v>
      </c>
      <c r="AU31" s="75">
        <f t="shared" si="16"/>
        <v>0</v>
      </c>
      <c r="AV31" s="75">
        <f t="shared" ref="AV31:AV54" si="20">MIN(AD31,AT30+AU31)</f>
        <v>0</v>
      </c>
      <c r="AW31" s="75">
        <v>252000</v>
      </c>
      <c r="AX31" s="75">
        <f t="shared" si="11"/>
        <v>-252000</v>
      </c>
      <c r="AY31" s="76">
        <f t="shared" si="12"/>
        <v>252000</v>
      </c>
    </row>
    <row r="32" spans="1:52" x14ac:dyDescent="0.35">
      <c r="A32" s="65">
        <f>+'VDF A'!A32-'VDF A'!K32-'VDF B'!K32</f>
        <v>2458610</v>
      </c>
      <c r="B32" s="49">
        <f t="shared" si="0"/>
        <v>46006</v>
      </c>
      <c r="C32" s="66">
        <f>+'VDF A'!C32</f>
        <v>30</v>
      </c>
      <c r="D32" s="67">
        <f t="shared" si="4"/>
        <v>0.1</v>
      </c>
      <c r="E32" s="77">
        <f t="shared" si="1"/>
        <v>0</v>
      </c>
      <c r="F32" s="69">
        <f t="shared" si="13"/>
        <v>0</v>
      </c>
      <c r="G32" s="51">
        <f t="shared" si="2"/>
        <v>0</v>
      </c>
      <c r="H32" s="49">
        <f>+'VDF A'!H32</f>
        <v>46006</v>
      </c>
      <c r="I32" s="70">
        <v>2266000</v>
      </c>
      <c r="J32" s="60">
        <f t="shared" si="18"/>
        <v>0</v>
      </c>
      <c r="K32" s="71">
        <f t="shared" si="5"/>
        <v>2266000</v>
      </c>
      <c r="L32" s="72">
        <f t="shared" si="3"/>
        <v>-2518000</v>
      </c>
      <c r="P32" s="86"/>
      <c r="AD32" s="65">
        <f>+'VDF A'!A32-'VDF A'!AU32-'VDF B'!AY32</f>
        <v>2458610</v>
      </c>
      <c r="AF32" s="60">
        <f t="shared" si="6"/>
        <v>2266000</v>
      </c>
      <c r="AI32" s="74">
        <f t="shared" si="14"/>
        <v>0</v>
      </c>
      <c r="AJ32" s="75">
        <f t="shared" si="15"/>
        <v>0</v>
      </c>
      <c r="AK32" s="75">
        <f t="shared" si="19"/>
        <v>0</v>
      </c>
      <c r="AL32" s="75">
        <v>2266000</v>
      </c>
      <c r="AM32" s="75">
        <f t="shared" si="7"/>
        <v>-2518000</v>
      </c>
      <c r="AN32" s="76">
        <f t="shared" si="8"/>
        <v>2266000</v>
      </c>
      <c r="AO32" s="37"/>
      <c r="AQ32" s="60">
        <f t="shared" si="9"/>
        <v>2266000</v>
      </c>
      <c r="AR32" s="60">
        <f t="shared" si="10"/>
        <v>2266000</v>
      </c>
      <c r="AT32" s="74">
        <f t="shared" si="17"/>
        <v>0</v>
      </c>
      <c r="AU32" s="75">
        <f t="shared" si="16"/>
        <v>0</v>
      </c>
      <c r="AV32" s="75">
        <f t="shared" si="20"/>
        <v>0</v>
      </c>
      <c r="AW32" s="75">
        <v>2266000</v>
      </c>
      <c r="AX32" s="75">
        <f t="shared" si="11"/>
        <v>-2518000</v>
      </c>
      <c r="AY32" s="76">
        <f t="shared" si="12"/>
        <v>2266000</v>
      </c>
    </row>
    <row r="33" spans="1:51" x14ac:dyDescent="0.35">
      <c r="A33" s="65">
        <f>+'VDF A'!A33-'VDF A'!K33-'VDF B'!K33</f>
        <v>0</v>
      </c>
      <c r="B33" s="49">
        <f t="shared" si="0"/>
        <v>46037</v>
      </c>
      <c r="C33" s="66">
        <f>+'VDF A'!C33</f>
        <v>30</v>
      </c>
      <c r="D33" s="67">
        <f t="shared" si="4"/>
        <v>0.1</v>
      </c>
      <c r="E33" s="77">
        <f t="shared" si="1"/>
        <v>0</v>
      </c>
      <c r="F33" s="69">
        <f t="shared" si="13"/>
        <v>0</v>
      </c>
      <c r="G33" s="51">
        <f t="shared" si="2"/>
        <v>0</v>
      </c>
      <c r="H33" s="49">
        <f>+'VDF A'!H33</f>
        <v>46037</v>
      </c>
      <c r="I33" s="70">
        <f t="shared" ref="I33:I54" si="21">+IF(L32&gt;0,MIN(A33-J33,L32),0)</f>
        <v>0</v>
      </c>
      <c r="J33" s="60">
        <f t="shared" si="18"/>
        <v>0</v>
      </c>
      <c r="K33" s="71">
        <f t="shared" si="5"/>
        <v>0</v>
      </c>
      <c r="L33" s="72">
        <f t="shared" si="3"/>
        <v>-2518000</v>
      </c>
      <c r="P33" s="86"/>
      <c r="AD33" s="65">
        <f>+'VDF A'!A33-'VDF A'!AU33-'VDF B'!AY33</f>
        <v>0</v>
      </c>
      <c r="AF33" s="60">
        <f>+K33</f>
        <v>0</v>
      </c>
      <c r="AI33" s="74">
        <f t="shared" si="14"/>
        <v>0</v>
      </c>
      <c r="AJ33" s="75">
        <f t="shared" si="15"/>
        <v>0</v>
      </c>
      <c r="AK33" s="75">
        <f t="shared" si="19"/>
        <v>0</v>
      </c>
      <c r="AL33" s="75"/>
      <c r="AM33" s="75">
        <f t="shared" si="7"/>
        <v>-2518000</v>
      </c>
      <c r="AN33" s="76">
        <f t="shared" si="8"/>
        <v>0</v>
      </c>
      <c r="AO33" s="37"/>
      <c r="AQ33" s="60">
        <f t="shared" si="9"/>
        <v>0</v>
      </c>
      <c r="AR33" s="60">
        <f t="shared" si="10"/>
        <v>0</v>
      </c>
      <c r="AT33" s="74">
        <f t="shared" si="17"/>
        <v>0</v>
      </c>
      <c r="AU33" s="75">
        <f t="shared" si="16"/>
        <v>0</v>
      </c>
      <c r="AV33" s="75">
        <f t="shared" si="20"/>
        <v>0</v>
      </c>
      <c r="AW33" s="75"/>
      <c r="AX33" s="75">
        <f t="shared" si="11"/>
        <v>-2518000</v>
      </c>
      <c r="AY33" s="76">
        <f t="shared" si="12"/>
        <v>0</v>
      </c>
    </row>
    <row r="34" spans="1:51" x14ac:dyDescent="0.35">
      <c r="A34" s="65">
        <f>+'VDF A'!A34-'VDF A'!K34-'VDF B'!K34</f>
        <v>0</v>
      </c>
      <c r="B34" s="49">
        <f t="shared" si="0"/>
        <v>46068</v>
      </c>
      <c r="C34" s="66">
        <f>+'VDF A'!C34</f>
        <v>30</v>
      </c>
      <c r="D34" s="67">
        <f t="shared" si="4"/>
        <v>0.1</v>
      </c>
      <c r="E34" s="77">
        <f t="shared" si="1"/>
        <v>0</v>
      </c>
      <c r="F34" s="69">
        <f t="shared" si="13"/>
        <v>0</v>
      </c>
      <c r="G34" s="51">
        <f t="shared" si="2"/>
        <v>0</v>
      </c>
      <c r="H34" s="49">
        <f>+'VDF A'!H34</f>
        <v>46068</v>
      </c>
      <c r="I34" s="70">
        <f t="shared" si="21"/>
        <v>0</v>
      </c>
      <c r="J34" s="60">
        <f t="shared" si="18"/>
        <v>0</v>
      </c>
      <c r="K34" s="71">
        <f t="shared" si="5"/>
        <v>0</v>
      </c>
      <c r="L34" s="72">
        <f t="shared" si="3"/>
        <v>-2518000</v>
      </c>
      <c r="P34" s="86"/>
      <c r="AD34" s="65">
        <f>+'VDF A'!A34-'VDF A'!AU34-'VDF B'!AY34</f>
        <v>0</v>
      </c>
      <c r="AF34" s="60">
        <f t="shared" si="6"/>
        <v>0</v>
      </c>
      <c r="AI34" s="74">
        <f t="shared" si="14"/>
        <v>0</v>
      </c>
      <c r="AJ34" s="75">
        <f t="shared" si="15"/>
        <v>0</v>
      </c>
      <c r="AK34" s="75">
        <f t="shared" si="19"/>
        <v>0</v>
      </c>
      <c r="AL34" s="75">
        <f>+IF(AM33&lt;0,0,MIN(AD34-AK34,AM33))</f>
        <v>0</v>
      </c>
      <c r="AM34" s="75">
        <f t="shared" si="7"/>
        <v>-2518000</v>
      </c>
      <c r="AN34" s="76">
        <f t="shared" si="8"/>
        <v>0</v>
      </c>
      <c r="AO34" s="37"/>
      <c r="AQ34" s="60">
        <f t="shared" si="9"/>
        <v>0</v>
      </c>
      <c r="AR34" s="60">
        <f t="shared" si="10"/>
        <v>0</v>
      </c>
      <c r="AT34" s="74">
        <f t="shared" si="17"/>
        <v>0</v>
      </c>
      <c r="AU34" s="75">
        <f t="shared" si="16"/>
        <v>0</v>
      </c>
      <c r="AV34" s="75">
        <f t="shared" si="20"/>
        <v>0</v>
      </c>
      <c r="AW34" s="75">
        <f t="shared" ref="AW34:AW54" si="22">+IF(AX33&lt;0,0,MIN(AD34-AV34,AM33))</f>
        <v>0</v>
      </c>
      <c r="AX34" s="75">
        <f t="shared" si="11"/>
        <v>-2518000</v>
      </c>
      <c r="AY34" s="76">
        <f t="shared" si="12"/>
        <v>0</v>
      </c>
    </row>
    <row r="35" spans="1:51" x14ac:dyDescent="0.35">
      <c r="A35" s="65">
        <f>+'VDF A'!A35-'VDF A'!K35-'VDF B'!K35</f>
        <v>0</v>
      </c>
      <c r="B35" s="49">
        <f t="shared" si="0"/>
        <v>46096</v>
      </c>
      <c r="C35" s="66">
        <f>+'VDF A'!C35</f>
        <v>30</v>
      </c>
      <c r="D35" s="67">
        <f t="shared" si="4"/>
        <v>0.1</v>
      </c>
      <c r="E35" s="77">
        <f t="shared" si="1"/>
        <v>0</v>
      </c>
      <c r="F35" s="69">
        <f t="shared" si="13"/>
        <v>0</v>
      </c>
      <c r="G35" s="51">
        <f t="shared" si="2"/>
        <v>0</v>
      </c>
      <c r="H35" s="49">
        <f>+'VDF A'!H35</f>
        <v>46096</v>
      </c>
      <c r="I35" s="70">
        <f t="shared" si="21"/>
        <v>0</v>
      </c>
      <c r="J35" s="60">
        <f t="shared" si="18"/>
        <v>0</v>
      </c>
      <c r="K35" s="71">
        <f t="shared" si="5"/>
        <v>0</v>
      </c>
      <c r="L35" s="72">
        <f t="shared" si="3"/>
        <v>-2518000</v>
      </c>
      <c r="P35" s="86"/>
      <c r="AD35" s="65">
        <f>+'VDF A'!A35-'VDF A'!AU35-'VDF B'!AY35</f>
        <v>0</v>
      </c>
      <c r="AF35" s="60">
        <f t="shared" si="6"/>
        <v>0</v>
      </c>
      <c r="AI35" s="74">
        <f t="shared" si="14"/>
        <v>0</v>
      </c>
      <c r="AJ35" s="75">
        <f t="shared" si="15"/>
        <v>0</v>
      </c>
      <c r="AK35" s="75">
        <f t="shared" si="19"/>
        <v>0</v>
      </c>
      <c r="AL35" s="75">
        <f t="shared" ref="AL35:AL54" si="23">+IF(AM34&lt;0,0,MIN(AD35-AK35,AM34))</f>
        <v>0</v>
      </c>
      <c r="AM35" s="75">
        <f t="shared" si="7"/>
        <v>-2518000</v>
      </c>
      <c r="AN35" s="76">
        <f t="shared" si="8"/>
        <v>0</v>
      </c>
      <c r="AO35" s="37"/>
      <c r="AQ35" s="60">
        <f t="shared" si="9"/>
        <v>0</v>
      </c>
      <c r="AR35" s="60">
        <f t="shared" si="10"/>
        <v>0</v>
      </c>
      <c r="AT35" s="74">
        <f t="shared" si="17"/>
        <v>0</v>
      </c>
      <c r="AU35" s="75">
        <f t="shared" si="16"/>
        <v>0</v>
      </c>
      <c r="AV35" s="75">
        <f t="shared" si="20"/>
        <v>0</v>
      </c>
      <c r="AW35" s="75">
        <f t="shared" si="22"/>
        <v>0</v>
      </c>
      <c r="AX35" s="75">
        <f t="shared" si="11"/>
        <v>-2518000</v>
      </c>
      <c r="AY35" s="76">
        <f t="shared" si="12"/>
        <v>0</v>
      </c>
    </row>
    <row r="36" spans="1:51" x14ac:dyDescent="0.35">
      <c r="A36" s="65">
        <f>+'VDF A'!A36-'VDF A'!K36-'VDF B'!K36</f>
        <v>0</v>
      </c>
      <c r="B36" s="49">
        <f t="shared" si="0"/>
        <v>46127</v>
      </c>
      <c r="C36" s="66">
        <f>+'VDF A'!C36</f>
        <v>30</v>
      </c>
      <c r="D36" s="67">
        <f t="shared" si="4"/>
        <v>0.1</v>
      </c>
      <c r="E36" s="77">
        <f t="shared" si="1"/>
        <v>0</v>
      </c>
      <c r="F36" s="69">
        <f t="shared" si="13"/>
        <v>0</v>
      </c>
      <c r="G36" s="51">
        <f t="shared" si="2"/>
        <v>0</v>
      </c>
      <c r="H36" s="49">
        <f>+'VDF A'!H36</f>
        <v>46127</v>
      </c>
      <c r="I36" s="70">
        <f t="shared" si="21"/>
        <v>0</v>
      </c>
      <c r="J36" s="60">
        <f t="shared" si="18"/>
        <v>0</v>
      </c>
      <c r="K36" s="71">
        <f t="shared" si="5"/>
        <v>0</v>
      </c>
      <c r="L36" s="72">
        <f t="shared" si="3"/>
        <v>-2518000</v>
      </c>
      <c r="N36" s="90"/>
      <c r="O36" s="90"/>
      <c r="P36" s="90"/>
      <c r="AD36" s="65">
        <f>+'VDF A'!A36-'VDF A'!AU36-'VDF B'!AY36</f>
        <v>0</v>
      </c>
      <c r="AF36" s="60">
        <f t="shared" si="6"/>
        <v>0</v>
      </c>
      <c r="AI36" s="74">
        <f>+AI35+AJ36-AK36</f>
        <v>0</v>
      </c>
      <c r="AJ36" s="75">
        <f t="shared" si="15"/>
        <v>0</v>
      </c>
      <c r="AK36" s="75">
        <f t="shared" si="19"/>
        <v>0</v>
      </c>
      <c r="AL36" s="75">
        <f t="shared" si="23"/>
        <v>0</v>
      </c>
      <c r="AM36" s="75">
        <f t="shared" si="7"/>
        <v>-2518000</v>
      </c>
      <c r="AN36" s="76">
        <f t="shared" si="8"/>
        <v>0</v>
      </c>
      <c r="AO36" s="37"/>
      <c r="AQ36" s="60">
        <f t="shared" si="9"/>
        <v>0</v>
      </c>
      <c r="AR36" s="60">
        <f t="shared" si="10"/>
        <v>0</v>
      </c>
      <c r="AT36" s="74">
        <f t="shared" si="17"/>
        <v>0</v>
      </c>
      <c r="AU36" s="75">
        <f t="shared" ref="AU36:AU54" si="24">+((MAX($I$8,MIN($I$9,$O$9+$I$10/10000))*AM35)/360)*$C36</f>
        <v>0</v>
      </c>
      <c r="AV36" s="75">
        <f t="shared" si="20"/>
        <v>0</v>
      </c>
      <c r="AW36" s="75">
        <f t="shared" si="22"/>
        <v>0</v>
      </c>
      <c r="AX36" s="75">
        <f t="shared" si="11"/>
        <v>-2518000</v>
      </c>
      <c r="AY36" s="76">
        <f t="shared" si="12"/>
        <v>0</v>
      </c>
    </row>
    <row r="37" spans="1:51" x14ac:dyDescent="0.35">
      <c r="A37" s="65">
        <f>+'VDF A'!A37-'VDF A'!K37-'VDF B'!K37</f>
        <v>0</v>
      </c>
      <c r="B37" s="49">
        <f t="shared" si="0"/>
        <v>46157</v>
      </c>
      <c r="C37" s="66">
        <f>+'VDF A'!C37</f>
        <v>30</v>
      </c>
      <c r="D37" s="67">
        <f t="shared" si="4"/>
        <v>0.1</v>
      </c>
      <c r="E37" s="77">
        <f t="shared" si="1"/>
        <v>0</v>
      </c>
      <c r="F37" s="69">
        <f t="shared" si="13"/>
        <v>0</v>
      </c>
      <c r="G37" s="51">
        <f t="shared" si="2"/>
        <v>0</v>
      </c>
      <c r="H37" s="49">
        <f>+'VDF A'!H37</f>
        <v>46157</v>
      </c>
      <c r="I37" s="70">
        <f t="shared" si="21"/>
        <v>0</v>
      </c>
      <c r="J37" s="60">
        <f t="shared" si="18"/>
        <v>0</v>
      </c>
      <c r="K37" s="71">
        <f t="shared" si="5"/>
        <v>0</v>
      </c>
      <c r="L37" s="72">
        <f t="shared" si="3"/>
        <v>-2518000</v>
      </c>
      <c r="N37" s="90"/>
      <c r="O37" s="90"/>
      <c r="P37" s="90"/>
      <c r="AD37" s="65">
        <f>+'VDF A'!A37-'VDF A'!AU37-'VDF B'!AY37</f>
        <v>0</v>
      </c>
      <c r="AF37" s="60">
        <f t="shared" si="6"/>
        <v>0</v>
      </c>
      <c r="AI37" s="74">
        <f t="shared" si="14"/>
        <v>0</v>
      </c>
      <c r="AJ37" s="75">
        <f t="shared" si="15"/>
        <v>0</v>
      </c>
      <c r="AK37" s="75">
        <f t="shared" si="19"/>
        <v>0</v>
      </c>
      <c r="AL37" s="75">
        <f t="shared" si="23"/>
        <v>0</v>
      </c>
      <c r="AM37" s="75">
        <f t="shared" si="7"/>
        <v>-2518000</v>
      </c>
      <c r="AN37" s="76">
        <f t="shared" si="8"/>
        <v>0</v>
      </c>
      <c r="AO37" s="37"/>
      <c r="AQ37" s="60">
        <f t="shared" si="9"/>
        <v>0</v>
      </c>
      <c r="AR37" s="60">
        <f t="shared" si="10"/>
        <v>0</v>
      </c>
      <c r="AT37" s="74">
        <f t="shared" si="17"/>
        <v>0</v>
      </c>
      <c r="AU37" s="75">
        <f t="shared" si="24"/>
        <v>0</v>
      </c>
      <c r="AV37" s="75">
        <f t="shared" si="20"/>
        <v>0</v>
      </c>
      <c r="AW37" s="75">
        <f t="shared" si="22"/>
        <v>0</v>
      </c>
      <c r="AX37" s="75">
        <f t="shared" si="11"/>
        <v>-2518000</v>
      </c>
      <c r="AY37" s="76">
        <f t="shared" si="12"/>
        <v>0</v>
      </c>
    </row>
    <row r="38" spans="1:51" x14ac:dyDescent="0.35">
      <c r="A38" s="65">
        <f>+'VDF A'!A38-'VDF A'!K38-'VDF B'!K38</f>
        <v>0</v>
      </c>
      <c r="B38" s="49">
        <f t="shared" si="0"/>
        <v>46188</v>
      </c>
      <c r="C38" s="66">
        <f>+'VDF A'!C38</f>
        <v>30</v>
      </c>
      <c r="D38" s="67">
        <f t="shared" si="4"/>
        <v>0.1</v>
      </c>
      <c r="E38" s="77">
        <f t="shared" si="1"/>
        <v>0</v>
      </c>
      <c r="F38" s="69">
        <f t="shared" si="13"/>
        <v>0</v>
      </c>
      <c r="G38" s="51">
        <f t="shared" si="2"/>
        <v>0</v>
      </c>
      <c r="H38" s="49">
        <f>+'VDF A'!H38</f>
        <v>46188</v>
      </c>
      <c r="I38" s="70">
        <f t="shared" si="21"/>
        <v>0</v>
      </c>
      <c r="J38" s="60">
        <f t="shared" si="18"/>
        <v>0</v>
      </c>
      <c r="K38" s="71">
        <f t="shared" si="5"/>
        <v>0</v>
      </c>
      <c r="L38" s="72">
        <f t="shared" si="3"/>
        <v>-2518000</v>
      </c>
      <c r="N38" s="90"/>
      <c r="O38" s="90"/>
      <c r="P38" s="90"/>
      <c r="AD38" s="65">
        <f>+'VDF A'!A38-'VDF A'!AU38-'VDF B'!AY38</f>
        <v>0</v>
      </c>
      <c r="AF38" s="60">
        <f t="shared" si="6"/>
        <v>0</v>
      </c>
      <c r="AI38" s="74">
        <f t="shared" si="14"/>
        <v>0</v>
      </c>
      <c r="AJ38" s="75">
        <f t="shared" si="15"/>
        <v>0</v>
      </c>
      <c r="AK38" s="75">
        <f t="shared" si="19"/>
        <v>0</v>
      </c>
      <c r="AL38" s="75">
        <f t="shared" si="23"/>
        <v>0</v>
      </c>
      <c r="AM38" s="75">
        <f t="shared" si="7"/>
        <v>-2518000</v>
      </c>
      <c r="AN38" s="76">
        <f t="shared" si="8"/>
        <v>0</v>
      </c>
      <c r="AO38" s="37"/>
      <c r="AQ38" s="60">
        <f t="shared" si="9"/>
        <v>0</v>
      </c>
      <c r="AR38" s="60">
        <f t="shared" si="10"/>
        <v>0</v>
      </c>
      <c r="AT38" s="74">
        <f t="shared" si="17"/>
        <v>0</v>
      </c>
      <c r="AU38" s="75">
        <f t="shared" si="24"/>
        <v>0</v>
      </c>
      <c r="AV38" s="75">
        <f t="shared" si="20"/>
        <v>0</v>
      </c>
      <c r="AW38" s="75">
        <f t="shared" si="22"/>
        <v>0</v>
      </c>
      <c r="AX38" s="75">
        <f t="shared" si="11"/>
        <v>-2518000</v>
      </c>
      <c r="AY38" s="76">
        <f t="shared" si="12"/>
        <v>0</v>
      </c>
    </row>
    <row r="39" spans="1:51" x14ac:dyDescent="0.35">
      <c r="A39" s="65">
        <f>+'VDF A'!A39-'VDF A'!K39-'VDF B'!K39</f>
        <v>0</v>
      </c>
      <c r="B39" s="49">
        <f t="shared" si="0"/>
        <v>46218</v>
      </c>
      <c r="C39" s="66">
        <f>+'VDF A'!C39</f>
        <v>30</v>
      </c>
      <c r="D39" s="67">
        <f t="shared" si="4"/>
        <v>0.1</v>
      </c>
      <c r="E39" s="77">
        <f t="shared" si="1"/>
        <v>0</v>
      </c>
      <c r="F39" s="69">
        <f t="shared" si="13"/>
        <v>0</v>
      </c>
      <c r="G39" s="51">
        <f t="shared" si="2"/>
        <v>0</v>
      </c>
      <c r="H39" s="49">
        <f>+'VDF A'!H39</f>
        <v>46218</v>
      </c>
      <c r="I39" s="70">
        <f t="shared" si="21"/>
        <v>0</v>
      </c>
      <c r="J39" s="60">
        <f t="shared" si="18"/>
        <v>0</v>
      </c>
      <c r="K39" s="71">
        <f t="shared" si="5"/>
        <v>0</v>
      </c>
      <c r="L39" s="72">
        <f t="shared" si="3"/>
        <v>-2518000</v>
      </c>
      <c r="N39" s="90"/>
      <c r="O39" s="90"/>
      <c r="P39" s="90"/>
      <c r="AD39" s="65">
        <f>+'VDF A'!A39-'VDF A'!AU39-'VDF B'!AY39</f>
        <v>0</v>
      </c>
      <c r="AF39" s="60">
        <f t="shared" si="6"/>
        <v>0</v>
      </c>
      <c r="AI39" s="74">
        <f t="shared" si="14"/>
        <v>0</v>
      </c>
      <c r="AJ39" s="75">
        <f t="shared" si="15"/>
        <v>0</v>
      </c>
      <c r="AK39" s="75">
        <f t="shared" si="19"/>
        <v>0</v>
      </c>
      <c r="AL39" s="75">
        <f t="shared" si="23"/>
        <v>0</v>
      </c>
      <c r="AM39" s="75">
        <f t="shared" si="7"/>
        <v>-2518000</v>
      </c>
      <c r="AN39" s="76">
        <f t="shared" si="8"/>
        <v>0</v>
      </c>
      <c r="AO39" s="37"/>
      <c r="AQ39" s="60">
        <f t="shared" si="9"/>
        <v>0</v>
      </c>
      <c r="AR39" s="60">
        <f t="shared" si="10"/>
        <v>0</v>
      </c>
      <c r="AT39" s="74">
        <f t="shared" si="17"/>
        <v>0</v>
      </c>
      <c r="AU39" s="75">
        <f t="shared" si="24"/>
        <v>0</v>
      </c>
      <c r="AV39" s="75">
        <f t="shared" si="20"/>
        <v>0</v>
      </c>
      <c r="AW39" s="75">
        <f t="shared" si="22"/>
        <v>0</v>
      </c>
      <c r="AX39" s="75">
        <f t="shared" si="11"/>
        <v>-2518000</v>
      </c>
      <c r="AY39" s="76">
        <f t="shared" si="12"/>
        <v>0</v>
      </c>
    </row>
    <row r="40" spans="1:51" x14ac:dyDescent="0.35">
      <c r="A40" s="65">
        <f>+'VDF A'!A40-'VDF A'!K40-'VDF B'!K40</f>
        <v>0</v>
      </c>
      <c r="B40" s="49">
        <f t="shared" si="0"/>
        <v>46249</v>
      </c>
      <c r="C40" s="66">
        <f>+'VDF A'!C40</f>
        <v>30</v>
      </c>
      <c r="D40" s="67">
        <f t="shared" si="4"/>
        <v>0.1</v>
      </c>
      <c r="E40" s="77">
        <f t="shared" si="1"/>
        <v>0</v>
      </c>
      <c r="F40" s="69">
        <f t="shared" si="13"/>
        <v>0</v>
      </c>
      <c r="G40" s="51">
        <f t="shared" si="2"/>
        <v>0</v>
      </c>
      <c r="H40" s="49">
        <f>+'VDF A'!H40</f>
        <v>46249</v>
      </c>
      <c r="I40" s="70">
        <f t="shared" si="21"/>
        <v>0</v>
      </c>
      <c r="J40" s="60">
        <f t="shared" si="18"/>
        <v>0</v>
      </c>
      <c r="K40" s="71">
        <f t="shared" si="5"/>
        <v>0</v>
      </c>
      <c r="L40" s="72">
        <f t="shared" si="3"/>
        <v>-2518000</v>
      </c>
      <c r="N40" s="90"/>
      <c r="O40" s="90"/>
      <c r="P40" s="90"/>
      <c r="AD40" s="65">
        <f>+'VDF A'!A40-'VDF A'!AU40-'VDF B'!AY40</f>
        <v>0</v>
      </c>
      <c r="AF40" s="60">
        <f t="shared" si="6"/>
        <v>0</v>
      </c>
      <c r="AI40" s="74">
        <f t="shared" si="14"/>
        <v>0</v>
      </c>
      <c r="AJ40" s="75">
        <f t="shared" ref="AJ40:AJ54" si="25">+((MAX($I$8,MIN($I$9,$O$9+$I$10/10000))*AM39)/360)*$C40</f>
        <v>0</v>
      </c>
      <c r="AK40" s="75">
        <f t="shared" si="19"/>
        <v>0</v>
      </c>
      <c r="AL40" s="75">
        <f t="shared" si="23"/>
        <v>0</v>
      </c>
      <c r="AM40" s="75">
        <f t="shared" si="7"/>
        <v>-2518000</v>
      </c>
      <c r="AN40" s="76">
        <f t="shared" si="8"/>
        <v>0</v>
      </c>
      <c r="AO40" s="37"/>
      <c r="AQ40" s="60">
        <f t="shared" si="9"/>
        <v>0</v>
      </c>
      <c r="AR40" s="60">
        <f t="shared" si="10"/>
        <v>0</v>
      </c>
      <c r="AT40" s="74">
        <f t="shared" si="17"/>
        <v>0</v>
      </c>
      <c r="AU40" s="75">
        <f t="shared" si="24"/>
        <v>0</v>
      </c>
      <c r="AV40" s="75">
        <f t="shared" si="20"/>
        <v>0</v>
      </c>
      <c r="AW40" s="75">
        <f t="shared" si="22"/>
        <v>0</v>
      </c>
      <c r="AX40" s="75">
        <f t="shared" si="11"/>
        <v>-2518000</v>
      </c>
      <c r="AY40" s="76">
        <f t="shared" si="12"/>
        <v>0</v>
      </c>
    </row>
    <row r="41" spans="1:51" x14ac:dyDescent="0.35">
      <c r="A41" s="65">
        <f>+'VDF A'!A41-'VDF A'!K41-'VDF B'!K41</f>
        <v>0</v>
      </c>
      <c r="B41" s="49">
        <f t="shared" si="0"/>
        <v>46280</v>
      </c>
      <c r="C41" s="66">
        <f>+'VDF A'!C41</f>
        <v>30</v>
      </c>
      <c r="D41" s="67">
        <f t="shared" si="4"/>
        <v>0.1</v>
      </c>
      <c r="E41" s="77">
        <f t="shared" si="1"/>
        <v>0</v>
      </c>
      <c r="F41" s="69">
        <f t="shared" si="13"/>
        <v>0</v>
      </c>
      <c r="G41" s="51">
        <f t="shared" si="2"/>
        <v>0</v>
      </c>
      <c r="H41" s="49">
        <f>+'VDF A'!H41</f>
        <v>46280</v>
      </c>
      <c r="I41" s="70">
        <f t="shared" si="21"/>
        <v>0</v>
      </c>
      <c r="J41" s="60">
        <f t="shared" si="18"/>
        <v>0</v>
      </c>
      <c r="K41" s="71">
        <f t="shared" si="5"/>
        <v>0</v>
      </c>
      <c r="L41" s="72">
        <f t="shared" si="3"/>
        <v>-2518000</v>
      </c>
      <c r="N41" s="90"/>
      <c r="O41" s="90"/>
      <c r="P41" s="90"/>
      <c r="AD41" s="65">
        <f>+'VDF A'!A41-'VDF A'!AU41-'VDF B'!AY41</f>
        <v>0</v>
      </c>
      <c r="AF41" s="60">
        <f t="shared" si="6"/>
        <v>0</v>
      </c>
      <c r="AI41" s="74">
        <f t="shared" si="14"/>
        <v>0</v>
      </c>
      <c r="AJ41" s="75">
        <f t="shared" si="25"/>
        <v>0</v>
      </c>
      <c r="AK41" s="75">
        <f t="shared" si="19"/>
        <v>0</v>
      </c>
      <c r="AL41" s="75">
        <f t="shared" si="23"/>
        <v>0</v>
      </c>
      <c r="AM41" s="75">
        <f t="shared" si="7"/>
        <v>-2518000</v>
      </c>
      <c r="AN41" s="76">
        <f t="shared" si="8"/>
        <v>0</v>
      </c>
      <c r="AO41" s="37"/>
      <c r="AQ41" s="60">
        <f t="shared" si="9"/>
        <v>0</v>
      </c>
      <c r="AR41" s="60">
        <f t="shared" si="10"/>
        <v>0</v>
      </c>
      <c r="AT41" s="74">
        <f t="shared" si="17"/>
        <v>0</v>
      </c>
      <c r="AU41" s="75">
        <f t="shared" si="24"/>
        <v>0</v>
      </c>
      <c r="AV41" s="75">
        <f t="shared" si="20"/>
        <v>0</v>
      </c>
      <c r="AW41" s="75">
        <f t="shared" si="22"/>
        <v>0</v>
      </c>
      <c r="AX41" s="75">
        <f t="shared" si="11"/>
        <v>-2518000</v>
      </c>
      <c r="AY41" s="76">
        <f t="shared" si="12"/>
        <v>0</v>
      </c>
    </row>
    <row r="42" spans="1:51" x14ac:dyDescent="0.35">
      <c r="A42" s="65">
        <f>+'VDF A'!A42-'VDF A'!K42-'VDF B'!K42</f>
        <v>0</v>
      </c>
      <c r="B42" s="49">
        <f t="shared" si="0"/>
        <v>46310</v>
      </c>
      <c r="C42" s="66">
        <f>+'VDF A'!C42</f>
        <v>30</v>
      </c>
      <c r="D42" s="67">
        <f t="shared" si="4"/>
        <v>0.1</v>
      </c>
      <c r="E42" s="77">
        <f t="shared" si="1"/>
        <v>0</v>
      </c>
      <c r="F42" s="69">
        <f t="shared" si="13"/>
        <v>0</v>
      </c>
      <c r="G42" s="51">
        <f t="shared" si="2"/>
        <v>0</v>
      </c>
      <c r="H42" s="49">
        <f>+'VDF A'!H42</f>
        <v>46310</v>
      </c>
      <c r="I42" s="70">
        <f t="shared" si="21"/>
        <v>0</v>
      </c>
      <c r="J42" s="60">
        <f t="shared" si="18"/>
        <v>0</v>
      </c>
      <c r="K42" s="71">
        <f t="shared" si="5"/>
        <v>0</v>
      </c>
      <c r="L42" s="72">
        <f t="shared" si="3"/>
        <v>-2518000</v>
      </c>
      <c r="N42" s="90"/>
      <c r="O42" s="90"/>
      <c r="P42" s="90"/>
      <c r="AD42" s="65">
        <f>+'VDF A'!A42-'VDF A'!AU42-'VDF B'!AY42</f>
        <v>0</v>
      </c>
      <c r="AF42" s="60">
        <f t="shared" si="6"/>
        <v>0</v>
      </c>
      <c r="AI42" s="74">
        <f t="shared" si="14"/>
        <v>0</v>
      </c>
      <c r="AJ42" s="75">
        <f t="shared" si="25"/>
        <v>0</v>
      </c>
      <c r="AK42" s="75">
        <f t="shared" si="19"/>
        <v>0</v>
      </c>
      <c r="AL42" s="75">
        <f t="shared" si="23"/>
        <v>0</v>
      </c>
      <c r="AM42" s="75">
        <f t="shared" si="7"/>
        <v>-2518000</v>
      </c>
      <c r="AN42" s="76">
        <f t="shared" si="8"/>
        <v>0</v>
      </c>
      <c r="AO42" s="37"/>
      <c r="AQ42" s="60">
        <f t="shared" si="9"/>
        <v>0</v>
      </c>
      <c r="AR42" s="60">
        <f t="shared" si="10"/>
        <v>0</v>
      </c>
      <c r="AT42" s="74">
        <f t="shared" si="17"/>
        <v>0</v>
      </c>
      <c r="AU42" s="75">
        <f t="shared" si="24"/>
        <v>0</v>
      </c>
      <c r="AV42" s="75">
        <f t="shared" si="20"/>
        <v>0</v>
      </c>
      <c r="AW42" s="75">
        <f t="shared" si="22"/>
        <v>0</v>
      </c>
      <c r="AX42" s="75">
        <f t="shared" si="11"/>
        <v>-2518000</v>
      </c>
      <c r="AY42" s="76">
        <f t="shared" si="12"/>
        <v>0</v>
      </c>
    </row>
    <row r="43" spans="1:51" x14ac:dyDescent="0.35">
      <c r="A43" s="65">
        <f>+'VDF A'!A43-'VDF A'!K43-'VDF B'!K43</f>
        <v>0</v>
      </c>
      <c r="B43" s="49">
        <f t="shared" si="0"/>
        <v>46341</v>
      </c>
      <c r="C43" s="66">
        <f>+'VDF A'!C43</f>
        <v>30</v>
      </c>
      <c r="D43" s="67">
        <f t="shared" si="4"/>
        <v>0.1</v>
      </c>
      <c r="E43" s="77">
        <f t="shared" si="1"/>
        <v>0</v>
      </c>
      <c r="F43" s="69">
        <f t="shared" si="13"/>
        <v>0</v>
      </c>
      <c r="G43" s="51">
        <f t="shared" si="2"/>
        <v>0</v>
      </c>
      <c r="H43" s="49">
        <f>+'VDF A'!H43</f>
        <v>46341</v>
      </c>
      <c r="I43" s="70">
        <f t="shared" si="21"/>
        <v>0</v>
      </c>
      <c r="J43" s="60">
        <f t="shared" si="18"/>
        <v>0</v>
      </c>
      <c r="K43" s="71">
        <f t="shared" si="5"/>
        <v>0</v>
      </c>
      <c r="L43" s="72">
        <f t="shared" si="3"/>
        <v>-2518000</v>
      </c>
      <c r="N43" s="90"/>
      <c r="O43" s="90"/>
      <c r="P43" s="90"/>
      <c r="AD43" s="65">
        <f>+'VDF A'!A43-'VDF A'!AU43-'VDF B'!AY43</f>
        <v>0</v>
      </c>
      <c r="AF43" s="60">
        <f t="shared" si="6"/>
        <v>0</v>
      </c>
      <c r="AI43" s="74">
        <f t="shared" si="14"/>
        <v>0</v>
      </c>
      <c r="AJ43" s="75">
        <f t="shared" si="25"/>
        <v>0</v>
      </c>
      <c r="AK43" s="75">
        <f t="shared" si="19"/>
        <v>0</v>
      </c>
      <c r="AL43" s="75">
        <f t="shared" si="23"/>
        <v>0</v>
      </c>
      <c r="AM43" s="75">
        <f t="shared" si="7"/>
        <v>-2518000</v>
      </c>
      <c r="AN43" s="76">
        <f t="shared" si="8"/>
        <v>0</v>
      </c>
      <c r="AO43" s="37"/>
      <c r="AQ43" s="60">
        <f t="shared" si="9"/>
        <v>0</v>
      </c>
      <c r="AR43" s="60">
        <f t="shared" si="10"/>
        <v>0</v>
      </c>
      <c r="AT43" s="74">
        <f t="shared" si="17"/>
        <v>0</v>
      </c>
      <c r="AU43" s="75">
        <f t="shared" si="24"/>
        <v>0</v>
      </c>
      <c r="AV43" s="75">
        <f t="shared" si="20"/>
        <v>0</v>
      </c>
      <c r="AW43" s="75">
        <f t="shared" si="22"/>
        <v>0</v>
      </c>
      <c r="AX43" s="75">
        <f t="shared" si="11"/>
        <v>-2518000</v>
      </c>
      <c r="AY43" s="76">
        <f t="shared" si="12"/>
        <v>0</v>
      </c>
    </row>
    <row r="44" spans="1:51" x14ac:dyDescent="0.35">
      <c r="A44" s="65">
        <f>+'VDF A'!A44-'VDF A'!K44-'VDF B'!K44</f>
        <v>0</v>
      </c>
      <c r="B44" s="49">
        <f t="shared" si="0"/>
        <v>46371</v>
      </c>
      <c r="C44" s="66">
        <f>+'VDF A'!C44</f>
        <v>30</v>
      </c>
      <c r="D44" s="67">
        <f t="shared" si="4"/>
        <v>0.1</v>
      </c>
      <c r="E44" s="77">
        <f t="shared" si="1"/>
        <v>0</v>
      </c>
      <c r="F44" s="69">
        <f t="shared" si="13"/>
        <v>0</v>
      </c>
      <c r="G44" s="51">
        <f t="shared" si="2"/>
        <v>0</v>
      </c>
      <c r="H44" s="49">
        <f>+'VDF A'!H44</f>
        <v>46371</v>
      </c>
      <c r="I44" s="70">
        <f t="shared" si="21"/>
        <v>0</v>
      </c>
      <c r="J44" s="60">
        <f t="shared" si="18"/>
        <v>0</v>
      </c>
      <c r="K44" s="71">
        <f t="shared" si="5"/>
        <v>0</v>
      </c>
      <c r="L44" s="72">
        <f t="shared" si="3"/>
        <v>-2518000</v>
      </c>
      <c r="N44" s="90"/>
      <c r="O44" s="90"/>
      <c r="P44" s="90"/>
      <c r="AD44" s="65">
        <f>+'VDF A'!A44-'VDF A'!AU44-'VDF B'!AY44</f>
        <v>0</v>
      </c>
      <c r="AF44" s="60">
        <f t="shared" si="6"/>
        <v>0</v>
      </c>
      <c r="AI44" s="74">
        <f t="shared" si="14"/>
        <v>0</v>
      </c>
      <c r="AJ44" s="75">
        <f t="shared" si="25"/>
        <v>0</v>
      </c>
      <c r="AK44" s="75">
        <f t="shared" si="19"/>
        <v>0</v>
      </c>
      <c r="AL44" s="75">
        <f t="shared" si="23"/>
        <v>0</v>
      </c>
      <c r="AM44" s="75">
        <f t="shared" si="7"/>
        <v>-2518000</v>
      </c>
      <c r="AN44" s="76">
        <f t="shared" si="8"/>
        <v>0</v>
      </c>
      <c r="AO44" s="37"/>
      <c r="AQ44" s="60">
        <f t="shared" si="9"/>
        <v>0</v>
      </c>
      <c r="AR44" s="60">
        <f t="shared" si="10"/>
        <v>0</v>
      </c>
      <c r="AT44" s="74">
        <f t="shared" si="17"/>
        <v>0</v>
      </c>
      <c r="AU44" s="75">
        <f t="shared" si="24"/>
        <v>0</v>
      </c>
      <c r="AV44" s="75">
        <f t="shared" si="20"/>
        <v>0</v>
      </c>
      <c r="AW44" s="75">
        <f t="shared" si="22"/>
        <v>0</v>
      </c>
      <c r="AX44" s="75">
        <f t="shared" si="11"/>
        <v>-2518000</v>
      </c>
      <c r="AY44" s="76">
        <f t="shared" si="12"/>
        <v>0</v>
      </c>
    </row>
    <row r="45" spans="1:51" x14ac:dyDescent="0.35">
      <c r="A45" s="65">
        <f>+'VDF A'!A45-'VDF A'!K45-'VDF B'!K45</f>
        <v>0</v>
      </c>
      <c r="B45" s="49">
        <f t="shared" si="0"/>
        <v>46402</v>
      </c>
      <c r="C45" s="66">
        <f>+'VDF A'!C45</f>
        <v>30</v>
      </c>
      <c r="D45" s="67">
        <f t="shared" si="4"/>
        <v>0.1</v>
      </c>
      <c r="E45" s="77">
        <f t="shared" si="1"/>
        <v>0</v>
      </c>
      <c r="F45" s="69">
        <f t="shared" si="13"/>
        <v>0</v>
      </c>
      <c r="G45" s="51">
        <f t="shared" si="2"/>
        <v>0</v>
      </c>
      <c r="H45" s="49">
        <f>+'VDF A'!H45</f>
        <v>46402</v>
      </c>
      <c r="I45" s="70">
        <f t="shared" si="21"/>
        <v>0</v>
      </c>
      <c r="J45" s="60">
        <f t="shared" si="18"/>
        <v>0</v>
      </c>
      <c r="K45" s="71">
        <f t="shared" si="5"/>
        <v>0</v>
      </c>
      <c r="L45" s="72">
        <f t="shared" si="3"/>
        <v>-2518000</v>
      </c>
      <c r="N45" s="90"/>
      <c r="O45" s="90"/>
      <c r="P45" s="90"/>
      <c r="AD45" s="65">
        <f>+'VDF A'!A45-'VDF A'!AU45-'VDF B'!AY45</f>
        <v>0</v>
      </c>
      <c r="AF45" s="60">
        <f t="shared" si="6"/>
        <v>0</v>
      </c>
      <c r="AI45" s="74">
        <f t="shared" si="14"/>
        <v>0</v>
      </c>
      <c r="AJ45" s="75">
        <f t="shared" si="25"/>
        <v>0</v>
      </c>
      <c r="AK45" s="75">
        <f t="shared" si="19"/>
        <v>0</v>
      </c>
      <c r="AL45" s="75">
        <f t="shared" si="23"/>
        <v>0</v>
      </c>
      <c r="AM45" s="75">
        <f t="shared" si="7"/>
        <v>-2518000</v>
      </c>
      <c r="AN45" s="76">
        <f t="shared" si="8"/>
        <v>0</v>
      </c>
      <c r="AO45" s="37"/>
      <c r="AQ45" s="60">
        <f t="shared" si="9"/>
        <v>0</v>
      </c>
      <c r="AR45" s="60">
        <f t="shared" si="10"/>
        <v>0</v>
      </c>
      <c r="AT45" s="74">
        <f t="shared" si="17"/>
        <v>0</v>
      </c>
      <c r="AU45" s="75">
        <f t="shared" si="24"/>
        <v>0</v>
      </c>
      <c r="AV45" s="75">
        <f t="shared" si="20"/>
        <v>0</v>
      </c>
      <c r="AW45" s="75">
        <f t="shared" si="22"/>
        <v>0</v>
      </c>
      <c r="AX45" s="75">
        <f t="shared" si="11"/>
        <v>-2518000</v>
      </c>
      <c r="AY45" s="76">
        <f t="shared" si="12"/>
        <v>0</v>
      </c>
    </row>
    <row r="46" spans="1:51" x14ac:dyDescent="0.35">
      <c r="A46" s="65">
        <f>+'VDF A'!A46-'VDF A'!K46-'VDF B'!K46</f>
        <v>0</v>
      </c>
      <c r="B46" s="49">
        <f t="shared" si="0"/>
        <v>46433</v>
      </c>
      <c r="C46" s="66">
        <f>+'VDF A'!C46</f>
        <v>30</v>
      </c>
      <c r="D46" s="67">
        <f t="shared" si="4"/>
        <v>0.1</v>
      </c>
      <c r="E46" s="77">
        <f t="shared" si="1"/>
        <v>0</v>
      </c>
      <c r="F46" s="69">
        <f t="shared" si="13"/>
        <v>0</v>
      </c>
      <c r="G46" s="51">
        <f t="shared" si="2"/>
        <v>0</v>
      </c>
      <c r="H46" s="49">
        <f>+'VDF A'!H46</f>
        <v>46433</v>
      </c>
      <c r="I46" s="70">
        <f t="shared" si="21"/>
        <v>0</v>
      </c>
      <c r="J46" s="60">
        <f t="shared" si="18"/>
        <v>0</v>
      </c>
      <c r="K46" s="71">
        <f t="shared" si="5"/>
        <v>0</v>
      </c>
      <c r="L46" s="72">
        <f t="shared" si="3"/>
        <v>-2518000</v>
      </c>
      <c r="N46" s="90"/>
      <c r="O46" s="90"/>
      <c r="P46" s="90"/>
      <c r="V46" s="86"/>
      <c r="AD46" s="65">
        <f>+'VDF A'!A46-'VDF A'!AU46-'VDF B'!AY46</f>
        <v>0</v>
      </c>
      <c r="AF46" s="60">
        <f t="shared" si="6"/>
        <v>0</v>
      </c>
      <c r="AI46" s="74">
        <f t="shared" si="14"/>
        <v>0</v>
      </c>
      <c r="AJ46" s="75">
        <f t="shared" si="25"/>
        <v>0</v>
      </c>
      <c r="AK46" s="75">
        <f t="shared" si="19"/>
        <v>0</v>
      </c>
      <c r="AL46" s="75">
        <f t="shared" si="23"/>
        <v>0</v>
      </c>
      <c r="AM46" s="75">
        <f t="shared" si="7"/>
        <v>-2518000</v>
      </c>
      <c r="AN46" s="76">
        <f t="shared" si="8"/>
        <v>0</v>
      </c>
      <c r="AO46" s="37"/>
      <c r="AQ46" s="60">
        <f t="shared" si="9"/>
        <v>0</v>
      </c>
      <c r="AR46" s="60">
        <f t="shared" si="10"/>
        <v>0</v>
      </c>
      <c r="AT46" s="74">
        <f t="shared" si="17"/>
        <v>0</v>
      </c>
      <c r="AU46" s="75">
        <f t="shared" si="24"/>
        <v>0</v>
      </c>
      <c r="AV46" s="75">
        <f t="shared" si="20"/>
        <v>0</v>
      </c>
      <c r="AW46" s="75">
        <f t="shared" si="22"/>
        <v>0</v>
      </c>
      <c r="AX46" s="75">
        <f t="shared" si="11"/>
        <v>-2518000</v>
      </c>
      <c r="AY46" s="76">
        <f t="shared" si="12"/>
        <v>0</v>
      </c>
    </row>
    <row r="47" spans="1:51" x14ac:dyDescent="0.35">
      <c r="A47" s="65">
        <f>+'VDF A'!A47-'VDF A'!K47-'VDF B'!K47</f>
        <v>0</v>
      </c>
      <c r="B47" s="49">
        <f t="shared" si="0"/>
        <v>46461</v>
      </c>
      <c r="C47" s="66">
        <f>+'VDF A'!C47</f>
        <v>30</v>
      </c>
      <c r="D47" s="67">
        <f t="shared" si="4"/>
        <v>0.1</v>
      </c>
      <c r="E47" s="77">
        <f t="shared" si="1"/>
        <v>0</v>
      </c>
      <c r="F47" s="69">
        <f t="shared" si="13"/>
        <v>0</v>
      </c>
      <c r="G47" s="51">
        <f t="shared" si="2"/>
        <v>0</v>
      </c>
      <c r="H47" s="49">
        <f>+'VDF A'!H47</f>
        <v>46461</v>
      </c>
      <c r="I47" s="70">
        <f t="shared" si="21"/>
        <v>0</v>
      </c>
      <c r="J47" s="60">
        <f t="shared" si="18"/>
        <v>0</v>
      </c>
      <c r="K47" s="71">
        <f t="shared" si="5"/>
        <v>0</v>
      </c>
      <c r="L47" s="72">
        <f t="shared" si="3"/>
        <v>-2518000</v>
      </c>
      <c r="N47" s="90"/>
      <c r="O47" s="90"/>
      <c r="P47" s="90"/>
      <c r="V47" s="86"/>
      <c r="AD47" s="65">
        <f>+'VDF A'!A47-'VDF A'!AU47-'VDF B'!AY47</f>
        <v>0</v>
      </c>
      <c r="AF47" s="60">
        <f t="shared" si="6"/>
        <v>0</v>
      </c>
      <c r="AI47" s="74">
        <f t="shared" si="14"/>
        <v>0</v>
      </c>
      <c r="AJ47" s="75">
        <f t="shared" si="25"/>
        <v>0</v>
      </c>
      <c r="AK47" s="75">
        <f t="shared" si="19"/>
        <v>0</v>
      </c>
      <c r="AL47" s="75">
        <f t="shared" si="23"/>
        <v>0</v>
      </c>
      <c r="AM47" s="75">
        <f t="shared" si="7"/>
        <v>-2518000</v>
      </c>
      <c r="AN47" s="76">
        <f t="shared" si="8"/>
        <v>0</v>
      </c>
      <c r="AO47" s="37"/>
      <c r="AQ47" s="60">
        <f t="shared" si="9"/>
        <v>0</v>
      </c>
      <c r="AR47" s="60">
        <f t="shared" si="10"/>
        <v>0</v>
      </c>
      <c r="AT47" s="74">
        <f t="shared" si="17"/>
        <v>0</v>
      </c>
      <c r="AU47" s="75">
        <f t="shared" si="24"/>
        <v>0</v>
      </c>
      <c r="AV47" s="75">
        <f t="shared" si="20"/>
        <v>0</v>
      </c>
      <c r="AW47" s="75">
        <f t="shared" si="22"/>
        <v>0</v>
      </c>
      <c r="AX47" s="75">
        <f t="shared" si="11"/>
        <v>-2518000</v>
      </c>
      <c r="AY47" s="76">
        <f t="shared" si="12"/>
        <v>0</v>
      </c>
    </row>
    <row r="48" spans="1:51" x14ac:dyDescent="0.35">
      <c r="A48" s="65">
        <f>+'VDF A'!A48-'VDF A'!K48-'VDF B'!K48</f>
        <v>0</v>
      </c>
      <c r="B48" s="49">
        <f t="shared" si="0"/>
        <v>46492</v>
      </c>
      <c r="C48" s="66">
        <f>+'VDF A'!C48</f>
        <v>30</v>
      </c>
      <c r="D48" s="67">
        <f t="shared" si="4"/>
        <v>0.1</v>
      </c>
      <c r="E48" s="77">
        <f t="shared" si="1"/>
        <v>0</v>
      </c>
      <c r="F48" s="69">
        <f t="shared" si="13"/>
        <v>0</v>
      </c>
      <c r="G48" s="51">
        <f t="shared" si="2"/>
        <v>0</v>
      </c>
      <c r="H48" s="49">
        <f>+'VDF A'!H48</f>
        <v>46492</v>
      </c>
      <c r="I48" s="70">
        <f t="shared" si="21"/>
        <v>0</v>
      </c>
      <c r="J48" s="60">
        <f t="shared" si="18"/>
        <v>0</v>
      </c>
      <c r="K48" s="71">
        <f t="shared" si="5"/>
        <v>0</v>
      </c>
      <c r="L48" s="72">
        <f t="shared" si="3"/>
        <v>-2518000</v>
      </c>
      <c r="N48" s="90"/>
      <c r="O48" s="90"/>
      <c r="P48" s="90"/>
      <c r="V48" s="86"/>
      <c r="AD48" s="65">
        <f>+'VDF A'!A48-'VDF A'!AU48-'VDF B'!AY48</f>
        <v>0</v>
      </c>
      <c r="AF48" s="60">
        <f t="shared" si="6"/>
        <v>0</v>
      </c>
      <c r="AI48" s="74">
        <f t="shared" si="14"/>
        <v>0</v>
      </c>
      <c r="AJ48" s="75">
        <f t="shared" si="25"/>
        <v>0</v>
      </c>
      <c r="AK48" s="75">
        <f t="shared" si="19"/>
        <v>0</v>
      </c>
      <c r="AL48" s="75">
        <f t="shared" si="23"/>
        <v>0</v>
      </c>
      <c r="AM48" s="75">
        <f t="shared" si="7"/>
        <v>-2518000</v>
      </c>
      <c r="AN48" s="76">
        <f t="shared" si="8"/>
        <v>0</v>
      </c>
      <c r="AO48" s="37"/>
      <c r="AQ48" s="60">
        <f t="shared" si="9"/>
        <v>0</v>
      </c>
      <c r="AR48" s="60">
        <f t="shared" si="10"/>
        <v>0</v>
      </c>
      <c r="AT48" s="74">
        <f t="shared" si="17"/>
        <v>0</v>
      </c>
      <c r="AU48" s="75">
        <f t="shared" si="24"/>
        <v>0</v>
      </c>
      <c r="AV48" s="75">
        <f t="shared" si="20"/>
        <v>0</v>
      </c>
      <c r="AW48" s="75">
        <f t="shared" si="22"/>
        <v>0</v>
      </c>
      <c r="AX48" s="75">
        <f t="shared" si="11"/>
        <v>-2518000</v>
      </c>
      <c r="AY48" s="76">
        <f t="shared" si="12"/>
        <v>0</v>
      </c>
    </row>
    <row r="49" spans="1:51" x14ac:dyDescent="0.35">
      <c r="A49" s="65">
        <f>+'VDF A'!A49-'VDF A'!K49-'VDF B'!K49</f>
        <v>0</v>
      </c>
      <c r="B49" s="49">
        <f t="shared" si="0"/>
        <v>46522</v>
      </c>
      <c r="C49" s="66">
        <f>+'VDF A'!C49</f>
        <v>30</v>
      </c>
      <c r="D49" s="67">
        <f t="shared" si="4"/>
        <v>0.1</v>
      </c>
      <c r="E49" s="77">
        <f t="shared" si="1"/>
        <v>0</v>
      </c>
      <c r="F49" s="69">
        <f t="shared" si="13"/>
        <v>0</v>
      </c>
      <c r="G49" s="51">
        <f t="shared" si="2"/>
        <v>0</v>
      </c>
      <c r="H49" s="49">
        <f>+'VDF A'!H49</f>
        <v>46522</v>
      </c>
      <c r="I49" s="70">
        <f t="shared" si="21"/>
        <v>0</v>
      </c>
      <c r="J49" s="60">
        <f t="shared" si="18"/>
        <v>0</v>
      </c>
      <c r="K49" s="71">
        <f t="shared" si="5"/>
        <v>0</v>
      </c>
      <c r="L49" s="72">
        <f t="shared" si="3"/>
        <v>-2518000</v>
      </c>
      <c r="N49" s="90"/>
      <c r="O49" s="90"/>
      <c r="P49" s="90"/>
      <c r="V49" s="86"/>
      <c r="AD49" s="65">
        <f>+'VDF A'!A49-'VDF A'!AU49-'VDF B'!AY49</f>
        <v>0</v>
      </c>
      <c r="AE49" s="82"/>
      <c r="AF49" s="60">
        <f t="shared" si="6"/>
        <v>0</v>
      </c>
      <c r="AI49" s="74">
        <f t="shared" si="14"/>
        <v>0</v>
      </c>
      <c r="AJ49" s="75">
        <f t="shared" si="25"/>
        <v>0</v>
      </c>
      <c r="AK49" s="75">
        <f t="shared" si="19"/>
        <v>0</v>
      </c>
      <c r="AL49" s="75">
        <f t="shared" si="23"/>
        <v>0</v>
      </c>
      <c r="AM49" s="75">
        <f t="shared" si="7"/>
        <v>-2518000</v>
      </c>
      <c r="AN49" s="76">
        <f t="shared" si="8"/>
        <v>0</v>
      </c>
      <c r="AO49" s="37"/>
      <c r="AQ49" s="60">
        <f t="shared" si="9"/>
        <v>0</v>
      </c>
      <c r="AR49" s="60">
        <f t="shared" si="10"/>
        <v>0</v>
      </c>
      <c r="AT49" s="74">
        <f t="shared" si="17"/>
        <v>0</v>
      </c>
      <c r="AU49" s="75">
        <f t="shared" si="24"/>
        <v>0</v>
      </c>
      <c r="AV49" s="75">
        <f t="shared" si="20"/>
        <v>0</v>
      </c>
      <c r="AW49" s="75">
        <f t="shared" si="22"/>
        <v>0</v>
      </c>
      <c r="AX49" s="75">
        <f t="shared" si="11"/>
        <v>-2518000</v>
      </c>
      <c r="AY49" s="76">
        <f t="shared" si="12"/>
        <v>0</v>
      </c>
    </row>
    <row r="50" spans="1:51" x14ac:dyDescent="0.35">
      <c r="A50" s="65">
        <f>+'VDF A'!A50-'VDF A'!K50-'VDF B'!K50</f>
        <v>0</v>
      </c>
      <c r="B50" s="49">
        <f t="shared" si="0"/>
        <v>46553</v>
      </c>
      <c r="C50" s="66">
        <f>+'VDF A'!C50</f>
        <v>30</v>
      </c>
      <c r="D50" s="67">
        <f t="shared" si="4"/>
        <v>0.1</v>
      </c>
      <c r="E50" s="77">
        <f t="shared" si="1"/>
        <v>0</v>
      </c>
      <c r="F50" s="69">
        <f t="shared" si="13"/>
        <v>0</v>
      </c>
      <c r="G50" s="51">
        <f t="shared" si="2"/>
        <v>0</v>
      </c>
      <c r="H50" s="49">
        <f>+'VDF A'!H50</f>
        <v>46553</v>
      </c>
      <c r="I50" s="70">
        <f t="shared" si="21"/>
        <v>0</v>
      </c>
      <c r="J50" s="60">
        <f t="shared" si="18"/>
        <v>0</v>
      </c>
      <c r="K50" s="71">
        <f t="shared" si="5"/>
        <v>0</v>
      </c>
      <c r="L50" s="72">
        <f t="shared" si="3"/>
        <v>-2518000</v>
      </c>
      <c r="N50" s="90"/>
      <c r="O50" s="90"/>
      <c r="P50" s="90"/>
      <c r="V50" s="86"/>
      <c r="AD50" s="65">
        <f>+'VDF A'!A50-'VDF A'!AU50-'VDF B'!AY50</f>
        <v>0</v>
      </c>
      <c r="AE50" s="82"/>
      <c r="AF50" s="60">
        <f t="shared" si="6"/>
        <v>0</v>
      </c>
      <c r="AI50" s="74">
        <f t="shared" si="14"/>
        <v>0</v>
      </c>
      <c r="AJ50" s="75">
        <f t="shared" si="25"/>
        <v>0</v>
      </c>
      <c r="AK50" s="75">
        <f t="shared" si="19"/>
        <v>0</v>
      </c>
      <c r="AL50" s="75">
        <f t="shared" si="23"/>
        <v>0</v>
      </c>
      <c r="AM50" s="75">
        <f t="shared" si="7"/>
        <v>-2518000</v>
      </c>
      <c r="AN50" s="76">
        <f t="shared" si="8"/>
        <v>0</v>
      </c>
      <c r="AO50" s="37"/>
      <c r="AQ50" s="60">
        <f t="shared" si="9"/>
        <v>0</v>
      </c>
      <c r="AR50" s="60">
        <f t="shared" si="10"/>
        <v>0</v>
      </c>
      <c r="AT50" s="74">
        <f t="shared" si="17"/>
        <v>0</v>
      </c>
      <c r="AU50" s="75">
        <f t="shared" si="24"/>
        <v>0</v>
      </c>
      <c r="AV50" s="75">
        <f t="shared" si="20"/>
        <v>0</v>
      </c>
      <c r="AW50" s="75">
        <f t="shared" si="22"/>
        <v>0</v>
      </c>
      <c r="AX50" s="75">
        <f t="shared" si="11"/>
        <v>-2518000</v>
      </c>
      <c r="AY50" s="76">
        <f t="shared" si="12"/>
        <v>0</v>
      </c>
    </row>
    <row r="51" spans="1:51" x14ac:dyDescent="0.35">
      <c r="A51" s="65">
        <f>+'VDF A'!A51-'VDF A'!K51-'VDF B'!K51</f>
        <v>0</v>
      </c>
      <c r="B51" s="49">
        <f t="shared" si="0"/>
        <v>46583</v>
      </c>
      <c r="C51" s="66">
        <f>+'VDF A'!C51</f>
        <v>30</v>
      </c>
      <c r="D51" s="67">
        <f t="shared" si="4"/>
        <v>0.1</v>
      </c>
      <c r="E51" s="77">
        <f t="shared" si="1"/>
        <v>0</v>
      </c>
      <c r="F51" s="69">
        <f t="shared" si="13"/>
        <v>0</v>
      </c>
      <c r="G51" s="51">
        <f t="shared" si="2"/>
        <v>0</v>
      </c>
      <c r="H51" s="49">
        <f>+'VDF A'!H51</f>
        <v>46583</v>
      </c>
      <c r="I51" s="70">
        <f t="shared" si="21"/>
        <v>0</v>
      </c>
      <c r="J51" s="60">
        <f t="shared" si="18"/>
        <v>0</v>
      </c>
      <c r="K51" s="71">
        <f t="shared" si="5"/>
        <v>0</v>
      </c>
      <c r="L51" s="72">
        <f t="shared" si="3"/>
        <v>-2518000</v>
      </c>
      <c r="M51" s="86"/>
      <c r="N51" s="90"/>
      <c r="O51" s="90"/>
      <c r="P51" s="90"/>
      <c r="V51" s="86"/>
      <c r="AD51" s="65">
        <f>+'VDF A'!A51-'VDF A'!AU51-'VDF B'!AY51</f>
        <v>0</v>
      </c>
      <c r="AF51" s="60">
        <f t="shared" si="6"/>
        <v>0</v>
      </c>
      <c r="AI51" s="74">
        <f t="shared" si="14"/>
        <v>0</v>
      </c>
      <c r="AJ51" s="75">
        <f t="shared" si="25"/>
        <v>0</v>
      </c>
      <c r="AK51" s="75">
        <f t="shared" si="19"/>
        <v>0</v>
      </c>
      <c r="AL51" s="75">
        <f t="shared" si="23"/>
        <v>0</v>
      </c>
      <c r="AM51" s="75">
        <f t="shared" si="7"/>
        <v>-2518000</v>
      </c>
      <c r="AN51" s="76">
        <f t="shared" si="8"/>
        <v>0</v>
      </c>
      <c r="AO51" s="37"/>
      <c r="AQ51" s="60">
        <f t="shared" si="9"/>
        <v>0</v>
      </c>
      <c r="AR51" s="60">
        <f t="shared" si="10"/>
        <v>0</v>
      </c>
      <c r="AT51" s="74">
        <f t="shared" si="17"/>
        <v>0</v>
      </c>
      <c r="AU51" s="75">
        <f t="shared" si="24"/>
        <v>0</v>
      </c>
      <c r="AV51" s="75">
        <f t="shared" si="20"/>
        <v>0</v>
      </c>
      <c r="AW51" s="75">
        <f t="shared" si="22"/>
        <v>0</v>
      </c>
      <c r="AX51" s="75">
        <f t="shared" si="11"/>
        <v>-2518000</v>
      </c>
      <c r="AY51" s="76">
        <f t="shared" si="12"/>
        <v>0</v>
      </c>
    </row>
    <row r="52" spans="1:51" x14ac:dyDescent="0.35">
      <c r="A52" s="65">
        <f>+'VDF A'!A52-'VDF A'!K52-'VDF B'!K52</f>
        <v>0</v>
      </c>
      <c r="B52" s="49">
        <f t="shared" si="0"/>
        <v>46614</v>
      </c>
      <c r="C52" s="66">
        <f>+'VDF A'!C52</f>
        <v>30</v>
      </c>
      <c r="D52" s="67">
        <f t="shared" si="4"/>
        <v>0.1</v>
      </c>
      <c r="E52" s="77">
        <f t="shared" si="1"/>
        <v>0</v>
      </c>
      <c r="F52" s="69">
        <f t="shared" si="13"/>
        <v>0</v>
      </c>
      <c r="G52" s="51">
        <f t="shared" si="2"/>
        <v>0</v>
      </c>
      <c r="H52" s="49">
        <f>+'VDF A'!H52</f>
        <v>46614</v>
      </c>
      <c r="I52" s="70">
        <f t="shared" si="21"/>
        <v>0</v>
      </c>
      <c r="J52" s="60">
        <f t="shared" si="18"/>
        <v>0</v>
      </c>
      <c r="K52" s="71">
        <f t="shared" si="5"/>
        <v>0</v>
      </c>
      <c r="L52" s="72">
        <f t="shared" si="3"/>
        <v>-2518000</v>
      </c>
      <c r="M52" s="86"/>
      <c r="N52" s="90"/>
      <c r="O52" s="90"/>
      <c r="P52" s="90"/>
      <c r="V52" s="86"/>
      <c r="W52" s="86"/>
      <c r="AD52" s="65">
        <f>+'VDF A'!A52-'VDF A'!AU52-'VDF B'!AY52</f>
        <v>0</v>
      </c>
      <c r="AF52" s="60">
        <f t="shared" si="6"/>
        <v>0</v>
      </c>
      <c r="AI52" s="74">
        <f t="shared" si="14"/>
        <v>0</v>
      </c>
      <c r="AJ52" s="75">
        <f t="shared" si="25"/>
        <v>0</v>
      </c>
      <c r="AK52" s="75">
        <f t="shared" si="19"/>
        <v>0</v>
      </c>
      <c r="AL52" s="75">
        <f t="shared" si="23"/>
        <v>0</v>
      </c>
      <c r="AM52" s="75">
        <f t="shared" si="7"/>
        <v>-2518000</v>
      </c>
      <c r="AN52" s="76">
        <f t="shared" si="8"/>
        <v>0</v>
      </c>
      <c r="AO52" s="37"/>
      <c r="AQ52" s="60">
        <f t="shared" si="9"/>
        <v>0</v>
      </c>
      <c r="AR52" s="60">
        <f t="shared" si="10"/>
        <v>0</v>
      </c>
      <c r="AT52" s="74">
        <f t="shared" si="17"/>
        <v>0</v>
      </c>
      <c r="AU52" s="75">
        <f t="shared" si="24"/>
        <v>0</v>
      </c>
      <c r="AV52" s="75">
        <f t="shared" si="20"/>
        <v>0</v>
      </c>
      <c r="AW52" s="75">
        <f t="shared" si="22"/>
        <v>0</v>
      </c>
      <c r="AX52" s="75">
        <f t="shared" si="11"/>
        <v>-2518000</v>
      </c>
      <c r="AY52" s="76">
        <f t="shared" si="12"/>
        <v>0</v>
      </c>
    </row>
    <row r="53" spans="1:51" x14ac:dyDescent="0.35">
      <c r="A53" s="65">
        <f>+'VDF A'!A53-'VDF A'!K53-'VDF B'!K53</f>
        <v>0</v>
      </c>
      <c r="B53" s="49">
        <f t="shared" si="0"/>
        <v>46645</v>
      </c>
      <c r="C53" s="66">
        <f>+'VDF A'!C53</f>
        <v>30</v>
      </c>
      <c r="D53" s="67">
        <f t="shared" si="4"/>
        <v>0.1</v>
      </c>
      <c r="E53" s="77">
        <f t="shared" si="1"/>
        <v>0</v>
      </c>
      <c r="F53" s="69">
        <f t="shared" si="13"/>
        <v>0</v>
      </c>
      <c r="G53" s="51">
        <f t="shared" si="2"/>
        <v>0</v>
      </c>
      <c r="H53" s="49">
        <f>+'VDF A'!H53</f>
        <v>46645</v>
      </c>
      <c r="I53" s="70">
        <f t="shared" si="21"/>
        <v>0</v>
      </c>
      <c r="J53" s="60">
        <f t="shared" si="18"/>
        <v>0</v>
      </c>
      <c r="K53" s="71">
        <f t="shared" si="5"/>
        <v>0</v>
      </c>
      <c r="L53" s="72">
        <f t="shared" si="3"/>
        <v>-2518000</v>
      </c>
      <c r="M53" s="86"/>
      <c r="N53" s="90"/>
      <c r="O53" s="90"/>
      <c r="P53" s="90"/>
      <c r="V53" s="86"/>
      <c r="AD53" s="65">
        <f>+'VDF A'!A53-'VDF A'!AU53-'VDF B'!AY53</f>
        <v>0</v>
      </c>
      <c r="AF53" s="60">
        <f t="shared" si="6"/>
        <v>0</v>
      </c>
      <c r="AI53" s="74">
        <f t="shared" si="14"/>
        <v>0</v>
      </c>
      <c r="AJ53" s="75">
        <f t="shared" si="25"/>
        <v>0</v>
      </c>
      <c r="AK53" s="75">
        <f t="shared" si="19"/>
        <v>0</v>
      </c>
      <c r="AL53" s="75">
        <f t="shared" si="23"/>
        <v>0</v>
      </c>
      <c r="AM53" s="75">
        <f t="shared" si="7"/>
        <v>-2518000</v>
      </c>
      <c r="AN53" s="76">
        <f t="shared" si="8"/>
        <v>0</v>
      </c>
      <c r="AO53" s="37"/>
      <c r="AQ53" s="60">
        <f t="shared" si="9"/>
        <v>0</v>
      </c>
      <c r="AR53" s="60">
        <f t="shared" si="10"/>
        <v>0</v>
      </c>
      <c r="AT53" s="74">
        <f t="shared" si="17"/>
        <v>0</v>
      </c>
      <c r="AU53" s="75">
        <f t="shared" si="24"/>
        <v>0</v>
      </c>
      <c r="AV53" s="75">
        <f t="shared" si="20"/>
        <v>0</v>
      </c>
      <c r="AW53" s="75">
        <f t="shared" si="22"/>
        <v>0</v>
      </c>
      <c r="AX53" s="75">
        <f t="shared" si="11"/>
        <v>-2518000</v>
      </c>
      <c r="AY53" s="76">
        <f t="shared" si="12"/>
        <v>0</v>
      </c>
    </row>
    <row r="54" spans="1:51" x14ac:dyDescent="0.35">
      <c r="A54" s="65">
        <f>+'VDF A'!A54-'VDF A'!K54-'VDF B'!K54</f>
        <v>0</v>
      </c>
      <c r="B54" s="49">
        <f t="shared" si="0"/>
        <v>46675</v>
      </c>
      <c r="C54" s="66">
        <f>+'VDF A'!C54</f>
        <v>30</v>
      </c>
      <c r="D54" s="67">
        <f t="shared" si="4"/>
        <v>0.1</v>
      </c>
      <c r="E54" s="77">
        <f t="shared" si="1"/>
        <v>0</v>
      </c>
      <c r="F54" s="69">
        <f t="shared" si="13"/>
        <v>0</v>
      </c>
      <c r="G54" s="51">
        <f t="shared" si="2"/>
        <v>0</v>
      </c>
      <c r="H54" s="49">
        <f>+'VDF A'!H54</f>
        <v>46675</v>
      </c>
      <c r="I54" s="70">
        <f t="shared" si="21"/>
        <v>0</v>
      </c>
      <c r="J54" s="60">
        <f t="shared" si="18"/>
        <v>0</v>
      </c>
      <c r="K54" s="71">
        <f t="shared" si="5"/>
        <v>0</v>
      </c>
      <c r="L54" s="72">
        <f t="shared" si="3"/>
        <v>-2518000</v>
      </c>
      <c r="M54" s="86"/>
      <c r="N54" s="90"/>
      <c r="O54" s="90"/>
      <c r="P54" s="90"/>
      <c r="V54" s="86"/>
      <c r="AD54" s="65">
        <f>+'VDF A'!A54-'VDF A'!AU54-'VDF B'!AY54</f>
        <v>0</v>
      </c>
      <c r="AF54" s="60">
        <f t="shared" si="6"/>
        <v>0</v>
      </c>
      <c r="AI54" s="74">
        <f t="shared" si="14"/>
        <v>0</v>
      </c>
      <c r="AJ54" s="75">
        <f t="shared" si="25"/>
        <v>0</v>
      </c>
      <c r="AK54" s="75">
        <f t="shared" si="19"/>
        <v>0</v>
      </c>
      <c r="AL54" s="75">
        <f t="shared" si="23"/>
        <v>0</v>
      </c>
      <c r="AM54" s="75">
        <f t="shared" si="7"/>
        <v>-2518000</v>
      </c>
      <c r="AN54" s="76">
        <f t="shared" si="8"/>
        <v>0</v>
      </c>
      <c r="AO54" s="37"/>
      <c r="AQ54" s="60">
        <f t="shared" si="9"/>
        <v>0</v>
      </c>
      <c r="AR54" s="60">
        <f t="shared" si="10"/>
        <v>0</v>
      </c>
      <c r="AT54" s="74">
        <f t="shared" si="17"/>
        <v>0</v>
      </c>
      <c r="AU54" s="75">
        <f t="shared" si="24"/>
        <v>0</v>
      </c>
      <c r="AV54" s="75">
        <f t="shared" si="20"/>
        <v>0</v>
      </c>
      <c r="AW54" s="75">
        <f t="shared" si="22"/>
        <v>0</v>
      </c>
      <c r="AX54" s="75">
        <f t="shared" si="11"/>
        <v>-2518000</v>
      </c>
      <c r="AY54" s="76">
        <f t="shared" si="12"/>
        <v>0</v>
      </c>
    </row>
    <row r="55" spans="1:51" x14ac:dyDescent="0.35">
      <c r="A55" s="65">
        <f>+'VDF A'!A55-'VDF A'!K55-'VDF B'!K55</f>
        <v>0</v>
      </c>
      <c r="B55" s="49">
        <f t="shared" si="0"/>
        <v>46706</v>
      </c>
      <c r="C55" s="66">
        <f>+'VDF A'!C55</f>
        <v>30</v>
      </c>
      <c r="D55" s="67">
        <f t="shared" si="4"/>
        <v>0.1</v>
      </c>
      <c r="E55" s="77">
        <f t="shared" si="1"/>
        <v>0</v>
      </c>
      <c r="F55" s="69">
        <f>+((E55*L54)/360)*$C55</f>
        <v>0</v>
      </c>
      <c r="G55" s="51">
        <f>+G54+F55-J55</f>
        <v>0</v>
      </c>
      <c r="H55" s="49">
        <f>+'VDF A'!H55</f>
        <v>46706</v>
      </c>
      <c r="I55" s="70">
        <f>+IF(L54&gt;0,MIN(A55-J55,L54),0)</f>
        <v>0</v>
      </c>
      <c r="J55" s="60">
        <f>+MIN($A55,F55+G54)</f>
        <v>0</v>
      </c>
      <c r="K55" s="71">
        <f>+J55+I55</f>
        <v>0</v>
      </c>
      <c r="L55" s="72">
        <f>+L54-I55</f>
        <v>-2518000</v>
      </c>
      <c r="N55" s="92"/>
      <c r="O55" s="93"/>
      <c r="P55" s="94"/>
      <c r="AD55" s="65">
        <f>+'VDF A'!A55-'VDF A'!AU55-'VDF B'!AY55</f>
        <v>0</v>
      </c>
      <c r="AF55" s="60">
        <f t="shared" si="6"/>
        <v>0</v>
      </c>
      <c r="AI55" s="74">
        <f>+AI54+AJ55-AK55</f>
        <v>0</v>
      </c>
      <c r="AJ55" s="75">
        <f>+((MAX($I$8,MIN($I$9,$O$9+$I$10/10000))*AM54)/360)*$C55</f>
        <v>0</v>
      </c>
      <c r="AK55" s="75">
        <f>MIN(AD55,AI54+AJ55)</f>
        <v>0</v>
      </c>
      <c r="AL55" s="75">
        <f>+IF(AM54&lt;0,0,MIN(AD55-AK55,AM54))</f>
        <v>0</v>
      </c>
      <c r="AM55" s="75">
        <f>+AM54-AL55</f>
        <v>-2518000</v>
      </c>
      <c r="AN55" s="76">
        <f>+AK55+AL55</f>
        <v>0</v>
      </c>
      <c r="AO55" s="37"/>
      <c r="AQ55" s="60">
        <f>+K55</f>
        <v>0</v>
      </c>
      <c r="AR55" s="60">
        <f>+AQ55</f>
        <v>0</v>
      </c>
      <c r="AT55" s="74">
        <f>+AT54+AU55-AV55</f>
        <v>0</v>
      </c>
      <c r="AU55" s="75">
        <f>+((MAX($I$8,MIN($I$9,$O$9+$I$10/10000))*AM54)/360)*$C55</f>
        <v>0</v>
      </c>
      <c r="AV55" s="75">
        <f>MIN(AD55,AT54+AU55)</f>
        <v>0</v>
      </c>
      <c r="AW55" s="75">
        <f>+IF(AX54&lt;0,0,MIN(AD55-AV55,AM54))</f>
        <v>0</v>
      </c>
      <c r="AX55" s="75">
        <f>+AX54-AW55</f>
        <v>-2518000</v>
      </c>
      <c r="AY55" s="76">
        <f>+AV55+AW55</f>
        <v>0</v>
      </c>
    </row>
    <row r="56" spans="1:51" x14ac:dyDescent="0.35">
      <c r="A56" s="65">
        <f>+'VDF A'!A56-'VDF A'!K56-'VDF B'!K56</f>
        <v>0</v>
      </c>
      <c r="B56" s="49">
        <f t="shared" si="0"/>
        <v>46736</v>
      </c>
      <c r="C56" s="66">
        <f>+'VDF A'!C56</f>
        <v>30</v>
      </c>
      <c r="D56" s="67">
        <f t="shared" si="4"/>
        <v>0.1</v>
      </c>
      <c r="E56" s="77">
        <f t="shared" si="1"/>
        <v>0</v>
      </c>
      <c r="F56" s="69">
        <f>+((E56*L55)/360)*$C56</f>
        <v>0</v>
      </c>
      <c r="G56" s="51">
        <f>+G55+F56-J56</f>
        <v>0</v>
      </c>
      <c r="H56" s="49">
        <f>+'VDF A'!H56</f>
        <v>46736</v>
      </c>
      <c r="I56" s="70">
        <f>+IF(L55&gt;0,MIN(A56-J56,L55),0)</f>
        <v>0</v>
      </c>
      <c r="J56" s="60">
        <f>+MIN($A56,F56+G55)</f>
        <v>0</v>
      </c>
      <c r="K56" s="71">
        <f>+J56+I56</f>
        <v>0</v>
      </c>
      <c r="L56" s="72">
        <f>+L55-I56</f>
        <v>-2518000</v>
      </c>
      <c r="N56" s="92"/>
      <c r="O56" s="93"/>
      <c r="P56" s="94"/>
      <c r="AD56" s="65">
        <f>+'VDF A'!A56-'VDF A'!AU56-'VDF B'!AY56</f>
        <v>0</v>
      </c>
      <c r="AF56" s="60">
        <f>+K56</f>
        <v>0</v>
      </c>
      <c r="AI56" s="74">
        <f>+AI55+AJ56-AK56</f>
        <v>0</v>
      </c>
      <c r="AJ56" s="75">
        <f>+((MAX($I$8,MIN($I$9,$O$9+$I$10/10000))*AM55)/360)*$C56</f>
        <v>0</v>
      </c>
      <c r="AK56" s="75">
        <f>MIN(AD56,AI55+AJ56)</f>
        <v>0</v>
      </c>
      <c r="AL56" s="75">
        <f>+IF(AM55&lt;0,0,MIN(AD56-AK56,AM55))</f>
        <v>0</v>
      </c>
      <c r="AM56" s="75">
        <f>+AM55-AL56</f>
        <v>-2518000</v>
      </c>
      <c r="AN56" s="76">
        <f>+AK56+AL56</f>
        <v>0</v>
      </c>
      <c r="AO56" s="37"/>
      <c r="AQ56" s="60">
        <f>+K56</f>
        <v>0</v>
      </c>
      <c r="AR56" s="60">
        <f>+AQ56</f>
        <v>0</v>
      </c>
      <c r="AT56" s="74">
        <f>+AT55+AU56-AV56</f>
        <v>0</v>
      </c>
      <c r="AU56" s="75">
        <f>+((MAX($I$8,MIN($I$9,$O$9+$I$10/10000))*AM55)/360)*$C56</f>
        <v>0</v>
      </c>
      <c r="AV56" s="75">
        <f>MIN(AD56,AT55+AU56)</f>
        <v>0</v>
      </c>
      <c r="AW56" s="75">
        <f>+IF(AX55&lt;0,0,MIN(AD56-AV56,AM55))</f>
        <v>0</v>
      </c>
      <c r="AX56" s="75">
        <f>+AX55-AW56</f>
        <v>-2518000</v>
      </c>
      <c r="AY56" s="76">
        <f>+AV56+AW56</f>
        <v>0</v>
      </c>
    </row>
    <row r="57" spans="1:51" x14ac:dyDescent="0.35">
      <c r="A57" s="65">
        <f>+'VDF A'!A57-'VDF A'!K57-'VDF B'!K57</f>
        <v>0</v>
      </c>
      <c r="B57" s="49">
        <f t="shared" si="0"/>
        <v>46767</v>
      </c>
      <c r="C57" s="66">
        <f>+'VDF A'!C57</f>
        <v>30</v>
      </c>
      <c r="D57" s="67">
        <f t="shared" si="4"/>
        <v>0.1</v>
      </c>
      <c r="E57" s="77">
        <f t="shared" si="1"/>
        <v>0</v>
      </c>
      <c r="F57" s="69">
        <f>+((E57*L56)/360)*$C57</f>
        <v>0</v>
      </c>
      <c r="G57" s="51">
        <f>+G56+F57-J57</f>
        <v>0</v>
      </c>
      <c r="H57" s="49">
        <f>+'VDF A'!H57</f>
        <v>46767</v>
      </c>
      <c r="I57" s="70">
        <f>+IF(L56&gt;0,MIN(A57-J57,L56),0)</f>
        <v>0</v>
      </c>
      <c r="J57" s="60">
        <f>+MIN($A57,F57+G56)</f>
        <v>0</v>
      </c>
      <c r="K57" s="71">
        <f>+J57+I57</f>
        <v>0</v>
      </c>
      <c r="L57" s="72">
        <f>+L56-I57</f>
        <v>-2518000</v>
      </c>
      <c r="N57" s="92"/>
      <c r="O57" s="93"/>
      <c r="P57" s="94"/>
      <c r="R57" s="86"/>
      <c r="AD57" s="65">
        <f>+'VDF A'!A57-'VDF A'!AU57-'VDF B'!AY57</f>
        <v>0</v>
      </c>
      <c r="AF57" s="60">
        <f>+K57</f>
        <v>0</v>
      </c>
      <c r="AI57" s="74">
        <f>+AI56+AJ57-AK57</f>
        <v>0</v>
      </c>
      <c r="AJ57" s="75">
        <f>+((MAX($I$8,MIN($I$9,$O$9+$I$10/10000))*AM56)/360)*$C57</f>
        <v>0</v>
      </c>
      <c r="AK57" s="75">
        <f>MIN(AD57,AI56+AJ57)</f>
        <v>0</v>
      </c>
      <c r="AL57" s="75">
        <f>+IF(AM56&lt;0,0,MIN(AD57-AK57,AM56))</f>
        <v>0</v>
      </c>
      <c r="AM57" s="75">
        <f>+AM56-AL57</f>
        <v>-2518000</v>
      </c>
      <c r="AN57" s="76">
        <f>+AK57+AL57</f>
        <v>0</v>
      </c>
      <c r="AO57" s="37"/>
      <c r="AQ57" s="60">
        <f>+K57</f>
        <v>0</v>
      </c>
      <c r="AR57" s="60">
        <f>+AQ57</f>
        <v>0</v>
      </c>
      <c r="AT57" s="74">
        <f>+AT56+AU57-AV57</f>
        <v>0</v>
      </c>
      <c r="AU57" s="75">
        <f>+((MAX($I$8,MIN($I$9,$O$9+$I$10/10000))*AM56)/360)*$C57</f>
        <v>0</v>
      </c>
      <c r="AV57" s="75">
        <f>MIN(AD57,AT56+AU57)</f>
        <v>0</v>
      </c>
      <c r="AW57" s="75">
        <f>+IF(AX56&lt;0,0,MIN(AD57-AV57,AM56))</f>
        <v>0</v>
      </c>
      <c r="AX57" s="75">
        <f>+AX56-AW57</f>
        <v>-2518000</v>
      </c>
      <c r="AY57" s="76">
        <f>+AV57+AW57</f>
        <v>0</v>
      </c>
    </row>
    <row r="58" spans="1:51" ht="15" thickBot="1" x14ac:dyDescent="0.4">
      <c r="A58" s="65">
        <f>+'VDF A'!A58-'VDF A'!K58-'VDF B'!K58</f>
        <v>0</v>
      </c>
      <c r="B58" s="49">
        <f t="shared" si="0"/>
        <v>46798</v>
      </c>
      <c r="C58" s="66">
        <f>+'VDF A'!C58</f>
        <v>30</v>
      </c>
      <c r="D58" s="67">
        <f t="shared" si="4"/>
        <v>0.1</v>
      </c>
      <c r="E58" s="77">
        <f t="shared" si="1"/>
        <v>0</v>
      </c>
      <c r="F58" s="69">
        <f>+((E58*L57)/360)*$C58</f>
        <v>0</v>
      </c>
      <c r="G58" s="51">
        <f>+G57+F58-J58</f>
        <v>0</v>
      </c>
      <c r="H58" s="49">
        <f>+'VDF A'!H58</f>
        <v>46798</v>
      </c>
      <c r="I58" s="70">
        <f>+IF(L57&gt;0,MIN(A58-J58,L57),0)</f>
        <v>0</v>
      </c>
      <c r="J58" s="60">
        <f>+MIN($A58,F58+G57)</f>
        <v>0</v>
      </c>
      <c r="K58" s="71">
        <f>+J58+I58</f>
        <v>0</v>
      </c>
      <c r="L58" s="72">
        <f>+L57-I58</f>
        <v>-2518000</v>
      </c>
      <c r="N58" s="92"/>
      <c r="O58" s="93"/>
      <c r="P58" s="94"/>
      <c r="AD58" s="65">
        <f>+'VDF A'!A58-'VDF A'!AU58-'VDF B'!AY58</f>
        <v>0</v>
      </c>
      <c r="AF58" s="60">
        <f>+K58</f>
        <v>0</v>
      </c>
      <c r="AI58" s="74">
        <f>+AI57+AJ58-AK58</f>
        <v>0</v>
      </c>
      <c r="AJ58" s="75">
        <f>+((MAX($I$8,MIN($I$9,$O$9+$I$10/10000))*AM57)/360)*$C58</f>
        <v>0</v>
      </c>
      <c r="AK58" s="75">
        <f>MIN(AD58,AI57+AJ58)</f>
        <v>0</v>
      </c>
      <c r="AL58" s="75">
        <f>+IF(AM57&lt;0,0,MIN(AD58-AK58,AM57))</f>
        <v>0</v>
      </c>
      <c r="AM58" s="75">
        <f>+AM57-AL58</f>
        <v>-2518000</v>
      </c>
      <c r="AN58" s="76">
        <f>+AK58+AL58</f>
        <v>0</v>
      </c>
      <c r="AO58" s="37"/>
      <c r="AQ58" s="60">
        <f>+K58</f>
        <v>0</v>
      </c>
      <c r="AR58" s="60">
        <f>+AQ58</f>
        <v>0</v>
      </c>
      <c r="AT58" s="74">
        <f>+AT57+AU58-AV58</f>
        <v>0</v>
      </c>
      <c r="AU58" s="75">
        <f>+((MAX($I$8,MIN($I$9,$O$9+$I$10/10000))*AM57)/360)*$C58</f>
        <v>0</v>
      </c>
      <c r="AV58" s="75">
        <f>MIN(AD58,AT57+AU58)</f>
        <v>0</v>
      </c>
      <c r="AW58" s="75">
        <f>+IF(AX57&lt;0,0,MIN(AD58-AV58,AM57))</f>
        <v>0</v>
      </c>
      <c r="AX58" s="75">
        <f>+AX57-AW58</f>
        <v>-2518000</v>
      </c>
      <c r="AY58" s="76">
        <f>+AV58+AW58</f>
        <v>0</v>
      </c>
    </row>
    <row r="59" spans="1:51" ht="16" thickBot="1" x14ac:dyDescent="0.4">
      <c r="A59" s="83">
        <f>SUM(A17:A54)</f>
        <v>221066113.24999997</v>
      </c>
      <c r="B59" s="49">
        <v>44027</v>
      </c>
      <c r="F59" s="91">
        <f>+SUM(F19:F54)</f>
        <v>0</v>
      </c>
      <c r="H59" s="100" t="s">
        <v>0</v>
      </c>
      <c r="I59" s="101">
        <f>+SUM(I17:I54)</f>
        <v>2518000</v>
      </c>
      <c r="J59" s="101">
        <f>+SUM(J17:J54)</f>
        <v>0</v>
      </c>
      <c r="K59" s="101">
        <f>+SUM(K17:K54)</f>
        <v>2518000</v>
      </c>
      <c r="N59" s="92"/>
      <c r="O59" s="93"/>
      <c r="P59" s="94"/>
      <c r="AD59" s="65">
        <f>+'VDF A'!A59-'VDF A'!AU59-'VDF B'!AY59</f>
        <v>3687251849</v>
      </c>
      <c r="AF59" s="60">
        <f>+K59</f>
        <v>2518000</v>
      </c>
      <c r="AI59" s="74">
        <f>+AI58+AJ59-AK59</f>
        <v>0</v>
      </c>
      <c r="AJ59" s="75">
        <f>+((MAX($I$8,MIN($I$9,$O$9+$I$10/10000))*AM58)/360)*$C59</f>
        <v>0</v>
      </c>
      <c r="AK59" s="75">
        <f>MIN(AD59,AI58+AJ59)</f>
        <v>0</v>
      </c>
      <c r="AL59" s="75">
        <f>+IF(AM58&lt;0,0,MIN(AD59-AK59,AM58))</f>
        <v>0</v>
      </c>
      <c r="AM59" s="75">
        <f>+AM58-AL59</f>
        <v>-2518000</v>
      </c>
      <c r="AN59" s="76">
        <f>+AK59+AL59</f>
        <v>0</v>
      </c>
      <c r="AO59" s="37"/>
      <c r="AQ59" s="60">
        <f>+K59</f>
        <v>2518000</v>
      </c>
      <c r="AR59" s="60">
        <f>+AQ59</f>
        <v>2518000</v>
      </c>
      <c r="AT59" s="74">
        <f>+AT58+AU59-AV59</f>
        <v>0</v>
      </c>
      <c r="AU59" s="75">
        <f>+((MAX($I$8,MIN($I$9,$O$9+$I$10/10000))*AM58)/360)*$C59</f>
        <v>0</v>
      </c>
      <c r="AV59" s="75">
        <f>MIN(AD59,AT58+AU59)</f>
        <v>0</v>
      </c>
      <c r="AW59" s="75">
        <f>+IF(AX58&lt;0,0,MIN(AD59-AV59,AM58))</f>
        <v>0</v>
      </c>
      <c r="AX59" s="75">
        <f>+AX58-AW59</f>
        <v>-2518000</v>
      </c>
      <c r="AY59" s="76">
        <f>+AV59+AW59</f>
        <v>0</v>
      </c>
    </row>
    <row r="60" spans="1:51" x14ac:dyDescent="0.35">
      <c r="B60" s="49">
        <v>44058</v>
      </c>
      <c r="H60" s="50"/>
      <c r="N60" s="92"/>
      <c r="O60" s="93"/>
      <c r="P60" s="95"/>
    </row>
    <row r="61" spans="1:51" x14ac:dyDescent="0.35">
      <c r="H61" s="50"/>
      <c r="I61" s="19">
        <f>+I59-Calculadora!H62</f>
        <v>0</v>
      </c>
      <c r="J61" s="19">
        <f>+J59-Calculadora!I62</f>
        <v>-3060612</v>
      </c>
    </row>
    <row r="62" spans="1:51" x14ac:dyDescent="0.35">
      <c r="H62" s="50"/>
    </row>
  </sheetData>
  <sheetProtection algorithmName="SHA-512" hashValue="ZN25psSurG7QdTUA0Cxx00IRe7fGAv/Pm9+MVvvBzA6KuUS9F5yx5OBPRQYsyRz1vZygH38fjs92uI13HXP61g==" saltValue="M2jLzz9tFQmkaEysSz083Q==" spinCount="100000" sheet="1" selectLockedCells="1"/>
  <mergeCells count="10">
    <mergeCell ref="H2:I2"/>
    <mergeCell ref="AE10:AN10"/>
    <mergeCell ref="AP10:AY10"/>
    <mergeCell ref="A16:A17"/>
    <mergeCell ref="B16:G16"/>
    <mergeCell ref="H16:L16"/>
    <mergeCell ref="AD16:AD17"/>
    <mergeCell ref="D17:D18"/>
    <mergeCell ref="E17:E18"/>
    <mergeCell ref="F17:F1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"/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Calculadora</vt:lpstr>
      <vt:lpstr>VDF A</vt:lpstr>
      <vt:lpstr>VDF B</vt:lpstr>
      <vt:lpstr>VDF C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Tapper</dc:creator>
  <cp:lastModifiedBy>Imventarza, Ilan Kevin</cp:lastModifiedBy>
  <cp:lastPrinted>2018-06-13T17:59:59Z</cp:lastPrinted>
  <dcterms:created xsi:type="dcterms:W3CDTF">2005-09-21T09:40:59Z</dcterms:created>
  <dcterms:modified xsi:type="dcterms:W3CDTF">2024-09-30T13:34:09Z</dcterms:modified>
</cp:coreProperties>
</file>