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CIERRES\Cierres\2019-12-DICIEMBRE\comisiones\"/>
    </mc:Choice>
  </mc:AlternateContent>
  <xr:revisionPtr revIDLastSave="0" documentId="13_ncr:1_{6F8C9D95-8248-48AF-BE50-E8CC19EFCDD3}" xr6:coauthVersionLast="45" xr6:coauthVersionMax="45" xr10:uidLastSave="{00000000-0000-0000-0000-000000000000}"/>
  <bookViews>
    <workbookView xWindow="-120" yWindow="-120" windowWidth="21840" windowHeight="13140" tabRatio="565" firstSheet="5" activeTab="5" xr2:uid="{00000000-000D-0000-FFFF-FFFF00000000}"/>
  </bookViews>
  <sheets>
    <sheet name="exportado (2)" sheetId="1" r:id="rId1"/>
    <sheet name="AVANCEVENDEDOR" sheetId="2" r:id="rId2"/>
    <sheet name="sup farma (2)" sheetId="4" state="hidden" r:id="rId3"/>
    <sheet name="exportado" sheetId="3" r:id="rId4"/>
    <sheet name="sup farma (3)" sheetId="5" r:id="rId5"/>
    <sheet name="sup farma" sheetId="6" r:id="rId6"/>
    <sheet name="sup consu (2)" sheetId="7" state="hidden" r:id="rId7"/>
    <sheet name="sup consu" sheetId="8" state="hidden" r:id="rId8"/>
    <sheet name="Hoja3" sheetId="9" state="hidden" r:id="rId9"/>
    <sheet name="linea" sheetId="10" state="hidden" r:id="rId10"/>
    <sheet name="Plantilla corporativos 3-22" sheetId="11" state="hidden" r:id="rId11"/>
    <sheet name="mildre" sheetId="12" state="hidden" r:id="rId12"/>
    <sheet name="luis villagran" sheetId="13" state="hidden" r:id="rId13"/>
    <sheet name="saul mollo" sheetId="14" state="hidden" r:id="rId14"/>
    <sheet name="erika" sheetId="15" state="hidden" r:id="rId15"/>
    <sheet name="VERONICA MARTINEZ" sheetId="16" state="hidden" r:id="rId16"/>
    <sheet name="Plantilla farma normal" sheetId="19" r:id="rId17"/>
    <sheet name="Plantilla farma normal (2)" sheetId="18" r:id="rId18"/>
    <sheet name="Hoja5" sheetId="42" r:id="rId19"/>
    <sheet name="carmen dolmos" sheetId="20" state="hidden" r:id="rId20"/>
    <sheet name="lineac" sheetId="21" state="hidden" r:id="rId21"/>
    <sheet name="condicion" sheetId="22" r:id="rId22"/>
    <sheet name="Plantilla consumo14-21 ne_s (2" sheetId="23" r:id="rId23"/>
    <sheet name="Plantilla consumo14-21 ne_sueld" sheetId="24" state="hidden" r:id="rId24"/>
    <sheet name="Plantilla consumo 14-21  ne (2)" sheetId="25" state="hidden" r:id="rId25"/>
    <sheet name="Plantilla consumo 14-21  newpap" sheetId="26" state="hidden" r:id="rId26"/>
    <sheet name="Plantilla consumo 14-21  new" sheetId="27" state="hidden" r:id="rId27"/>
    <sheet name="Plantilla consumo 14-21  30" sheetId="28" state="hidden" r:id="rId28"/>
    <sheet name="consultas" sheetId="34" r:id="rId29"/>
    <sheet name="david velasquez" sheetId="29" r:id="rId30"/>
    <sheet name="Hoja2" sheetId="30" r:id="rId31"/>
    <sheet name="WASHINGTON LOPEZ" sheetId="40" r:id="rId32"/>
    <sheet name="roberto sosa" sheetId="31" state="hidden" r:id="rId33"/>
    <sheet name="instituciones  prov" sheetId="32" state="hidden" r:id="rId34"/>
    <sheet name="instituciones " sheetId="33" state="hidden" r:id="rId35"/>
    <sheet name="Hoja1" sheetId="35" state="hidden" r:id="rId36"/>
    <sheet name="vanesa" sheetId="36" state="hidden" r:id="rId37"/>
    <sheet name="vanesa rep" sheetId="37" state="hidden" r:id="rId38"/>
    <sheet name="oscrarr santos (2)" sheetId="38" state="hidden" r:id="rId39"/>
  </sheets>
  <definedNames>
    <definedName name="_xlnm._FilterDatabase" localSheetId="35" hidden="1">Hoja1!$B$102:$N$102</definedName>
    <definedName name="_xlnm._FilterDatabase" localSheetId="38" hidden="1">'oscrarr santos (2)'!$A$2212:$AN$2212</definedName>
    <definedName name="_xlnm._FilterDatabase" localSheetId="17" hidden="1">'Plantilla farma normal (2)'!$C$1:$C$1241</definedName>
    <definedName name="_xlnm._FilterDatabase" localSheetId="32">'roberto sosa'!$B$585:$M$593</definedName>
    <definedName name="_xlnm._FilterDatabase" localSheetId="7">'sup consu'!$A$34:$AMK$34</definedName>
    <definedName name="_xlnm._FilterDatabase" localSheetId="6">'sup consu (2)'!$A$25:$AMK$25</definedName>
    <definedName name="_xlnm._FilterDatabase" localSheetId="2" hidden="1">'sup farma (2)'!$B$27:$N$27</definedName>
    <definedName name="_xlnm._FilterDatabase" localSheetId="36" hidden="1">vanesa!$B$447:$O$447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96" i="18" l="1"/>
  <c r="H21" i="6"/>
  <c r="H18" i="6" l="1"/>
  <c r="I10" i="6"/>
  <c r="K6" i="18" l="1"/>
  <c r="I58" i="23"/>
  <c r="I110" i="23"/>
  <c r="H65" i="23" l="1"/>
  <c r="I79" i="18"/>
  <c r="I153" i="18"/>
  <c r="I227" i="18"/>
  <c r="I301" i="18"/>
  <c r="I375" i="18"/>
  <c r="I449" i="18"/>
  <c r="I523" i="18"/>
  <c r="I597" i="18"/>
  <c r="I671" i="18"/>
  <c r="I745" i="18"/>
  <c r="I819" i="18"/>
  <c r="I893" i="18"/>
  <c r="I967" i="18"/>
  <c r="I1041" i="18"/>
  <c r="I1115" i="18"/>
  <c r="I1189" i="18"/>
  <c r="I1313" i="19" l="1"/>
  <c r="B1328" i="19"/>
  <c r="I1323" i="19"/>
  <c r="A1323" i="19"/>
  <c r="G1322" i="19"/>
  <c r="F1322" i="19"/>
  <c r="A1321" i="19"/>
  <c r="G1320" i="19"/>
  <c r="I1310" i="19"/>
  <c r="B1278" i="19"/>
  <c r="I1273" i="19"/>
  <c r="A1273" i="19"/>
  <c r="G1272" i="19"/>
  <c r="F1272" i="19"/>
  <c r="A1271" i="19"/>
  <c r="G1270" i="19"/>
  <c r="I1260" i="19"/>
  <c r="H75" i="42" l="1"/>
  <c r="H62" i="42" s="1"/>
  <c r="B70" i="42"/>
  <c r="I65" i="42"/>
  <c r="A65" i="42"/>
  <c r="G62" i="42"/>
  <c r="I52" i="42"/>
  <c r="H25" i="42"/>
  <c r="H12" i="42" s="1"/>
  <c r="B20" i="42"/>
  <c r="I15" i="42"/>
  <c r="A15" i="42"/>
  <c r="G12" i="42"/>
  <c r="I2" i="42"/>
  <c r="I12" i="42" l="1"/>
  <c r="I21" i="42" s="1"/>
  <c r="I62" i="42"/>
  <c r="I71" i="42" s="1"/>
  <c r="M8" i="40"/>
  <c r="E229" i="40" s="1"/>
  <c r="L8" i="40"/>
  <c r="L14" i="40" s="1"/>
  <c r="K8" i="40"/>
  <c r="E178" i="40" s="1"/>
  <c r="H179" i="40" s="1"/>
  <c r="H164" i="40" s="1"/>
  <c r="I164" i="40" s="1"/>
  <c r="J8" i="40"/>
  <c r="E230" i="40" s="1"/>
  <c r="I8" i="40"/>
  <c r="E233" i="40" s="1"/>
  <c r="H8" i="40"/>
  <c r="E232" i="40" s="1"/>
  <c r="G8" i="40"/>
  <c r="G14" i="40" s="1"/>
  <c r="F8" i="40"/>
  <c r="E225" i="40" s="1"/>
  <c r="E8" i="40"/>
  <c r="E226" i="40" s="1"/>
  <c r="D8" i="40"/>
  <c r="C8" i="40"/>
  <c r="C14" i="40" s="1"/>
  <c r="E79" i="40"/>
  <c r="B221" i="40"/>
  <c r="A216" i="40"/>
  <c r="G215" i="40"/>
  <c r="F215" i="40"/>
  <c r="A214" i="40"/>
  <c r="G213" i="40"/>
  <c r="I206" i="40"/>
  <c r="E176" i="40"/>
  <c r="E175" i="40"/>
  <c r="B171" i="40"/>
  <c r="A166" i="40"/>
  <c r="G165" i="40"/>
  <c r="F165" i="40"/>
  <c r="A164" i="40"/>
  <c r="G163" i="40"/>
  <c r="I156" i="40"/>
  <c r="E133" i="40"/>
  <c r="E132" i="40"/>
  <c r="E130" i="40"/>
  <c r="E129" i="40"/>
  <c r="E128" i="40"/>
  <c r="E126" i="40"/>
  <c r="E125" i="40"/>
  <c r="B121" i="40"/>
  <c r="A116" i="40"/>
  <c r="G115" i="40"/>
  <c r="F115" i="40"/>
  <c r="A114" i="40"/>
  <c r="G113" i="40"/>
  <c r="I106" i="40"/>
  <c r="E83" i="40"/>
  <c r="E82" i="40"/>
  <c r="E80" i="40"/>
  <c r="E78" i="40"/>
  <c r="E76" i="40"/>
  <c r="E75" i="40"/>
  <c r="B71" i="40"/>
  <c r="A66" i="40"/>
  <c r="G65" i="40"/>
  <c r="F65" i="40"/>
  <c r="A64" i="40"/>
  <c r="G63" i="40"/>
  <c r="D24" i="40"/>
  <c r="D25" i="40" s="1"/>
  <c r="D14" i="40"/>
  <c r="M12" i="40"/>
  <c r="L12" i="40"/>
  <c r="K12" i="40"/>
  <c r="J12" i="40"/>
  <c r="I12" i="40"/>
  <c r="H12" i="40"/>
  <c r="G12" i="40"/>
  <c r="F12" i="40"/>
  <c r="E12" i="40"/>
  <c r="D12" i="40"/>
  <c r="C12" i="40"/>
  <c r="J14" i="40"/>
  <c r="E14" i="40"/>
  <c r="E182" i="40" l="1"/>
  <c r="E228" i="40"/>
  <c r="M14" i="40"/>
  <c r="H83" i="40"/>
  <c r="H65" i="40" s="1"/>
  <c r="I65" i="40" s="1"/>
  <c r="E183" i="40"/>
  <c r="H133" i="40"/>
  <c r="H115" i="40" s="1"/>
  <c r="I115" i="40" s="1"/>
  <c r="F14" i="40"/>
  <c r="H176" i="40"/>
  <c r="H163" i="40" s="1"/>
  <c r="I163" i="40" s="1"/>
  <c r="H79" i="40"/>
  <c r="H64" i="40" s="1"/>
  <c r="I64" i="40" s="1"/>
  <c r="H126" i="40"/>
  <c r="H113" i="40" s="1"/>
  <c r="I113" i="40" s="1"/>
  <c r="H129" i="40"/>
  <c r="H114" i="40" s="1"/>
  <c r="I114" i="40" s="1"/>
  <c r="H76" i="40"/>
  <c r="H63" i="40" s="1"/>
  <c r="I63" i="40" s="1"/>
  <c r="H183" i="40"/>
  <c r="H165" i="40" s="1"/>
  <c r="I165" i="40" s="1"/>
  <c r="H14" i="40"/>
  <c r="I14" i="40"/>
  <c r="E180" i="40"/>
  <c r="K14" i="40"/>
  <c r="H233" i="40"/>
  <c r="H215" i="40" s="1"/>
  <c r="I215" i="40" s="1"/>
  <c r="H226" i="40"/>
  <c r="H213" i="40" s="1"/>
  <c r="I213" i="40" s="1"/>
  <c r="H229" i="40"/>
  <c r="H214" i="40" s="1"/>
  <c r="I214" i="40" s="1"/>
  <c r="H2309" i="38"/>
  <c r="L2308" i="38"/>
  <c r="I2308" i="38"/>
  <c r="K2308" i="38" s="1"/>
  <c r="L2307" i="38"/>
  <c r="I2307" i="38"/>
  <c r="K2307" i="38" s="1"/>
  <c r="L2306" i="38"/>
  <c r="I2306" i="38"/>
  <c r="K2306" i="38" s="1"/>
  <c r="L2305" i="38"/>
  <c r="I2305" i="38"/>
  <c r="K2305" i="38" s="1"/>
  <c r="L2304" i="38"/>
  <c r="I2304" i="38"/>
  <c r="K2304" i="38" s="1"/>
  <c r="L2303" i="38"/>
  <c r="I2303" i="38"/>
  <c r="K2303" i="38" s="1"/>
  <c r="L2302" i="38"/>
  <c r="I2302" i="38"/>
  <c r="K2302" i="38" s="1"/>
  <c r="L2301" i="38"/>
  <c r="I2301" i="38"/>
  <c r="K2301" i="38" s="1"/>
  <c r="L2300" i="38"/>
  <c r="I2300" i="38"/>
  <c r="K2300" i="38" s="1"/>
  <c r="L2299" i="38"/>
  <c r="I2299" i="38"/>
  <c r="K2299" i="38" s="1"/>
  <c r="L2298" i="38"/>
  <c r="I2298" i="38"/>
  <c r="K2298" i="38" s="1"/>
  <c r="L2297" i="38"/>
  <c r="I2297" i="38"/>
  <c r="K2297" i="38" s="1"/>
  <c r="L2296" i="38"/>
  <c r="I2296" i="38"/>
  <c r="K2296" i="38" s="1"/>
  <c r="L2295" i="38"/>
  <c r="I2295" i="38"/>
  <c r="K2295" i="38" s="1"/>
  <c r="L2294" i="38"/>
  <c r="I2294" i="38"/>
  <c r="K2294" i="38" s="1"/>
  <c r="L2293" i="38"/>
  <c r="I2293" i="38"/>
  <c r="K2293" i="38" s="1"/>
  <c r="L2292" i="38"/>
  <c r="I2292" i="38"/>
  <c r="K2292" i="38" s="1"/>
  <c r="L2291" i="38"/>
  <c r="I2291" i="38"/>
  <c r="K2291" i="38" s="1"/>
  <c r="L2290" i="38"/>
  <c r="I2290" i="38"/>
  <c r="K2290" i="38" s="1"/>
  <c r="L2289" i="38"/>
  <c r="I2289" i="38"/>
  <c r="K2289" i="38" s="1"/>
  <c r="L2288" i="38"/>
  <c r="K2288" i="38"/>
  <c r="I2288" i="38"/>
  <c r="L2287" i="38"/>
  <c r="I2287" i="38"/>
  <c r="K2287" i="38" s="1"/>
  <c r="L2286" i="38"/>
  <c r="I2286" i="38"/>
  <c r="K2286" i="38" s="1"/>
  <c r="L2285" i="38"/>
  <c r="I2285" i="38"/>
  <c r="K2285" i="38" s="1"/>
  <c r="L2284" i="38"/>
  <c r="I2284" i="38"/>
  <c r="K2284" i="38" s="1"/>
  <c r="L2283" i="38"/>
  <c r="I2283" i="38"/>
  <c r="K2283" i="38" s="1"/>
  <c r="L2282" i="38"/>
  <c r="I2282" i="38"/>
  <c r="K2282" i="38" s="1"/>
  <c r="L2281" i="38"/>
  <c r="I2281" i="38"/>
  <c r="K2281" i="38" s="1"/>
  <c r="L2280" i="38"/>
  <c r="I2280" i="38"/>
  <c r="K2280" i="38" s="1"/>
  <c r="L2279" i="38"/>
  <c r="I2279" i="38"/>
  <c r="K2279" i="38" s="1"/>
  <c r="L2278" i="38"/>
  <c r="I2278" i="38"/>
  <c r="K2278" i="38" s="1"/>
  <c r="L2277" i="38"/>
  <c r="I2277" i="38"/>
  <c r="K2277" i="38" s="1"/>
  <c r="L2276" i="38"/>
  <c r="I2276" i="38"/>
  <c r="K2276" i="38" s="1"/>
  <c r="L2275" i="38"/>
  <c r="I2275" i="38"/>
  <c r="K2275" i="38" s="1"/>
  <c r="L2274" i="38"/>
  <c r="I2274" i="38"/>
  <c r="K2274" i="38" s="1"/>
  <c r="L2273" i="38"/>
  <c r="I2273" i="38"/>
  <c r="K2273" i="38" s="1"/>
  <c r="L2272" i="38"/>
  <c r="I2272" i="38"/>
  <c r="K2272" i="38" s="1"/>
  <c r="L2271" i="38"/>
  <c r="I2271" i="38"/>
  <c r="K2271" i="38" s="1"/>
  <c r="L2270" i="38"/>
  <c r="I2270" i="38"/>
  <c r="K2270" i="38" s="1"/>
  <c r="L2269" i="38"/>
  <c r="I2269" i="38"/>
  <c r="K2269" i="38" s="1"/>
  <c r="L2268" i="38"/>
  <c r="I2268" i="38"/>
  <c r="K2268" i="38" s="1"/>
  <c r="L2267" i="38"/>
  <c r="I2267" i="38"/>
  <c r="K2267" i="38" s="1"/>
  <c r="L2266" i="38"/>
  <c r="K2266" i="38"/>
  <c r="I2266" i="38"/>
  <c r="L2265" i="38"/>
  <c r="I2265" i="38"/>
  <c r="K2265" i="38" s="1"/>
  <c r="L2264" i="38"/>
  <c r="I2264" i="38"/>
  <c r="K2264" i="38" s="1"/>
  <c r="L2263" i="38"/>
  <c r="I2263" i="38"/>
  <c r="K2263" i="38" s="1"/>
  <c r="L2262" i="38"/>
  <c r="I2262" i="38"/>
  <c r="K2262" i="38" s="1"/>
  <c r="L2261" i="38"/>
  <c r="I2261" i="38"/>
  <c r="K2261" i="38" s="1"/>
  <c r="L2260" i="38"/>
  <c r="I2260" i="38"/>
  <c r="K2260" i="38" s="1"/>
  <c r="L2259" i="38"/>
  <c r="I2259" i="38"/>
  <c r="K2259" i="38" s="1"/>
  <c r="L2258" i="38"/>
  <c r="I2258" i="38"/>
  <c r="K2258" i="38" s="1"/>
  <c r="L2257" i="38"/>
  <c r="I2257" i="38"/>
  <c r="K2257" i="38" s="1"/>
  <c r="L2256" i="38"/>
  <c r="I2256" i="38"/>
  <c r="K2256" i="38" s="1"/>
  <c r="L2255" i="38"/>
  <c r="I2255" i="38"/>
  <c r="K2255" i="38" s="1"/>
  <c r="L2254" i="38"/>
  <c r="I2254" i="38"/>
  <c r="K2254" i="38" s="1"/>
  <c r="L2253" i="38"/>
  <c r="I2253" i="38"/>
  <c r="K2253" i="38" s="1"/>
  <c r="L2252" i="38"/>
  <c r="I2252" i="38"/>
  <c r="K2252" i="38" s="1"/>
  <c r="L2251" i="38"/>
  <c r="I2251" i="38"/>
  <c r="K2251" i="38" s="1"/>
  <c r="L2250" i="38"/>
  <c r="I2250" i="38"/>
  <c r="K2250" i="38" s="1"/>
  <c r="L2249" i="38"/>
  <c r="I2249" i="38"/>
  <c r="K2249" i="38" s="1"/>
  <c r="L2248" i="38"/>
  <c r="I2248" i="38"/>
  <c r="K2248" i="38" s="1"/>
  <c r="L2247" i="38"/>
  <c r="I2247" i="38"/>
  <c r="K2247" i="38" s="1"/>
  <c r="L2246" i="38"/>
  <c r="I2246" i="38"/>
  <c r="K2246" i="38" s="1"/>
  <c r="L2245" i="38"/>
  <c r="I2245" i="38"/>
  <c r="K2245" i="38" s="1"/>
  <c r="L2244" i="38"/>
  <c r="I2244" i="38"/>
  <c r="K2244" i="38" s="1"/>
  <c r="L2243" i="38"/>
  <c r="I2243" i="38"/>
  <c r="K2243" i="38" s="1"/>
  <c r="L2242" i="38"/>
  <c r="I2242" i="38"/>
  <c r="K2242" i="38" s="1"/>
  <c r="L2241" i="38"/>
  <c r="I2241" i="38"/>
  <c r="K2241" i="38" s="1"/>
  <c r="L2240" i="38"/>
  <c r="K2240" i="38"/>
  <c r="I2240" i="38"/>
  <c r="L2239" i="38"/>
  <c r="I2239" i="38"/>
  <c r="K2239" i="38" s="1"/>
  <c r="L2238" i="38"/>
  <c r="I2238" i="38"/>
  <c r="K2238" i="38" s="1"/>
  <c r="L2237" i="38"/>
  <c r="I2237" i="38"/>
  <c r="K2237" i="38" s="1"/>
  <c r="L2236" i="38"/>
  <c r="I2236" i="38"/>
  <c r="K2236" i="38" s="1"/>
  <c r="L2235" i="38"/>
  <c r="I2235" i="38"/>
  <c r="K2235" i="38" s="1"/>
  <c r="L2234" i="38"/>
  <c r="I2234" i="38"/>
  <c r="K2234" i="38" s="1"/>
  <c r="L2233" i="38"/>
  <c r="I2233" i="38"/>
  <c r="K2233" i="38" s="1"/>
  <c r="L2232" i="38"/>
  <c r="I2232" i="38"/>
  <c r="K2232" i="38" s="1"/>
  <c r="L2231" i="38"/>
  <c r="I2231" i="38"/>
  <c r="K2231" i="38" s="1"/>
  <c r="L2230" i="38"/>
  <c r="I2230" i="38"/>
  <c r="K2230" i="38" s="1"/>
  <c r="L2229" i="38"/>
  <c r="I2229" i="38"/>
  <c r="K2229" i="38" s="1"/>
  <c r="L2228" i="38"/>
  <c r="I2228" i="38"/>
  <c r="K2228" i="38" s="1"/>
  <c r="L2227" i="38"/>
  <c r="I2227" i="38"/>
  <c r="K2227" i="38" s="1"/>
  <c r="L2226" i="38"/>
  <c r="I2226" i="38"/>
  <c r="K2226" i="38" s="1"/>
  <c r="L2225" i="38"/>
  <c r="I2225" i="38"/>
  <c r="K2225" i="38" s="1"/>
  <c r="L2224" i="38"/>
  <c r="I2224" i="38"/>
  <c r="K2224" i="38" s="1"/>
  <c r="L2223" i="38"/>
  <c r="I2223" i="38"/>
  <c r="K2223" i="38" s="1"/>
  <c r="L2222" i="38"/>
  <c r="I2222" i="38"/>
  <c r="K2222" i="38" s="1"/>
  <c r="L2221" i="38"/>
  <c r="I2221" i="38"/>
  <c r="K2221" i="38" s="1"/>
  <c r="L2220" i="38"/>
  <c r="I2220" i="38"/>
  <c r="K2220" i="38" s="1"/>
  <c r="L2219" i="38"/>
  <c r="I2219" i="38"/>
  <c r="K2219" i="38" s="1"/>
  <c r="L2218" i="38"/>
  <c r="I2218" i="38"/>
  <c r="K2218" i="38" s="1"/>
  <c r="L2217" i="38"/>
  <c r="I2217" i="38"/>
  <c r="K2217" i="38" s="1"/>
  <c r="L2216" i="38"/>
  <c r="I2216" i="38"/>
  <c r="K2216" i="38" s="1"/>
  <c r="L2215" i="38"/>
  <c r="K2215" i="38"/>
  <c r="I2215" i="38"/>
  <c r="L2214" i="38"/>
  <c r="I2214" i="38"/>
  <c r="K2214" i="38" s="1"/>
  <c r="L2213" i="38"/>
  <c r="I2213" i="38"/>
  <c r="K2213" i="38" s="1"/>
  <c r="K2193" i="38"/>
  <c r="K2192" i="38"/>
  <c r="L2183" i="38"/>
  <c r="I2183" i="38"/>
  <c r="H2183" i="38"/>
  <c r="K2183" i="38" s="1"/>
  <c r="L2182" i="38"/>
  <c r="I2182" i="38"/>
  <c r="H2182" i="38"/>
  <c r="L2181" i="38"/>
  <c r="I2181" i="38"/>
  <c r="H2181" i="38"/>
  <c r="K2181" i="38" s="1"/>
  <c r="L2180" i="38"/>
  <c r="I2180" i="38"/>
  <c r="H2180" i="38"/>
  <c r="L2179" i="38"/>
  <c r="I2179" i="38"/>
  <c r="H2179" i="38"/>
  <c r="K2179" i="38" s="1"/>
  <c r="L2178" i="38"/>
  <c r="I2178" i="38"/>
  <c r="H2178" i="38"/>
  <c r="L2177" i="38"/>
  <c r="I2177" i="38"/>
  <c r="H2177" i="38"/>
  <c r="K2177" i="38" s="1"/>
  <c r="L2176" i="38"/>
  <c r="I2176" i="38"/>
  <c r="H2176" i="38"/>
  <c r="L2175" i="38"/>
  <c r="I2175" i="38"/>
  <c r="H2175" i="38"/>
  <c r="L2174" i="38"/>
  <c r="I2174" i="38"/>
  <c r="H2174" i="38"/>
  <c r="L2173" i="38"/>
  <c r="I2173" i="38"/>
  <c r="H2173" i="38"/>
  <c r="L2172" i="38"/>
  <c r="I2172" i="38"/>
  <c r="H2172" i="38"/>
  <c r="L2171" i="38"/>
  <c r="I2171" i="38"/>
  <c r="H2171" i="38"/>
  <c r="K2171" i="38" s="1"/>
  <c r="L2170" i="38"/>
  <c r="I2170" i="38"/>
  <c r="H2170" i="38"/>
  <c r="L2169" i="38"/>
  <c r="I2169" i="38"/>
  <c r="H2169" i="38"/>
  <c r="K2169" i="38" s="1"/>
  <c r="L2168" i="38"/>
  <c r="I2168" i="38"/>
  <c r="H2168" i="38"/>
  <c r="L2167" i="38"/>
  <c r="I2167" i="38"/>
  <c r="H2167" i="38"/>
  <c r="L2166" i="38"/>
  <c r="I2166" i="38"/>
  <c r="H2166" i="38"/>
  <c r="L2165" i="38"/>
  <c r="I2165" i="38"/>
  <c r="H2165" i="38"/>
  <c r="L2164" i="38"/>
  <c r="I2164" i="38"/>
  <c r="H2164" i="38"/>
  <c r="L2163" i="38"/>
  <c r="I2163" i="38"/>
  <c r="H2163" i="38"/>
  <c r="L2162" i="38"/>
  <c r="I2162" i="38"/>
  <c r="H2162" i="38"/>
  <c r="L2161" i="38"/>
  <c r="I2161" i="38"/>
  <c r="H2161" i="38"/>
  <c r="L2160" i="38"/>
  <c r="I2160" i="38"/>
  <c r="H2160" i="38"/>
  <c r="L2159" i="38"/>
  <c r="I2159" i="38"/>
  <c r="H2159" i="38"/>
  <c r="L2158" i="38"/>
  <c r="I2158" i="38"/>
  <c r="H2158" i="38"/>
  <c r="L2157" i="38"/>
  <c r="I2157" i="38"/>
  <c r="H2157" i="38"/>
  <c r="L2156" i="38"/>
  <c r="I2156" i="38"/>
  <c r="H2156" i="38"/>
  <c r="L2155" i="38"/>
  <c r="I2155" i="38"/>
  <c r="H2155" i="38"/>
  <c r="L2154" i="38"/>
  <c r="I2154" i="38"/>
  <c r="H2154" i="38"/>
  <c r="L2153" i="38"/>
  <c r="I2153" i="38"/>
  <c r="H2153" i="38"/>
  <c r="L2152" i="38"/>
  <c r="I2152" i="38"/>
  <c r="H2152" i="38"/>
  <c r="L2151" i="38"/>
  <c r="I2151" i="38"/>
  <c r="H2151" i="38"/>
  <c r="L2150" i="38"/>
  <c r="I2150" i="38"/>
  <c r="K2150" i="38" s="1"/>
  <c r="H2150" i="38"/>
  <c r="L2149" i="38"/>
  <c r="I2149" i="38"/>
  <c r="H2149" i="38"/>
  <c r="L2148" i="38"/>
  <c r="I2148" i="38"/>
  <c r="H2148" i="38"/>
  <c r="L2147" i="38"/>
  <c r="I2147" i="38"/>
  <c r="H2147" i="38"/>
  <c r="L2146" i="38"/>
  <c r="I2146" i="38"/>
  <c r="H2146" i="38"/>
  <c r="L2145" i="38"/>
  <c r="I2145" i="38"/>
  <c r="H2145" i="38"/>
  <c r="L2144" i="38"/>
  <c r="I2144" i="38"/>
  <c r="H2144" i="38"/>
  <c r="L2143" i="38"/>
  <c r="I2143" i="38"/>
  <c r="H2143" i="38"/>
  <c r="L2142" i="38"/>
  <c r="I2142" i="38"/>
  <c r="H2142" i="38"/>
  <c r="L2141" i="38"/>
  <c r="I2141" i="38"/>
  <c r="H2141" i="38"/>
  <c r="L2140" i="38"/>
  <c r="I2140" i="38"/>
  <c r="H2140" i="38"/>
  <c r="L2139" i="38"/>
  <c r="I2139" i="38"/>
  <c r="H2139" i="38"/>
  <c r="L2138" i="38"/>
  <c r="I2138" i="38"/>
  <c r="H2138" i="38"/>
  <c r="L2137" i="38"/>
  <c r="I2137" i="38"/>
  <c r="H2137" i="38"/>
  <c r="L2136" i="38"/>
  <c r="I2136" i="38"/>
  <c r="H2136" i="38"/>
  <c r="L2135" i="38"/>
  <c r="I2135" i="38"/>
  <c r="H2135" i="38"/>
  <c r="L2134" i="38"/>
  <c r="I2134" i="38"/>
  <c r="H2134" i="38"/>
  <c r="L2133" i="38"/>
  <c r="I2133" i="38"/>
  <c r="H2133" i="38"/>
  <c r="L2132" i="38"/>
  <c r="I2132" i="38"/>
  <c r="H2132" i="38"/>
  <c r="L2131" i="38"/>
  <c r="I2131" i="38"/>
  <c r="H2131" i="38"/>
  <c r="L2130" i="38"/>
  <c r="I2130" i="38"/>
  <c r="H2130" i="38"/>
  <c r="L2129" i="38"/>
  <c r="I2129" i="38"/>
  <c r="H2129" i="38"/>
  <c r="L2128" i="38"/>
  <c r="I2128" i="38"/>
  <c r="H2128" i="38"/>
  <c r="L2127" i="38"/>
  <c r="I2127" i="38"/>
  <c r="H2127" i="38"/>
  <c r="L2126" i="38"/>
  <c r="I2126" i="38"/>
  <c r="H2126" i="38"/>
  <c r="L2125" i="38"/>
  <c r="I2125" i="38"/>
  <c r="H2125" i="38"/>
  <c r="L2124" i="38"/>
  <c r="I2124" i="38"/>
  <c r="H2124" i="38"/>
  <c r="L2123" i="38"/>
  <c r="I2123" i="38"/>
  <c r="H2123" i="38"/>
  <c r="K2123" i="38" s="1"/>
  <c r="L2122" i="38"/>
  <c r="I2122" i="38"/>
  <c r="H2122" i="38"/>
  <c r="L2121" i="38"/>
  <c r="I2121" i="38"/>
  <c r="H2121" i="38"/>
  <c r="K2121" i="38" s="1"/>
  <c r="L2120" i="38"/>
  <c r="I2120" i="38"/>
  <c r="H2120" i="38"/>
  <c r="L2119" i="38"/>
  <c r="I2119" i="38"/>
  <c r="H2119" i="38"/>
  <c r="L2118" i="38"/>
  <c r="I2118" i="38"/>
  <c r="H2118" i="38"/>
  <c r="L2117" i="38"/>
  <c r="I2117" i="38"/>
  <c r="H2117" i="38"/>
  <c r="L2116" i="38"/>
  <c r="I2116" i="38"/>
  <c r="H2116" i="38"/>
  <c r="L2115" i="38"/>
  <c r="I2115" i="38"/>
  <c r="H2115" i="38"/>
  <c r="L2114" i="38"/>
  <c r="I2114" i="38"/>
  <c r="H2114" i="38"/>
  <c r="L2113" i="38"/>
  <c r="I2113" i="38"/>
  <c r="H2113" i="38"/>
  <c r="L2112" i="38"/>
  <c r="I2112" i="38"/>
  <c r="H2112" i="38"/>
  <c r="L2111" i="38"/>
  <c r="I2111" i="38"/>
  <c r="H2111" i="38"/>
  <c r="L2110" i="38"/>
  <c r="I2110" i="38"/>
  <c r="H2110" i="38"/>
  <c r="L2109" i="38"/>
  <c r="I2109" i="38"/>
  <c r="H2109" i="38"/>
  <c r="L2108" i="38"/>
  <c r="I2108" i="38"/>
  <c r="H2108" i="38"/>
  <c r="L2107" i="38"/>
  <c r="I2107" i="38"/>
  <c r="H2107" i="38"/>
  <c r="K2107" i="38" s="1"/>
  <c r="L2106" i="38"/>
  <c r="I2106" i="38"/>
  <c r="H2106" i="38"/>
  <c r="L2105" i="38"/>
  <c r="I2105" i="38"/>
  <c r="H2105" i="38"/>
  <c r="K2105" i="38" s="1"/>
  <c r="L2104" i="38"/>
  <c r="I2104" i="38"/>
  <c r="H2104" i="38"/>
  <c r="L2103" i="38"/>
  <c r="I2103" i="38"/>
  <c r="H2103" i="38"/>
  <c r="L2102" i="38"/>
  <c r="I2102" i="38"/>
  <c r="H2102" i="38"/>
  <c r="L2101" i="38"/>
  <c r="I2101" i="38"/>
  <c r="H2101" i="38"/>
  <c r="L2100" i="38"/>
  <c r="I2100" i="38"/>
  <c r="H2100" i="38"/>
  <c r="L2099" i="38"/>
  <c r="I2099" i="38"/>
  <c r="H2099" i="38"/>
  <c r="L2098" i="38"/>
  <c r="I2098" i="38"/>
  <c r="H2098" i="38"/>
  <c r="L2097" i="38"/>
  <c r="I2097" i="38"/>
  <c r="H2097" i="38"/>
  <c r="L2096" i="38"/>
  <c r="I2096" i="38"/>
  <c r="H2096" i="38"/>
  <c r="L2095" i="38"/>
  <c r="I2095" i="38"/>
  <c r="H2095" i="38"/>
  <c r="L2094" i="38"/>
  <c r="I2094" i="38"/>
  <c r="H2094" i="38"/>
  <c r="L2093" i="38"/>
  <c r="I2093" i="38"/>
  <c r="H2093" i="38"/>
  <c r="L2092" i="38"/>
  <c r="I2092" i="38"/>
  <c r="H2092" i="38"/>
  <c r="L2091" i="38"/>
  <c r="I2091" i="38"/>
  <c r="H2091" i="38"/>
  <c r="K2091" i="38" s="1"/>
  <c r="L2090" i="38"/>
  <c r="I2090" i="38"/>
  <c r="H2090" i="38"/>
  <c r="L2089" i="38"/>
  <c r="I2089" i="38"/>
  <c r="H2089" i="38"/>
  <c r="J2079" i="38"/>
  <c r="K2079" i="38" s="1"/>
  <c r="K2078" i="38"/>
  <c r="J2065" i="38"/>
  <c r="K2065" i="38" s="1"/>
  <c r="K2064" i="38"/>
  <c r="H2057" i="38"/>
  <c r="L2056" i="38"/>
  <c r="I2056" i="38"/>
  <c r="K2056" i="38" s="1"/>
  <c r="L2055" i="38"/>
  <c r="I2055" i="38"/>
  <c r="K2055" i="38" s="1"/>
  <c r="L2054" i="38"/>
  <c r="I2054" i="38"/>
  <c r="L2053" i="38"/>
  <c r="I2053" i="38"/>
  <c r="K2053" i="38" s="1"/>
  <c r="L2052" i="38"/>
  <c r="I2052" i="38"/>
  <c r="L2051" i="38"/>
  <c r="I2051" i="38"/>
  <c r="K2051" i="38" s="1"/>
  <c r="L2050" i="38"/>
  <c r="I2050" i="38"/>
  <c r="K2050" i="38" s="1"/>
  <c r="L2049" i="38"/>
  <c r="I2049" i="38"/>
  <c r="K2049" i="38" s="1"/>
  <c r="L2048" i="38"/>
  <c r="K2048" i="38"/>
  <c r="I2048" i="38"/>
  <c r="L2047" i="38"/>
  <c r="I2047" i="38"/>
  <c r="K2047" i="38" s="1"/>
  <c r="L2046" i="38"/>
  <c r="I2046" i="38"/>
  <c r="K2046" i="38" s="1"/>
  <c r="L2045" i="38"/>
  <c r="I2045" i="38"/>
  <c r="K2045" i="38" s="1"/>
  <c r="L2044" i="38"/>
  <c r="I2044" i="38"/>
  <c r="K2044" i="38" s="1"/>
  <c r="L2043" i="38"/>
  <c r="I2043" i="38"/>
  <c r="K2043" i="38" s="1"/>
  <c r="L2042" i="38"/>
  <c r="I2042" i="38"/>
  <c r="K2042" i="38" s="1"/>
  <c r="L2041" i="38"/>
  <c r="I2041" i="38"/>
  <c r="K2041" i="38" s="1"/>
  <c r="L2040" i="38"/>
  <c r="I2040" i="38"/>
  <c r="K2040" i="38" s="1"/>
  <c r="L2039" i="38"/>
  <c r="I2039" i="38"/>
  <c r="K2039" i="38" s="1"/>
  <c r="L2038" i="38"/>
  <c r="I2038" i="38"/>
  <c r="K2038" i="38" s="1"/>
  <c r="L2037" i="38"/>
  <c r="I2037" i="38"/>
  <c r="K2037" i="38" s="1"/>
  <c r="L2036" i="38"/>
  <c r="I2036" i="38"/>
  <c r="K2036" i="38" s="1"/>
  <c r="L2035" i="38"/>
  <c r="I2035" i="38"/>
  <c r="K2035" i="38" s="1"/>
  <c r="L2034" i="38"/>
  <c r="K2034" i="38"/>
  <c r="I2034" i="38"/>
  <c r="L2033" i="38"/>
  <c r="I2033" i="38"/>
  <c r="K2033" i="38" s="1"/>
  <c r="L2032" i="38"/>
  <c r="I2032" i="38"/>
  <c r="K2032" i="38" s="1"/>
  <c r="L2031" i="38"/>
  <c r="I2031" i="38"/>
  <c r="K2031" i="38" s="1"/>
  <c r="L2030" i="38"/>
  <c r="I2030" i="38"/>
  <c r="K2030" i="38" s="1"/>
  <c r="L2029" i="38"/>
  <c r="I2029" i="38"/>
  <c r="K2029" i="38" s="1"/>
  <c r="L2028" i="38"/>
  <c r="I2028" i="38"/>
  <c r="K2028" i="38" s="1"/>
  <c r="L2027" i="38"/>
  <c r="I2027" i="38"/>
  <c r="K2027" i="38" s="1"/>
  <c r="L2026" i="38"/>
  <c r="I2026" i="38"/>
  <c r="K2026" i="38" s="1"/>
  <c r="L2025" i="38"/>
  <c r="I2025" i="38"/>
  <c r="K2025" i="38" s="1"/>
  <c r="L2024" i="38"/>
  <c r="I2024" i="38"/>
  <c r="K2024" i="38" s="1"/>
  <c r="L2023" i="38"/>
  <c r="I2023" i="38"/>
  <c r="K2023" i="38" s="1"/>
  <c r="L2022" i="38"/>
  <c r="I2022" i="38"/>
  <c r="K2022" i="38" s="1"/>
  <c r="L2021" i="38"/>
  <c r="I2021" i="38"/>
  <c r="K2021" i="38" s="1"/>
  <c r="L2020" i="38"/>
  <c r="I2020" i="38"/>
  <c r="K2020" i="38" s="1"/>
  <c r="L2019" i="38"/>
  <c r="I2019" i="38"/>
  <c r="K2019" i="38" s="1"/>
  <c r="L2018" i="38"/>
  <c r="I2018" i="38"/>
  <c r="K2018" i="38" s="1"/>
  <c r="L2017" i="38"/>
  <c r="K2017" i="38"/>
  <c r="I2017" i="38"/>
  <c r="L2016" i="38"/>
  <c r="I2016" i="38"/>
  <c r="K2016" i="38" s="1"/>
  <c r="L2015" i="38"/>
  <c r="I2015" i="38"/>
  <c r="K2015" i="38" s="1"/>
  <c r="L2014" i="38"/>
  <c r="I2014" i="38"/>
  <c r="K2014" i="38" s="1"/>
  <c r="L2013" i="38"/>
  <c r="I2013" i="38"/>
  <c r="K2013" i="38" s="1"/>
  <c r="L2012" i="38"/>
  <c r="I2012" i="38"/>
  <c r="K2012" i="38" s="1"/>
  <c r="L2011" i="38"/>
  <c r="I2011" i="38"/>
  <c r="K2011" i="38" s="1"/>
  <c r="L2010" i="38"/>
  <c r="I2010" i="38"/>
  <c r="K2010" i="38" s="1"/>
  <c r="L2009" i="38"/>
  <c r="I2009" i="38"/>
  <c r="K2009" i="38" s="1"/>
  <c r="L2008" i="38"/>
  <c r="I2008" i="38"/>
  <c r="K2008" i="38" s="1"/>
  <c r="L2007" i="38"/>
  <c r="I2007" i="38"/>
  <c r="K2007" i="38" s="1"/>
  <c r="L2006" i="38"/>
  <c r="I2006" i="38"/>
  <c r="K2006" i="38" s="1"/>
  <c r="L2005" i="38"/>
  <c r="I2005" i="38"/>
  <c r="K2005" i="38" s="1"/>
  <c r="L2004" i="38"/>
  <c r="I2004" i="38"/>
  <c r="K2004" i="38" s="1"/>
  <c r="L2003" i="38"/>
  <c r="I2003" i="38"/>
  <c r="K2003" i="38" s="1"/>
  <c r="L2002" i="38"/>
  <c r="I2002" i="38"/>
  <c r="K2002" i="38" s="1"/>
  <c r="L2001" i="38"/>
  <c r="I2001" i="38"/>
  <c r="K2001" i="38" s="1"/>
  <c r="L2000" i="38"/>
  <c r="I2000" i="38"/>
  <c r="K2000" i="38" s="1"/>
  <c r="L1999" i="38"/>
  <c r="I1999" i="38"/>
  <c r="K1999" i="38" s="1"/>
  <c r="L1998" i="38"/>
  <c r="I1998" i="38"/>
  <c r="K1998" i="38" s="1"/>
  <c r="L1997" i="38"/>
  <c r="I1997" i="38"/>
  <c r="K1997" i="38" s="1"/>
  <c r="L1996" i="38"/>
  <c r="I1996" i="38"/>
  <c r="K1996" i="38" s="1"/>
  <c r="L1995" i="38"/>
  <c r="I1995" i="38"/>
  <c r="K1995" i="38" s="1"/>
  <c r="L1994" i="38"/>
  <c r="I1994" i="38"/>
  <c r="K1994" i="38" s="1"/>
  <c r="L1993" i="38"/>
  <c r="I1993" i="38"/>
  <c r="K1993" i="38" s="1"/>
  <c r="L1992" i="38"/>
  <c r="K1992" i="38"/>
  <c r="I1992" i="38"/>
  <c r="L1991" i="38"/>
  <c r="I1991" i="38"/>
  <c r="K1991" i="38" s="1"/>
  <c r="L1990" i="38"/>
  <c r="I1990" i="38"/>
  <c r="K1990" i="38" s="1"/>
  <c r="L1989" i="38"/>
  <c r="I1989" i="38"/>
  <c r="K1989" i="38" s="1"/>
  <c r="L1988" i="38"/>
  <c r="I1988" i="38"/>
  <c r="K1988" i="38" s="1"/>
  <c r="L1987" i="38"/>
  <c r="I1987" i="38"/>
  <c r="K1987" i="38" s="1"/>
  <c r="L1986" i="38"/>
  <c r="I1986" i="38"/>
  <c r="K1986" i="38" s="1"/>
  <c r="L1985" i="38"/>
  <c r="I1985" i="38"/>
  <c r="K1985" i="38" s="1"/>
  <c r="L1984" i="38"/>
  <c r="I1984" i="38"/>
  <c r="K1984" i="38" s="1"/>
  <c r="L1983" i="38"/>
  <c r="I1983" i="38"/>
  <c r="K1983" i="38" s="1"/>
  <c r="L1982" i="38"/>
  <c r="I1982" i="38"/>
  <c r="K1982" i="38" s="1"/>
  <c r="L1981" i="38"/>
  <c r="I1981" i="38"/>
  <c r="K1981" i="38" s="1"/>
  <c r="L1980" i="38"/>
  <c r="I1980" i="38"/>
  <c r="K1980" i="38" s="1"/>
  <c r="L1979" i="38"/>
  <c r="I1979" i="38"/>
  <c r="K1979" i="38" s="1"/>
  <c r="L1978" i="38"/>
  <c r="I1978" i="38"/>
  <c r="K1978" i="38" s="1"/>
  <c r="K1963" i="38"/>
  <c r="K1962" i="38"/>
  <c r="L1962" i="38" s="1"/>
  <c r="L1963" i="38" s="1"/>
  <c r="K1957" i="38"/>
  <c r="K1956" i="38"/>
  <c r="L1956" i="38" s="1"/>
  <c r="L1957" i="38" s="1"/>
  <c r="L1943" i="38"/>
  <c r="I1943" i="38"/>
  <c r="H1943" i="38"/>
  <c r="L1942" i="38"/>
  <c r="I1942" i="38"/>
  <c r="H1942" i="38"/>
  <c r="K1942" i="38" s="1"/>
  <c r="L1941" i="38"/>
  <c r="I1941" i="38"/>
  <c r="H1941" i="38"/>
  <c r="L1940" i="38"/>
  <c r="I1940" i="38"/>
  <c r="H1940" i="38"/>
  <c r="L1939" i="38"/>
  <c r="I1939" i="38"/>
  <c r="H1939" i="38"/>
  <c r="L1938" i="38"/>
  <c r="I1938" i="38"/>
  <c r="H1938" i="38"/>
  <c r="L1937" i="38"/>
  <c r="I1937" i="38"/>
  <c r="H1937" i="38"/>
  <c r="L1936" i="38"/>
  <c r="I1936" i="38"/>
  <c r="H1936" i="38"/>
  <c r="L1935" i="38"/>
  <c r="I1935" i="38"/>
  <c r="H1935" i="38"/>
  <c r="L1934" i="38"/>
  <c r="I1934" i="38"/>
  <c r="H1934" i="38"/>
  <c r="L1933" i="38"/>
  <c r="I1933" i="38"/>
  <c r="H1933" i="38"/>
  <c r="L1932" i="38"/>
  <c r="I1932" i="38"/>
  <c r="H1932" i="38"/>
  <c r="K1932" i="38" s="1"/>
  <c r="L1931" i="38"/>
  <c r="I1931" i="38"/>
  <c r="H1931" i="38"/>
  <c r="L1930" i="38"/>
  <c r="I1930" i="38"/>
  <c r="H1930" i="38"/>
  <c r="K1930" i="38" s="1"/>
  <c r="L1929" i="38"/>
  <c r="I1929" i="38"/>
  <c r="H1929" i="38"/>
  <c r="L1928" i="38"/>
  <c r="I1928" i="38"/>
  <c r="H1928" i="38"/>
  <c r="K1928" i="38" s="1"/>
  <c r="L1927" i="38"/>
  <c r="I1927" i="38"/>
  <c r="H1927" i="38"/>
  <c r="L1926" i="38"/>
  <c r="I1926" i="38"/>
  <c r="H1926" i="38"/>
  <c r="K1926" i="38" s="1"/>
  <c r="L1925" i="38"/>
  <c r="I1925" i="38"/>
  <c r="H1925" i="38"/>
  <c r="L1924" i="38"/>
  <c r="I1924" i="38"/>
  <c r="H1924" i="38"/>
  <c r="K1924" i="38" s="1"/>
  <c r="L1923" i="38"/>
  <c r="I1923" i="38"/>
  <c r="H1923" i="38"/>
  <c r="L1922" i="38"/>
  <c r="I1922" i="38"/>
  <c r="H1922" i="38"/>
  <c r="K1922" i="38" s="1"/>
  <c r="L1921" i="38"/>
  <c r="I1921" i="38"/>
  <c r="H1921" i="38"/>
  <c r="L1920" i="38"/>
  <c r="I1920" i="38"/>
  <c r="H1920" i="38"/>
  <c r="K1920" i="38" s="1"/>
  <c r="L1919" i="38"/>
  <c r="I1919" i="38"/>
  <c r="H1919" i="38"/>
  <c r="L1918" i="38"/>
  <c r="I1918" i="38"/>
  <c r="H1918" i="38"/>
  <c r="K1918" i="38" s="1"/>
  <c r="L1917" i="38"/>
  <c r="I1917" i="38"/>
  <c r="H1917" i="38"/>
  <c r="L1916" i="38"/>
  <c r="I1916" i="38"/>
  <c r="H1916" i="38"/>
  <c r="K1916" i="38" s="1"/>
  <c r="L1915" i="38"/>
  <c r="I1915" i="38"/>
  <c r="H1915" i="38"/>
  <c r="L1914" i="38"/>
  <c r="I1914" i="38"/>
  <c r="H1914" i="38"/>
  <c r="K1914" i="38" s="1"/>
  <c r="L1913" i="38"/>
  <c r="I1913" i="38"/>
  <c r="H1913" i="38"/>
  <c r="L1912" i="38"/>
  <c r="I1912" i="38"/>
  <c r="H1912" i="38"/>
  <c r="K1912" i="38" s="1"/>
  <c r="L1911" i="38"/>
  <c r="I1911" i="38"/>
  <c r="H1911" i="38"/>
  <c r="L1910" i="38"/>
  <c r="I1910" i="38"/>
  <c r="H1910" i="38"/>
  <c r="L1909" i="38"/>
  <c r="I1909" i="38"/>
  <c r="H1909" i="38"/>
  <c r="L1908" i="38"/>
  <c r="I1908" i="38"/>
  <c r="H1908" i="38"/>
  <c r="L1907" i="38"/>
  <c r="I1907" i="38"/>
  <c r="H1907" i="38"/>
  <c r="L1906" i="38"/>
  <c r="I1906" i="38"/>
  <c r="H1906" i="38"/>
  <c r="L1905" i="38"/>
  <c r="I1905" i="38"/>
  <c r="H1905" i="38"/>
  <c r="L1904" i="38"/>
  <c r="I1904" i="38"/>
  <c r="H1904" i="38"/>
  <c r="L1903" i="38"/>
  <c r="I1903" i="38"/>
  <c r="H1903" i="38"/>
  <c r="L1902" i="38"/>
  <c r="I1902" i="38"/>
  <c r="H1902" i="38"/>
  <c r="L1901" i="38"/>
  <c r="I1901" i="38"/>
  <c r="H1901" i="38"/>
  <c r="L1900" i="38"/>
  <c r="I1900" i="38"/>
  <c r="H1900" i="38"/>
  <c r="L1899" i="38"/>
  <c r="I1899" i="38"/>
  <c r="H1899" i="38"/>
  <c r="L1898" i="38"/>
  <c r="I1898" i="38"/>
  <c r="H1898" i="38"/>
  <c r="L1897" i="38"/>
  <c r="I1897" i="38"/>
  <c r="H1897" i="38"/>
  <c r="L1896" i="38"/>
  <c r="I1896" i="38"/>
  <c r="H1896" i="38"/>
  <c r="L1895" i="38"/>
  <c r="I1895" i="38"/>
  <c r="H1895" i="38"/>
  <c r="L1894" i="38"/>
  <c r="I1894" i="38"/>
  <c r="H1894" i="38"/>
  <c r="L1893" i="38"/>
  <c r="I1893" i="38"/>
  <c r="H1893" i="38"/>
  <c r="L1892" i="38"/>
  <c r="I1892" i="38"/>
  <c r="H1892" i="38"/>
  <c r="L1891" i="38"/>
  <c r="I1891" i="38"/>
  <c r="H1891" i="38"/>
  <c r="L1890" i="38"/>
  <c r="I1890" i="38"/>
  <c r="H1890" i="38"/>
  <c r="L1889" i="38"/>
  <c r="I1889" i="38"/>
  <c r="H1889" i="38"/>
  <c r="L1888" i="38"/>
  <c r="I1888" i="38"/>
  <c r="H1888" i="38"/>
  <c r="L1887" i="38"/>
  <c r="I1887" i="38"/>
  <c r="H1887" i="38"/>
  <c r="L1886" i="38"/>
  <c r="I1886" i="38"/>
  <c r="H1886" i="38"/>
  <c r="L1885" i="38"/>
  <c r="I1885" i="38"/>
  <c r="H1885" i="38"/>
  <c r="L1884" i="38"/>
  <c r="I1884" i="38"/>
  <c r="H1884" i="38"/>
  <c r="L1883" i="38"/>
  <c r="I1883" i="38"/>
  <c r="H1883" i="38"/>
  <c r="L1882" i="38"/>
  <c r="I1882" i="38"/>
  <c r="H1882" i="38"/>
  <c r="L1881" i="38"/>
  <c r="I1881" i="38"/>
  <c r="H1881" i="38"/>
  <c r="L1880" i="38"/>
  <c r="I1880" i="38"/>
  <c r="H1880" i="38"/>
  <c r="L1879" i="38"/>
  <c r="I1879" i="38"/>
  <c r="H1879" i="38"/>
  <c r="L1878" i="38"/>
  <c r="I1878" i="38"/>
  <c r="H1878" i="38"/>
  <c r="L1877" i="38"/>
  <c r="I1877" i="38"/>
  <c r="K1877" i="38" s="1"/>
  <c r="H1877" i="38"/>
  <c r="L1876" i="38"/>
  <c r="I1876" i="38"/>
  <c r="H1876" i="38"/>
  <c r="K1876" i="38" s="1"/>
  <c r="L1875" i="38"/>
  <c r="I1875" i="38"/>
  <c r="H1875" i="38"/>
  <c r="L1874" i="38"/>
  <c r="I1874" i="38"/>
  <c r="H1874" i="38"/>
  <c r="K1874" i="38" s="1"/>
  <c r="L1873" i="38"/>
  <c r="I1873" i="38"/>
  <c r="H1873" i="38"/>
  <c r="L1872" i="38"/>
  <c r="I1872" i="38"/>
  <c r="H1872" i="38"/>
  <c r="L1871" i="38"/>
  <c r="I1871" i="38"/>
  <c r="H1871" i="38"/>
  <c r="L1870" i="38"/>
  <c r="I1870" i="38"/>
  <c r="H1870" i="38"/>
  <c r="L1869" i="38"/>
  <c r="I1869" i="38"/>
  <c r="K1869" i="38" s="1"/>
  <c r="H1869" i="38"/>
  <c r="L1868" i="38"/>
  <c r="I1868" i="38"/>
  <c r="H1868" i="38"/>
  <c r="K1868" i="38" s="1"/>
  <c r="L1867" i="38"/>
  <c r="I1867" i="38"/>
  <c r="H1867" i="38"/>
  <c r="L1866" i="38"/>
  <c r="I1866" i="38"/>
  <c r="H1866" i="38"/>
  <c r="K1866" i="38" s="1"/>
  <c r="L1865" i="38"/>
  <c r="I1865" i="38"/>
  <c r="H1865" i="38"/>
  <c r="L1864" i="38"/>
  <c r="I1864" i="38"/>
  <c r="H1864" i="38"/>
  <c r="K1864" i="38" s="1"/>
  <c r="L1863" i="38"/>
  <c r="I1863" i="38"/>
  <c r="H1863" i="38"/>
  <c r="L1862" i="38"/>
  <c r="I1862" i="38"/>
  <c r="H1862" i="38"/>
  <c r="L1861" i="38"/>
  <c r="I1861" i="38"/>
  <c r="H1861" i="38"/>
  <c r="L1826" i="38"/>
  <c r="I1826" i="38"/>
  <c r="H1826" i="38"/>
  <c r="L1825" i="38"/>
  <c r="I1825" i="38"/>
  <c r="H1825" i="38"/>
  <c r="L1824" i="38"/>
  <c r="I1824" i="38"/>
  <c r="H1824" i="38"/>
  <c r="L1823" i="38"/>
  <c r="I1823" i="38"/>
  <c r="H1823" i="38"/>
  <c r="L1822" i="38"/>
  <c r="I1822" i="38"/>
  <c r="H1822" i="38"/>
  <c r="L1821" i="38"/>
  <c r="I1821" i="38"/>
  <c r="H1821" i="38"/>
  <c r="L1820" i="38"/>
  <c r="I1820" i="38"/>
  <c r="H1820" i="38"/>
  <c r="L1819" i="38"/>
  <c r="I1819" i="38"/>
  <c r="H1819" i="38"/>
  <c r="L1818" i="38"/>
  <c r="I1818" i="38"/>
  <c r="H1818" i="38"/>
  <c r="L1817" i="38"/>
  <c r="I1817" i="38"/>
  <c r="H1817" i="38"/>
  <c r="L1816" i="38"/>
  <c r="I1816" i="38"/>
  <c r="H1816" i="38"/>
  <c r="L1815" i="38"/>
  <c r="I1815" i="38"/>
  <c r="H1815" i="38"/>
  <c r="L1814" i="38"/>
  <c r="I1814" i="38"/>
  <c r="H1814" i="38"/>
  <c r="L1813" i="38"/>
  <c r="I1813" i="38"/>
  <c r="H1813" i="38"/>
  <c r="L1812" i="38"/>
  <c r="I1812" i="38"/>
  <c r="H1812" i="38"/>
  <c r="L1811" i="38"/>
  <c r="I1811" i="38"/>
  <c r="K1811" i="38" s="1"/>
  <c r="H1811" i="38"/>
  <c r="L1810" i="38"/>
  <c r="I1810" i="38"/>
  <c r="H1810" i="38"/>
  <c r="K1810" i="38" s="1"/>
  <c r="L1809" i="38"/>
  <c r="I1809" i="38"/>
  <c r="H1809" i="38"/>
  <c r="L1808" i="38"/>
  <c r="I1808" i="38"/>
  <c r="H1808" i="38"/>
  <c r="K1808" i="38" s="1"/>
  <c r="L1807" i="38"/>
  <c r="I1807" i="38"/>
  <c r="H1807" i="38"/>
  <c r="L1806" i="38"/>
  <c r="I1806" i="38"/>
  <c r="H1806" i="38"/>
  <c r="K1806" i="38" s="1"/>
  <c r="L1805" i="38"/>
  <c r="I1805" i="38"/>
  <c r="H1805" i="38"/>
  <c r="L1804" i="38"/>
  <c r="I1804" i="38"/>
  <c r="H1804" i="38"/>
  <c r="L1803" i="38"/>
  <c r="I1803" i="38"/>
  <c r="K1803" i="38" s="1"/>
  <c r="H1803" i="38"/>
  <c r="L1802" i="38"/>
  <c r="I1802" i="38"/>
  <c r="H1802" i="38"/>
  <c r="K1802" i="38" s="1"/>
  <c r="L1801" i="38"/>
  <c r="I1801" i="38"/>
  <c r="H1801" i="38"/>
  <c r="L1800" i="38"/>
  <c r="I1800" i="38"/>
  <c r="H1800" i="38"/>
  <c r="K1800" i="38" s="1"/>
  <c r="L1799" i="38"/>
  <c r="I1799" i="38"/>
  <c r="H1799" i="38"/>
  <c r="L1798" i="38"/>
  <c r="I1798" i="38"/>
  <c r="H1798" i="38"/>
  <c r="K1798" i="38" s="1"/>
  <c r="L1797" i="38"/>
  <c r="I1797" i="38"/>
  <c r="H1797" i="38"/>
  <c r="L1796" i="38"/>
  <c r="I1796" i="38"/>
  <c r="H1796" i="38"/>
  <c r="L1795" i="38"/>
  <c r="I1795" i="38"/>
  <c r="H1795" i="38"/>
  <c r="L1794" i="38"/>
  <c r="I1794" i="38"/>
  <c r="H1794" i="38"/>
  <c r="K1794" i="38" s="1"/>
  <c r="L1793" i="38"/>
  <c r="I1793" i="38"/>
  <c r="H1793" i="38"/>
  <c r="L1792" i="38"/>
  <c r="I1792" i="38"/>
  <c r="H1792" i="38"/>
  <c r="K1792" i="38" s="1"/>
  <c r="L1791" i="38"/>
  <c r="I1791" i="38"/>
  <c r="H1791" i="38"/>
  <c r="L1790" i="38"/>
  <c r="I1790" i="38"/>
  <c r="H1790" i="38"/>
  <c r="K1790" i="38" s="1"/>
  <c r="L1789" i="38"/>
  <c r="I1789" i="38"/>
  <c r="H1789" i="38"/>
  <c r="L1788" i="38"/>
  <c r="I1788" i="38"/>
  <c r="H1788" i="38"/>
  <c r="L1787" i="38"/>
  <c r="I1787" i="38"/>
  <c r="K1787" i="38" s="1"/>
  <c r="H1787" i="38"/>
  <c r="L1786" i="38"/>
  <c r="I1786" i="38"/>
  <c r="H1786" i="38"/>
  <c r="K1786" i="38" s="1"/>
  <c r="L1785" i="38"/>
  <c r="I1785" i="38"/>
  <c r="H1785" i="38"/>
  <c r="L1784" i="38"/>
  <c r="I1784" i="38"/>
  <c r="H1784" i="38"/>
  <c r="K1784" i="38" s="1"/>
  <c r="L1783" i="38"/>
  <c r="I1783" i="38"/>
  <c r="H1783" i="38"/>
  <c r="L1782" i="38"/>
  <c r="I1782" i="38"/>
  <c r="H1782" i="38"/>
  <c r="K1782" i="38" s="1"/>
  <c r="L1781" i="38"/>
  <c r="I1781" i="38"/>
  <c r="H1781" i="38"/>
  <c r="L1780" i="38"/>
  <c r="I1780" i="38"/>
  <c r="H1780" i="38"/>
  <c r="L1779" i="38"/>
  <c r="I1779" i="38"/>
  <c r="H1779" i="38"/>
  <c r="L1778" i="38"/>
  <c r="I1778" i="38"/>
  <c r="H1778" i="38"/>
  <c r="L1777" i="38"/>
  <c r="I1777" i="38"/>
  <c r="H1777" i="38"/>
  <c r="L1776" i="38"/>
  <c r="I1776" i="38"/>
  <c r="H1776" i="38"/>
  <c r="L1775" i="38"/>
  <c r="I1775" i="38"/>
  <c r="H1775" i="38"/>
  <c r="L1774" i="38"/>
  <c r="I1774" i="38"/>
  <c r="H1774" i="38"/>
  <c r="L1773" i="38"/>
  <c r="I1773" i="38"/>
  <c r="H1773" i="38"/>
  <c r="L1772" i="38"/>
  <c r="I1772" i="38"/>
  <c r="H1772" i="38"/>
  <c r="L1771" i="38"/>
  <c r="I1771" i="38"/>
  <c r="H1771" i="38"/>
  <c r="L1770" i="38"/>
  <c r="I1770" i="38"/>
  <c r="H1770" i="38"/>
  <c r="L1769" i="38"/>
  <c r="I1769" i="38"/>
  <c r="H1769" i="38"/>
  <c r="L1768" i="38"/>
  <c r="I1768" i="38"/>
  <c r="H1768" i="38"/>
  <c r="L1767" i="38"/>
  <c r="I1767" i="38"/>
  <c r="H1767" i="38"/>
  <c r="L1766" i="38"/>
  <c r="I1766" i="38"/>
  <c r="H1766" i="38"/>
  <c r="L1765" i="38"/>
  <c r="I1765" i="38"/>
  <c r="H1765" i="38"/>
  <c r="L1764" i="38"/>
  <c r="I1764" i="38"/>
  <c r="H1764" i="38"/>
  <c r="L1763" i="38"/>
  <c r="I1763" i="38"/>
  <c r="K1763" i="38" s="1"/>
  <c r="H1763" i="38"/>
  <c r="L1762" i="38"/>
  <c r="I1762" i="38"/>
  <c r="H1762" i="38"/>
  <c r="K1762" i="38" s="1"/>
  <c r="L1761" i="38"/>
  <c r="I1761" i="38"/>
  <c r="H1761" i="38"/>
  <c r="L1760" i="38"/>
  <c r="I1760" i="38"/>
  <c r="H1760" i="38"/>
  <c r="K1760" i="38" s="1"/>
  <c r="L1759" i="38"/>
  <c r="I1759" i="38"/>
  <c r="H1759" i="38"/>
  <c r="L1758" i="38"/>
  <c r="I1758" i="38"/>
  <c r="H1758" i="38"/>
  <c r="K1758" i="38" s="1"/>
  <c r="L1757" i="38"/>
  <c r="I1757" i="38"/>
  <c r="H1757" i="38"/>
  <c r="L1756" i="38"/>
  <c r="I1756" i="38"/>
  <c r="H1756" i="38"/>
  <c r="L1755" i="38"/>
  <c r="I1755" i="38"/>
  <c r="K1755" i="38" s="1"/>
  <c r="H1755" i="38"/>
  <c r="L1754" i="38"/>
  <c r="I1754" i="38"/>
  <c r="H1754" i="38"/>
  <c r="L1753" i="38"/>
  <c r="I1753" i="38"/>
  <c r="H1753" i="38"/>
  <c r="L1752" i="38"/>
  <c r="I1752" i="38"/>
  <c r="H1752" i="38"/>
  <c r="K1752" i="38" s="1"/>
  <c r="L1751" i="38"/>
  <c r="I1751" i="38"/>
  <c r="H1751" i="38"/>
  <c r="L1750" i="38"/>
  <c r="I1750" i="38"/>
  <c r="H1750" i="38"/>
  <c r="K1750" i="38" s="1"/>
  <c r="L1749" i="38"/>
  <c r="I1749" i="38"/>
  <c r="H1749" i="38"/>
  <c r="L1748" i="38"/>
  <c r="I1748" i="38"/>
  <c r="H1748" i="38"/>
  <c r="L1747" i="38"/>
  <c r="I1747" i="38"/>
  <c r="H1747" i="38"/>
  <c r="J1742" i="38"/>
  <c r="K1742" i="38" s="1"/>
  <c r="H1742" i="38"/>
  <c r="I1742" i="38" s="1"/>
  <c r="K1741" i="38"/>
  <c r="I1741" i="38"/>
  <c r="H1704" i="38"/>
  <c r="L1703" i="38"/>
  <c r="I1703" i="38"/>
  <c r="K1703" i="38" s="1"/>
  <c r="L1702" i="38"/>
  <c r="I1702" i="38"/>
  <c r="K1702" i="38" s="1"/>
  <c r="L1701" i="38"/>
  <c r="I1701" i="38"/>
  <c r="K1701" i="38" s="1"/>
  <c r="L1700" i="38"/>
  <c r="I1700" i="38"/>
  <c r="K1700" i="38" s="1"/>
  <c r="L1699" i="38"/>
  <c r="I1699" i="38"/>
  <c r="L1698" i="38"/>
  <c r="K1698" i="38"/>
  <c r="I1698" i="38"/>
  <c r="L1697" i="38"/>
  <c r="I1697" i="38"/>
  <c r="K1697" i="38" s="1"/>
  <c r="L1696" i="38"/>
  <c r="I1696" i="38"/>
  <c r="K1696" i="38" s="1"/>
  <c r="L1695" i="38"/>
  <c r="I1695" i="38"/>
  <c r="K1695" i="38" s="1"/>
  <c r="L1694" i="38"/>
  <c r="I1694" i="38"/>
  <c r="K1694" i="38" s="1"/>
  <c r="L1693" i="38"/>
  <c r="I1693" i="38"/>
  <c r="K1693" i="38" s="1"/>
  <c r="L1692" i="38"/>
  <c r="I1692" i="38"/>
  <c r="K1692" i="38" s="1"/>
  <c r="L1691" i="38"/>
  <c r="I1691" i="38"/>
  <c r="K1691" i="38" s="1"/>
  <c r="L1690" i="38"/>
  <c r="I1690" i="38"/>
  <c r="K1690" i="38" s="1"/>
  <c r="L1689" i="38"/>
  <c r="I1689" i="38"/>
  <c r="K1689" i="38" s="1"/>
  <c r="L1688" i="38"/>
  <c r="I1688" i="38"/>
  <c r="K1688" i="38" s="1"/>
  <c r="L1687" i="38"/>
  <c r="I1687" i="38"/>
  <c r="K1687" i="38" s="1"/>
  <c r="L1686" i="38"/>
  <c r="K1686" i="38"/>
  <c r="I1686" i="38"/>
  <c r="L1685" i="38"/>
  <c r="I1685" i="38"/>
  <c r="K1685" i="38" s="1"/>
  <c r="L1684" i="38"/>
  <c r="I1684" i="38"/>
  <c r="K1684" i="38" s="1"/>
  <c r="L1683" i="38"/>
  <c r="I1683" i="38"/>
  <c r="K1683" i="38" s="1"/>
  <c r="L1682" i="38"/>
  <c r="I1682" i="38"/>
  <c r="K1682" i="38" s="1"/>
  <c r="L1681" i="38"/>
  <c r="I1681" i="38"/>
  <c r="K1681" i="38" s="1"/>
  <c r="L1680" i="38"/>
  <c r="I1680" i="38"/>
  <c r="K1680" i="38" s="1"/>
  <c r="L1679" i="38"/>
  <c r="I1679" i="38"/>
  <c r="K1679" i="38" s="1"/>
  <c r="L1678" i="38"/>
  <c r="I1678" i="38"/>
  <c r="K1678" i="38" s="1"/>
  <c r="L1677" i="38"/>
  <c r="I1677" i="38"/>
  <c r="K1677" i="38" s="1"/>
  <c r="L1676" i="38"/>
  <c r="I1676" i="38"/>
  <c r="K1676" i="38" s="1"/>
  <c r="L1675" i="38"/>
  <c r="I1675" i="38"/>
  <c r="K1675" i="38" s="1"/>
  <c r="L1674" i="38"/>
  <c r="I1674" i="38"/>
  <c r="K1674" i="38" s="1"/>
  <c r="L1673" i="38"/>
  <c r="I1673" i="38"/>
  <c r="K1673" i="38" s="1"/>
  <c r="L1672" i="38"/>
  <c r="I1672" i="38"/>
  <c r="K1672" i="38" s="1"/>
  <c r="L1671" i="38"/>
  <c r="I1671" i="38"/>
  <c r="K1671" i="38" s="1"/>
  <c r="L1670" i="38"/>
  <c r="I1670" i="38"/>
  <c r="K1670" i="38" s="1"/>
  <c r="L1669" i="38"/>
  <c r="I1669" i="38"/>
  <c r="K1669" i="38" s="1"/>
  <c r="L1668" i="38"/>
  <c r="I1668" i="38"/>
  <c r="K1668" i="38" s="1"/>
  <c r="L1667" i="38"/>
  <c r="I1667" i="38"/>
  <c r="K1667" i="38" s="1"/>
  <c r="L1666" i="38"/>
  <c r="I1666" i="38"/>
  <c r="K1666" i="38" s="1"/>
  <c r="L1665" i="38"/>
  <c r="I1665" i="38"/>
  <c r="K1665" i="38" s="1"/>
  <c r="L1664" i="38"/>
  <c r="I1664" i="38"/>
  <c r="K1664" i="38" s="1"/>
  <c r="L1663" i="38"/>
  <c r="I1663" i="38"/>
  <c r="K1663" i="38" s="1"/>
  <c r="L1662" i="38"/>
  <c r="K1662" i="38"/>
  <c r="I1662" i="38"/>
  <c r="L1661" i="38"/>
  <c r="I1661" i="38"/>
  <c r="K1661" i="38" s="1"/>
  <c r="L1660" i="38"/>
  <c r="I1660" i="38"/>
  <c r="K1660" i="38" s="1"/>
  <c r="L1659" i="38"/>
  <c r="I1659" i="38"/>
  <c r="K1659" i="38" s="1"/>
  <c r="L1658" i="38"/>
  <c r="I1658" i="38"/>
  <c r="K1658" i="38" s="1"/>
  <c r="L1657" i="38"/>
  <c r="I1657" i="38"/>
  <c r="K1657" i="38" s="1"/>
  <c r="L1656" i="38"/>
  <c r="I1656" i="38"/>
  <c r="K1656" i="38" s="1"/>
  <c r="L1655" i="38"/>
  <c r="I1655" i="38"/>
  <c r="K1655" i="38" s="1"/>
  <c r="L1654" i="38"/>
  <c r="I1654" i="38"/>
  <c r="K1654" i="38" s="1"/>
  <c r="L1653" i="38"/>
  <c r="I1653" i="38"/>
  <c r="K1653" i="38" s="1"/>
  <c r="L1652" i="38"/>
  <c r="I1652" i="38"/>
  <c r="K1652" i="38" s="1"/>
  <c r="L1651" i="38"/>
  <c r="I1651" i="38"/>
  <c r="K1651" i="38" s="1"/>
  <c r="L1650" i="38"/>
  <c r="I1650" i="38"/>
  <c r="K1650" i="38" s="1"/>
  <c r="L1649" i="38"/>
  <c r="I1649" i="38"/>
  <c r="K1649" i="38" s="1"/>
  <c r="L1648" i="38"/>
  <c r="I1648" i="38"/>
  <c r="K1648" i="38" s="1"/>
  <c r="L1647" i="38"/>
  <c r="I1647" i="38"/>
  <c r="K1647" i="38" s="1"/>
  <c r="L1646" i="38"/>
  <c r="I1646" i="38"/>
  <c r="K1646" i="38" s="1"/>
  <c r="L1645" i="38"/>
  <c r="I1645" i="38"/>
  <c r="K1645" i="38" s="1"/>
  <c r="L1644" i="38"/>
  <c r="I1644" i="38"/>
  <c r="K1644" i="38" s="1"/>
  <c r="L1643" i="38"/>
  <c r="I1643" i="38"/>
  <c r="K1643" i="38" s="1"/>
  <c r="L1642" i="38"/>
  <c r="I1642" i="38"/>
  <c r="K1642" i="38" s="1"/>
  <c r="L1641" i="38"/>
  <c r="I1641" i="38"/>
  <c r="K1641" i="38" s="1"/>
  <c r="L1640" i="38"/>
  <c r="I1640" i="38"/>
  <c r="K1640" i="38" s="1"/>
  <c r="L1639" i="38"/>
  <c r="I1639" i="38"/>
  <c r="K1639" i="38" s="1"/>
  <c r="L1638" i="38"/>
  <c r="K1638" i="38"/>
  <c r="I1638" i="38"/>
  <c r="L1637" i="38"/>
  <c r="I1637" i="38"/>
  <c r="K1637" i="38" s="1"/>
  <c r="L1636" i="38"/>
  <c r="I1636" i="38"/>
  <c r="K1636" i="38" s="1"/>
  <c r="L1635" i="38"/>
  <c r="I1635" i="38"/>
  <c r="K1635" i="38" s="1"/>
  <c r="L1634" i="38"/>
  <c r="I1634" i="38"/>
  <c r="K1634" i="38" s="1"/>
  <c r="L1633" i="38"/>
  <c r="I1633" i="38"/>
  <c r="K1633" i="38" s="1"/>
  <c r="L1632" i="38"/>
  <c r="I1632" i="38"/>
  <c r="K1632" i="38" s="1"/>
  <c r="L1631" i="38"/>
  <c r="I1631" i="38"/>
  <c r="K1631" i="38" s="1"/>
  <c r="L1630" i="38"/>
  <c r="I1630" i="38"/>
  <c r="K1630" i="38" s="1"/>
  <c r="L1629" i="38"/>
  <c r="I1629" i="38"/>
  <c r="K1629" i="38" s="1"/>
  <c r="L1628" i="38"/>
  <c r="I1628" i="38"/>
  <c r="K1628" i="38" s="1"/>
  <c r="L1627" i="38"/>
  <c r="I1627" i="38"/>
  <c r="K1627" i="38" s="1"/>
  <c r="L1626" i="38"/>
  <c r="I1626" i="38"/>
  <c r="K1626" i="38" s="1"/>
  <c r="L1625" i="38"/>
  <c r="I1625" i="38"/>
  <c r="K1625" i="38" s="1"/>
  <c r="L1624" i="38"/>
  <c r="I1624" i="38"/>
  <c r="K1624" i="38" s="1"/>
  <c r="L1623" i="38"/>
  <c r="I1623" i="38"/>
  <c r="K1623" i="38" s="1"/>
  <c r="L1622" i="38"/>
  <c r="I1622" i="38"/>
  <c r="K1622" i="38" s="1"/>
  <c r="L1621" i="38"/>
  <c r="I1621" i="38"/>
  <c r="K1621" i="38" s="1"/>
  <c r="L1620" i="38"/>
  <c r="I1620" i="38"/>
  <c r="K1620" i="38" s="1"/>
  <c r="L1619" i="38"/>
  <c r="I1619" i="38"/>
  <c r="K1619" i="38" s="1"/>
  <c r="L1618" i="38"/>
  <c r="I1618" i="38"/>
  <c r="K1618" i="38" s="1"/>
  <c r="L1617" i="38"/>
  <c r="I1617" i="38"/>
  <c r="K1617" i="38" s="1"/>
  <c r="L1616" i="38"/>
  <c r="I1616" i="38"/>
  <c r="K1616" i="38" s="1"/>
  <c r="L1615" i="38"/>
  <c r="I1615" i="38"/>
  <c r="K1615" i="38" s="1"/>
  <c r="R1590" i="38"/>
  <c r="S1588" i="38"/>
  <c r="T1588" i="38" s="1"/>
  <c r="T1587" i="38"/>
  <c r="L1573" i="38"/>
  <c r="I1573" i="38"/>
  <c r="H1573" i="38"/>
  <c r="L1572" i="38"/>
  <c r="I1572" i="38"/>
  <c r="H1572" i="38"/>
  <c r="L1571" i="38"/>
  <c r="I1571" i="38"/>
  <c r="H1571" i="38"/>
  <c r="L1570" i="38"/>
  <c r="I1570" i="38"/>
  <c r="H1570" i="38"/>
  <c r="L1569" i="38"/>
  <c r="I1569" i="38"/>
  <c r="H1569" i="38"/>
  <c r="K1569" i="38" s="1"/>
  <c r="L1568" i="38"/>
  <c r="I1568" i="38"/>
  <c r="H1568" i="38"/>
  <c r="L1567" i="38"/>
  <c r="I1567" i="38"/>
  <c r="H1567" i="38"/>
  <c r="K1567" i="38" s="1"/>
  <c r="L1566" i="38"/>
  <c r="I1566" i="38"/>
  <c r="H1566" i="38"/>
  <c r="L1565" i="38"/>
  <c r="I1565" i="38"/>
  <c r="H1565" i="38"/>
  <c r="K1565" i="38" s="1"/>
  <c r="L1564" i="38"/>
  <c r="I1564" i="38"/>
  <c r="H1564" i="38"/>
  <c r="L1563" i="38"/>
  <c r="I1563" i="38"/>
  <c r="H1563" i="38"/>
  <c r="L1562" i="38"/>
  <c r="I1562" i="38"/>
  <c r="H1562" i="38"/>
  <c r="L1561" i="38"/>
  <c r="I1561" i="38"/>
  <c r="H1561" i="38"/>
  <c r="L1560" i="38"/>
  <c r="I1560" i="38"/>
  <c r="H1560" i="38"/>
  <c r="L1559" i="38"/>
  <c r="I1559" i="38"/>
  <c r="H1559" i="38"/>
  <c r="L1558" i="38"/>
  <c r="I1558" i="38"/>
  <c r="H1558" i="38"/>
  <c r="L1557" i="38"/>
  <c r="I1557" i="38"/>
  <c r="H1557" i="38"/>
  <c r="L1556" i="38"/>
  <c r="I1556" i="38"/>
  <c r="H1556" i="38"/>
  <c r="L1555" i="38"/>
  <c r="I1555" i="38"/>
  <c r="H1555" i="38"/>
  <c r="L1554" i="38"/>
  <c r="I1554" i="38"/>
  <c r="H1554" i="38"/>
  <c r="L1553" i="38"/>
  <c r="I1553" i="38"/>
  <c r="H1553" i="38"/>
  <c r="K1553" i="38" s="1"/>
  <c r="L1552" i="38"/>
  <c r="I1552" i="38"/>
  <c r="H1552" i="38"/>
  <c r="L1551" i="38"/>
  <c r="I1551" i="38"/>
  <c r="H1551" i="38"/>
  <c r="K1551" i="38" s="1"/>
  <c r="L1550" i="38"/>
  <c r="I1550" i="38"/>
  <c r="H1550" i="38"/>
  <c r="L1549" i="38"/>
  <c r="I1549" i="38"/>
  <c r="H1549" i="38"/>
  <c r="K1549" i="38" s="1"/>
  <c r="L1548" i="38"/>
  <c r="I1548" i="38"/>
  <c r="H1548" i="38"/>
  <c r="L1547" i="38"/>
  <c r="I1547" i="38"/>
  <c r="H1547" i="38"/>
  <c r="K1547" i="38" s="1"/>
  <c r="L1546" i="38"/>
  <c r="I1546" i="38"/>
  <c r="H1546" i="38"/>
  <c r="L1545" i="38"/>
  <c r="I1545" i="38"/>
  <c r="H1545" i="38"/>
  <c r="K1545" i="38" s="1"/>
  <c r="L1544" i="38"/>
  <c r="I1544" i="38"/>
  <c r="H1544" i="38"/>
  <c r="L1543" i="38"/>
  <c r="I1543" i="38"/>
  <c r="H1543" i="38"/>
  <c r="K1543" i="38" s="1"/>
  <c r="L1542" i="38"/>
  <c r="I1542" i="38"/>
  <c r="H1542" i="38"/>
  <c r="L1541" i="38"/>
  <c r="I1541" i="38"/>
  <c r="H1541" i="38"/>
  <c r="K1541" i="38" s="1"/>
  <c r="L1540" i="38"/>
  <c r="I1540" i="38"/>
  <c r="H1540" i="38"/>
  <c r="L1539" i="38"/>
  <c r="I1539" i="38"/>
  <c r="H1539" i="38"/>
  <c r="K1539" i="38" s="1"/>
  <c r="L1538" i="38"/>
  <c r="I1538" i="38"/>
  <c r="H1538" i="38"/>
  <c r="L1537" i="38"/>
  <c r="I1537" i="38"/>
  <c r="H1537" i="38"/>
  <c r="K1537" i="38" s="1"/>
  <c r="L1536" i="38"/>
  <c r="I1536" i="38"/>
  <c r="H1536" i="38"/>
  <c r="L1535" i="38"/>
  <c r="I1535" i="38"/>
  <c r="H1535" i="38"/>
  <c r="K1535" i="38" s="1"/>
  <c r="L1534" i="38"/>
  <c r="I1534" i="38"/>
  <c r="H1534" i="38"/>
  <c r="L1533" i="38"/>
  <c r="I1533" i="38"/>
  <c r="H1533" i="38"/>
  <c r="K1533" i="38" s="1"/>
  <c r="L1532" i="38"/>
  <c r="I1532" i="38"/>
  <c r="H1532" i="38"/>
  <c r="L1531" i="38"/>
  <c r="I1531" i="38"/>
  <c r="H1531" i="38"/>
  <c r="K1531" i="38" s="1"/>
  <c r="L1530" i="38"/>
  <c r="I1530" i="38"/>
  <c r="H1530" i="38"/>
  <c r="L1529" i="38"/>
  <c r="I1529" i="38"/>
  <c r="H1529" i="38"/>
  <c r="K1529" i="38" s="1"/>
  <c r="L1528" i="38"/>
  <c r="I1528" i="38"/>
  <c r="H1528" i="38"/>
  <c r="L1527" i="38"/>
  <c r="I1527" i="38"/>
  <c r="H1527" i="38"/>
  <c r="K1527" i="38" s="1"/>
  <c r="L1526" i="38"/>
  <c r="I1526" i="38"/>
  <c r="H1526" i="38"/>
  <c r="L1525" i="38"/>
  <c r="I1525" i="38"/>
  <c r="H1525" i="38"/>
  <c r="K1525" i="38" s="1"/>
  <c r="L1524" i="38"/>
  <c r="I1524" i="38"/>
  <c r="H1524" i="38"/>
  <c r="L1523" i="38"/>
  <c r="I1523" i="38"/>
  <c r="H1523" i="38"/>
  <c r="K1523" i="38" s="1"/>
  <c r="L1522" i="38"/>
  <c r="I1522" i="38"/>
  <c r="H1522" i="38"/>
  <c r="L1521" i="38"/>
  <c r="I1521" i="38"/>
  <c r="H1521" i="38"/>
  <c r="K1521" i="38" s="1"/>
  <c r="L1520" i="38"/>
  <c r="I1520" i="38"/>
  <c r="H1520" i="38"/>
  <c r="L1519" i="38"/>
  <c r="I1519" i="38"/>
  <c r="H1519" i="38"/>
  <c r="K1519" i="38" s="1"/>
  <c r="L1518" i="38"/>
  <c r="I1518" i="38"/>
  <c r="H1518" i="38"/>
  <c r="L1517" i="38"/>
  <c r="I1517" i="38"/>
  <c r="H1517" i="38"/>
  <c r="K1517" i="38" s="1"/>
  <c r="L1516" i="38"/>
  <c r="I1516" i="38"/>
  <c r="H1516" i="38"/>
  <c r="L1515" i="38"/>
  <c r="I1515" i="38"/>
  <c r="H1515" i="38"/>
  <c r="K1515" i="38" s="1"/>
  <c r="L1514" i="38"/>
  <c r="I1514" i="38"/>
  <c r="H1514" i="38"/>
  <c r="L1513" i="38"/>
  <c r="I1513" i="38"/>
  <c r="H1513" i="38"/>
  <c r="K1513" i="38" s="1"/>
  <c r="L1512" i="38"/>
  <c r="I1512" i="38"/>
  <c r="H1512" i="38"/>
  <c r="L1511" i="38"/>
  <c r="I1511" i="38"/>
  <c r="H1511" i="38"/>
  <c r="K1511" i="38" s="1"/>
  <c r="L1510" i="38"/>
  <c r="I1510" i="38"/>
  <c r="H1510" i="38"/>
  <c r="L1509" i="38"/>
  <c r="I1509" i="38"/>
  <c r="H1509" i="38"/>
  <c r="K1509" i="38" s="1"/>
  <c r="L1508" i="38"/>
  <c r="I1508" i="38"/>
  <c r="H1508" i="38"/>
  <c r="L1507" i="38"/>
  <c r="I1507" i="38"/>
  <c r="H1507" i="38"/>
  <c r="K1507" i="38" s="1"/>
  <c r="L1506" i="38"/>
  <c r="I1506" i="38"/>
  <c r="H1506" i="38"/>
  <c r="L1505" i="38"/>
  <c r="I1505" i="38"/>
  <c r="H1505" i="38"/>
  <c r="K1505" i="38" s="1"/>
  <c r="L1504" i="38"/>
  <c r="I1504" i="38"/>
  <c r="H1504" i="38"/>
  <c r="L1503" i="38"/>
  <c r="I1503" i="38"/>
  <c r="H1503" i="38"/>
  <c r="K1503" i="38" s="1"/>
  <c r="L1502" i="38"/>
  <c r="I1502" i="38"/>
  <c r="H1502" i="38"/>
  <c r="L1501" i="38"/>
  <c r="I1501" i="38"/>
  <c r="H1501" i="38"/>
  <c r="K1501" i="38" s="1"/>
  <c r="L1500" i="38"/>
  <c r="I1500" i="38"/>
  <c r="H1500" i="38"/>
  <c r="L1499" i="38"/>
  <c r="I1499" i="38"/>
  <c r="H1499" i="38"/>
  <c r="K1499" i="38" s="1"/>
  <c r="L1498" i="38"/>
  <c r="I1498" i="38"/>
  <c r="H1498" i="38"/>
  <c r="L1497" i="38"/>
  <c r="I1497" i="38"/>
  <c r="H1497" i="38"/>
  <c r="K1497" i="38" s="1"/>
  <c r="L1496" i="38"/>
  <c r="I1496" i="38"/>
  <c r="H1496" i="38"/>
  <c r="L1495" i="38"/>
  <c r="I1495" i="38"/>
  <c r="H1495" i="38"/>
  <c r="K1495" i="38" s="1"/>
  <c r="L1494" i="38"/>
  <c r="I1494" i="38"/>
  <c r="H1494" i="38"/>
  <c r="L1493" i="38"/>
  <c r="I1493" i="38"/>
  <c r="H1493" i="38"/>
  <c r="K1493" i="38" s="1"/>
  <c r="L1492" i="38"/>
  <c r="I1492" i="38"/>
  <c r="H1492" i="38"/>
  <c r="L1491" i="38"/>
  <c r="I1491" i="38"/>
  <c r="H1491" i="38"/>
  <c r="K1491" i="38" s="1"/>
  <c r="L1490" i="38"/>
  <c r="I1490" i="38"/>
  <c r="H1490" i="38"/>
  <c r="L1489" i="38"/>
  <c r="I1489" i="38"/>
  <c r="H1489" i="38"/>
  <c r="K1489" i="38" s="1"/>
  <c r="L1488" i="38"/>
  <c r="I1488" i="38"/>
  <c r="H1488" i="38"/>
  <c r="L1487" i="38"/>
  <c r="I1487" i="38"/>
  <c r="H1487" i="38"/>
  <c r="K1487" i="38" s="1"/>
  <c r="L1486" i="38"/>
  <c r="I1486" i="38"/>
  <c r="H1486" i="38"/>
  <c r="L1485" i="38"/>
  <c r="I1485" i="38"/>
  <c r="H1485" i="38"/>
  <c r="K1485" i="38" s="1"/>
  <c r="L1484" i="38"/>
  <c r="I1484" i="38"/>
  <c r="H1484" i="38"/>
  <c r="L1483" i="38"/>
  <c r="I1483" i="38"/>
  <c r="H1483" i="38"/>
  <c r="K1483" i="38" s="1"/>
  <c r="L1482" i="38"/>
  <c r="I1482" i="38"/>
  <c r="H1482" i="38"/>
  <c r="L1481" i="38"/>
  <c r="I1481" i="38"/>
  <c r="H1481" i="38"/>
  <c r="K1481" i="38" s="1"/>
  <c r="L1480" i="38"/>
  <c r="I1480" i="38"/>
  <c r="H1480" i="38"/>
  <c r="L1479" i="38"/>
  <c r="I1479" i="38"/>
  <c r="H1479" i="38"/>
  <c r="K1479" i="38" s="1"/>
  <c r="L1478" i="38"/>
  <c r="I1478" i="38"/>
  <c r="H1478" i="38"/>
  <c r="L1477" i="38"/>
  <c r="I1477" i="38"/>
  <c r="H1477" i="38"/>
  <c r="K1477" i="38" s="1"/>
  <c r="L1476" i="38"/>
  <c r="I1476" i="38"/>
  <c r="H1476" i="38"/>
  <c r="L1475" i="38"/>
  <c r="I1475" i="38"/>
  <c r="H1475" i="38"/>
  <c r="K1475" i="38" s="1"/>
  <c r="L1474" i="38"/>
  <c r="I1474" i="38"/>
  <c r="H1474" i="38"/>
  <c r="L1473" i="38"/>
  <c r="I1473" i="38"/>
  <c r="H1473" i="38"/>
  <c r="K1473" i="38" s="1"/>
  <c r="L1472" i="38"/>
  <c r="I1472" i="38"/>
  <c r="H1472" i="38"/>
  <c r="L1471" i="38"/>
  <c r="I1471" i="38"/>
  <c r="H1471" i="38"/>
  <c r="K1471" i="38" s="1"/>
  <c r="L1470" i="38"/>
  <c r="I1470" i="38"/>
  <c r="H1470" i="38"/>
  <c r="L1469" i="38"/>
  <c r="I1469" i="38"/>
  <c r="H1469" i="38"/>
  <c r="K1469" i="38" s="1"/>
  <c r="L1468" i="38"/>
  <c r="I1468" i="38"/>
  <c r="H1468" i="38"/>
  <c r="L1467" i="38"/>
  <c r="I1467" i="38"/>
  <c r="H1467" i="38"/>
  <c r="K1467" i="38" s="1"/>
  <c r="L1466" i="38"/>
  <c r="I1466" i="38"/>
  <c r="H1466" i="38"/>
  <c r="L1465" i="38"/>
  <c r="I1465" i="38"/>
  <c r="H1465" i="38"/>
  <c r="K1465" i="38" s="1"/>
  <c r="L1464" i="38"/>
  <c r="I1464" i="38"/>
  <c r="H1464" i="38"/>
  <c r="L1463" i="38"/>
  <c r="I1463" i="38"/>
  <c r="H1463" i="38"/>
  <c r="K1463" i="38" s="1"/>
  <c r="L1462" i="38"/>
  <c r="I1462" i="38"/>
  <c r="H1462" i="38"/>
  <c r="L1461" i="38"/>
  <c r="I1461" i="38"/>
  <c r="H1461" i="38"/>
  <c r="K1461" i="38" s="1"/>
  <c r="L1460" i="38"/>
  <c r="I1460" i="38"/>
  <c r="H1460" i="38"/>
  <c r="L1459" i="38"/>
  <c r="I1459" i="38"/>
  <c r="H1459" i="38"/>
  <c r="K1459" i="38" s="1"/>
  <c r="L1458" i="38"/>
  <c r="I1458" i="38"/>
  <c r="H1458" i="38"/>
  <c r="L1457" i="38"/>
  <c r="I1457" i="38"/>
  <c r="H1457" i="38"/>
  <c r="K1457" i="38" s="1"/>
  <c r="L1456" i="38"/>
  <c r="I1456" i="38"/>
  <c r="H1456" i="38"/>
  <c r="L1455" i="38"/>
  <c r="I1455" i="38"/>
  <c r="H1455" i="38"/>
  <c r="K1455" i="38" s="1"/>
  <c r="L1454" i="38"/>
  <c r="I1454" i="38"/>
  <c r="H1454" i="38"/>
  <c r="L1453" i="38"/>
  <c r="I1453" i="38"/>
  <c r="H1453" i="38"/>
  <c r="K1453" i="38" s="1"/>
  <c r="L1452" i="38"/>
  <c r="I1452" i="38"/>
  <c r="H1452" i="38"/>
  <c r="L1451" i="38"/>
  <c r="I1451" i="38"/>
  <c r="H1451" i="38"/>
  <c r="K1451" i="38" s="1"/>
  <c r="L1450" i="38"/>
  <c r="I1450" i="38"/>
  <c r="H1450" i="38"/>
  <c r="L1449" i="38"/>
  <c r="I1449" i="38"/>
  <c r="H1449" i="38"/>
  <c r="K1449" i="38" s="1"/>
  <c r="L1448" i="38"/>
  <c r="I1448" i="38"/>
  <c r="H1448" i="38"/>
  <c r="L1447" i="38"/>
  <c r="I1447" i="38"/>
  <c r="H1447" i="38"/>
  <c r="K1447" i="38" s="1"/>
  <c r="L1446" i="38"/>
  <c r="I1446" i="38"/>
  <c r="H1446" i="38"/>
  <c r="L1445" i="38"/>
  <c r="I1445" i="38"/>
  <c r="H1445" i="38"/>
  <c r="K1445" i="38" s="1"/>
  <c r="L1444" i="38"/>
  <c r="I1444" i="38"/>
  <c r="H1444" i="38"/>
  <c r="T1432" i="38"/>
  <c r="Q1432" i="38"/>
  <c r="S1431" i="38"/>
  <c r="T1431" i="38" s="1"/>
  <c r="L1413" i="38"/>
  <c r="I1413" i="38"/>
  <c r="H1413" i="38"/>
  <c r="L1412" i="38"/>
  <c r="I1412" i="38"/>
  <c r="H1412" i="38"/>
  <c r="K1412" i="38" s="1"/>
  <c r="L1411" i="38"/>
  <c r="I1411" i="38"/>
  <c r="H1411" i="38"/>
  <c r="L1410" i="38"/>
  <c r="I1410" i="38"/>
  <c r="H1410" i="38"/>
  <c r="L1409" i="38"/>
  <c r="I1409" i="38"/>
  <c r="H1409" i="38"/>
  <c r="L1408" i="38"/>
  <c r="I1408" i="38"/>
  <c r="H1408" i="38"/>
  <c r="K1408" i="38" s="1"/>
  <c r="L1407" i="38"/>
  <c r="I1407" i="38"/>
  <c r="H1407" i="38"/>
  <c r="L1406" i="38"/>
  <c r="I1406" i="38"/>
  <c r="H1406" i="38"/>
  <c r="L1405" i="38"/>
  <c r="I1405" i="38"/>
  <c r="H1405" i="38"/>
  <c r="L1404" i="38"/>
  <c r="I1404" i="38"/>
  <c r="H1404" i="38"/>
  <c r="K1404" i="38" s="1"/>
  <c r="L1403" i="38"/>
  <c r="I1403" i="38"/>
  <c r="H1403" i="38"/>
  <c r="L1402" i="38"/>
  <c r="I1402" i="38"/>
  <c r="H1402" i="38"/>
  <c r="L1401" i="38"/>
  <c r="I1401" i="38"/>
  <c r="H1401" i="38"/>
  <c r="L1400" i="38"/>
  <c r="I1400" i="38"/>
  <c r="H1400" i="38"/>
  <c r="K1400" i="38" s="1"/>
  <c r="L1399" i="38"/>
  <c r="I1399" i="38"/>
  <c r="H1399" i="38"/>
  <c r="L1398" i="38"/>
  <c r="I1398" i="38"/>
  <c r="H1398" i="38"/>
  <c r="L1397" i="38"/>
  <c r="I1397" i="38"/>
  <c r="H1397" i="38"/>
  <c r="L1396" i="38"/>
  <c r="I1396" i="38"/>
  <c r="H1396" i="38"/>
  <c r="L1395" i="38"/>
  <c r="I1395" i="38"/>
  <c r="H1395" i="38"/>
  <c r="L1394" i="38"/>
  <c r="I1394" i="38"/>
  <c r="H1394" i="38"/>
  <c r="L1393" i="38"/>
  <c r="I1393" i="38"/>
  <c r="H1393" i="38"/>
  <c r="L1392" i="38"/>
  <c r="I1392" i="38"/>
  <c r="H1392" i="38"/>
  <c r="K1392" i="38" s="1"/>
  <c r="L1391" i="38"/>
  <c r="I1391" i="38"/>
  <c r="H1391" i="38"/>
  <c r="L1390" i="38"/>
  <c r="I1390" i="38"/>
  <c r="H1390" i="38"/>
  <c r="L1389" i="38"/>
  <c r="I1389" i="38"/>
  <c r="H1389" i="38"/>
  <c r="L1388" i="38"/>
  <c r="I1388" i="38"/>
  <c r="H1388" i="38"/>
  <c r="K1388" i="38" s="1"/>
  <c r="L1387" i="38"/>
  <c r="I1387" i="38"/>
  <c r="H1387" i="38"/>
  <c r="L1386" i="38"/>
  <c r="I1386" i="38"/>
  <c r="H1386" i="38"/>
  <c r="L1385" i="38"/>
  <c r="I1385" i="38"/>
  <c r="H1385" i="38"/>
  <c r="L1384" i="38"/>
  <c r="I1384" i="38"/>
  <c r="H1384" i="38"/>
  <c r="K1384" i="38" s="1"/>
  <c r="L1383" i="38"/>
  <c r="I1383" i="38"/>
  <c r="H1383" i="38"/>
  <c r="L1382" i="38"/>
  <c r="I1382" i="38"/>
  <c r="H1382" i="38"/>
  <c r="L1381" i="38"/>
  <c r="I1381" i="38"/>
  <c r="H1381" i="38"/>
  <c r="L1380" i="38"/>
  <c r="I1380" i="38"/>
  <c r="H1380" i="38"/>
  <c r="K1380" i="38" s="1"/>
  <c r="L1379" i="38"/>
  <c r="I1379" i="38"/>
  <c r="H1379" i="38"/>
  <c r="L1378" i="38"/>
  <c r="I1378" i="38"/>
  <c r="H1378" i="38"/>
  <c r="L1377" i="38"/>
  <c r="I1377" i="38"/>
  <c r="H1377" i="38"/>
  <c r="L1376" i="38"/>
  <c r="I1376" i="38"/>
  <c r="H1376" i="38"/>
  <c r="K1376" i="38" s="1"/>
  <c r="L1375" i="38"/>
  <c r="I1375" i="38"/>
  <c r="H1375" i="38"/>
  <c r="L1374" i="38"/>
  <c r="I1374" i="38"/>
  <c r="H1374" i="38"/>
  <c r="L1373" i="38"/>
  <c r="I1373" i="38"/>
  <c r="H1373" i="38"/>
  <c r="L1372" i="38"/>
  <c r="I1372" i="38"/>
  <c r="H1372" i="38"/>
  <c r="K1372" i="38" s="1"/>
  <c r="L1371" i="38"/>
  <c r="I1371" i="38"/>
  <c r="H1371" i="38"/>
  <c r="L1370" i="38"/>
  <c r="I1370" i="38"/>
  <c r="H1370" i="38"/>
  <c r="L1369" i="38"/>
  <c r="I1369" i="38"/>
  <c r="H1369" i="38"/>
  <c r="L1368" i="38"/>
  <c r="I1368" i="38"/>
  <c r="H1368" i="38"/>
  <c r="L1367" i="38"/>
  <c r="I1367" i="38"/>
  <c r="H1367" i="38"/>
  <c r="L1366" i="38"/>
  <c r="I1366" i="38"/>
  <c r="H1366" i="38"/>
  <c r="L1365" i="38"/>
  <c r="I1365" i="38"/>
  <c r="H1365" i="38"/>
  <c r="L1364" i="38"/>
  <c r="I1364" i="38"/>
  <c r="H1364" i="38"/>
  <c r="K1364" i="38" s="1"/>
  <c r="L1363" i="38"/>
  <c r="I1363" i="38"/>
  <c r="H1363" i="38"/>
  <c r="L1362" i="38"/>
  <c r="I1362" i="38"/>
  <c r="H1362" i="38"/>
  <c r="L1361" i="38"/>
  <c r="I1361" i="38"/>
  <c r="H1361" i="38"/>
  <c r="L1360" i="38"/>
  <c r="I1360" i="38"/>
  <c r="H1360" i="38"/>
  <c r="L1359" i="38"/>
  <c r="I1359" i="38"/>
  <c r="H1359" i="38"/>
  <c r="L1358" i="38"/>
  <c r="I1358" i="38"/>
  <c r="H1358" i="38"/>
  <c r="L1357" i="38"/>
  <c r="I1357" i="38"/>
  <c r="H1357" i="38"/>
  <c r="L1356" i="38"/>
  <c r="I1356" i="38"/>
  <c r="H1356" i="38"/>
  <c r="K1356" i="38" s="1"/>
  <c r="L1355" i="38"/>
  <c r="I1355" i="38"/>
  <c r="H1355" i="38"/>
  <c r="L1354" i="38"/>
  <c r="I1354" i="38"/>
  <c r="H1354" i="38"/>
  <c r="L1353" i="38"/>
  <c r="I1353" i="38"/>
  <c r="H1353" i="38"/>
  <c r="L1352" i="38"/>
  <c r="I1352" i="38"/>
  <c r="H1352" i="38"/>
  <c r="L1351" i="38"/>
  <c r="I1351" i="38"/>
  <c r="H1351" i="38"/>
  <c r="L1350" i="38"/>
  <c r="I1350" i="38"/>
  <c r="H1350" i="38"/>
  <c r="L1349" i="38"/>
  <c r="I1349" i="38"/>
  <c r="H1349" i="38"/>
  <c r="L1348" i="38"/>
  <c r="I1348" i="38"/>
  <c r="H1348" i="38"/>
  <c r="K1348" i="38" s="1"/>
  <c r="L1347" i="38"/>
  <c r="I1347" i="38"/>
  <c r="H1347" i="38"/>
  <c r="L1346" i="38"/>
  <c r="I1346" i="38"/>
  <c r="H1346" i="38"/>
  <c r="L1345" i="38"/>
  <c r="I1345" i="38"/>
  <c r="H1345" i="38"/>
  <c r="L1344" i="38"/>
  <c r="I1344" i="38"/>
  <c r="H1344" i="38"/>
  <c r="L1343" i="38"/>
  <c r="I1343" i="38"/>
  <c r="H1343" i="38"/>
  <c r="L1342" i="38"/>
  <c r="I1342" i="38"/>
  <c r="H1342" i="38"/>
  <c r="L1341" i="38"/>
  <c r="I1341" i="38"/>
  <c r="H1341" i="38"/>
  <c r="L1340" i="38"/>
  <c r="I1340" i="38"/>
  <c r="H1340" i="38"/>
  <c r="K1340" i="38" s="1"/>
  <c r="L1339" i="38"/>
  <c r="I1339" i="38"/>
  <c r="H1339" i="38"/>
  <c r="L1338" i="38"/>
  <c r="I1338" i="38"/>
  <c r="H1338" i="38"/>
  <c r="K1338" i="38" s="1"/>
  <c r="L1337" i="38"/>
  <c r="I1337" i="38"/>
  <c r="H1337" i="38"/>
  <c r="L1336" i="38"/>
  <c r="I1336" i="38"/>
  <c r="H1336" i="38"/>
  <c r="L1335" i="38"/>
  <c r="I1335" i="38"/>
  <c r="H1335" i="38"/>
  <c r="L1334" i="38"/>
  <c r="I1334" i="38"/>
  <c r="H1334" i="38"/>
  <c r="L1333" i="38"/>
  <c r="I1333" i="38"/>
  <c r="H1333" i="38"/>
  <c r="L1332" i="38"/>
  <c r="I1332" i="38"/>
  <c r="H1332" i="38"/>
  <c r="K1332" i="38" s="1"/>
  <c r="L1331" i="38"/>
  <c r="I1331" i="38"/>
  <c r="H1331" i="38"/>
  <c r="L1330" i="38"/>
  <c r="I1330" i="38"/>
  <c r="H1330" i="38"/>
  <c r="K1330" i="38" s="1"/>
  <c r="L1329" i="38"/>
  <c r="I1329" i="38"/>
  <c r="H1329" i="38"/>
  <c r="L1328" i="38"/>
  <c r="I1328" i="38"/>
  <c r="H1328" i="38"/>
  <c r="L1327" i="38"/>
  <c r="I1327" i="38"/>
  <c r="H1327" i="38"/>
  <c r="L1285" i="38"/>
  <c r="I1285" i="38"/>
  <c r="H1285" i="38"/>
  <c r="K1285" i="38" s="1"/>
  <c r="L1284" i="38"/>
  <c r="I1284" i="38"/>
  <c r="H1284" i="38"/>
  <c r="K1284" i="38" s="1"/>
  <c r="L1283" i="38"/>
  <c r="I1283" i="38"/>
  <c r="H1283" i="38"/>
  <c r="K1283" i="38" s="1"/>
  <c r="L1282" i="38"/>
  <c r="I1282" i="38"/>
  <c r="H1282" i="38"/>
  <c r="K1282" i="38" s="1"/>
  <c r="L1281" i="38"/>
  <c r="I1281" i="38"/>
  <c r="H1281" i="38"/>
  <c r="K1281" i="38" s="1"/>
  <c r="L1280" i="38"/>
  <c r="I1280" i="38"/>
  <c r="H1280" i="38"/>
  <c r="K1280" i="38" s="1"/>
  <c r="L1279" i="38"/>
  <c r="I1279" i="38"/>
  <c r="H1279" i="38"/>
  <c r="K1279" i="38" s="1"/>
  <c r="L1278" i="38"/>
  <c r="I1278" i="38"/>
  <c r="H1278" i="38"/>
  <c r="K1278" i="38" s="1"/>
  <c r="L1277" i="38"/>
  <c r="I1277" i="38"/>
  <c r="H1277" i="38"/>
  <c r="K1277" i="38" s="1"/>
  <c r="L1276" i="38"/>
  <c r="I1276" i="38"/>
  <c r="H1276" i="38"/>
  <c r="K1276" i="38" s="1"/>
  <c r="L1275" i="38"/>
  <c r="I1275" i="38"/>
  <c r="H1275" i="38"/>
  <c r="K1275" i="38" s="1"/>
  <c r="L1274" i="38"/>
  <c r="I1274" i="38"/>
  <c r="H1274" i="38"/>
  <c r="K1274" i="38" s="1"/>
  <c r="L1273" i="38"/>
  <c r="I1273" i="38"/>
  <c r="H1273" i="38"/>
  <c r="K1273" i="38" s="1"/>
  <c r="L1272" i="38"/>
  <c r="I1272" i="38"/>
  <c r="H1272" i="38"/>
  <c r="K1272" i="38" s="1"/>
  <c r="L1271" i="38"/>
  <c r="I1271" i="38"/>
  <c r="H1271" i="38"/>
  <c r="K1271" i="38" s="1"/>
  <c r="L1270" i="38"/>
  <c r="I1270" i="38"/>
  <c r="H1270" i="38"/>
  <c r="K1270" i="38" s="1"/>
  <c r="L1269" i="38"/>
  <c r="I1269" i="38"/>
  <c r="H1269" i="38"/>
  <c r="K1269" i="38" s="1"/>
  <c r="L1268" i="38"/>
  <c r="I1268" i="38"/>
  <c r="H1268" i="38"/>
  <c r="K1268" i="38" s="1"/>
  <c r="L1267" i="38"/>
  <c r="I1267" i="38"/>
  <c r="H1267" i="38"/>
  <c r="K1267" i="38" s="1"/>
  <c r="L1266" i="38"/>
  <c r="I1266" i="38"/>
  <c r="H1266" i="38"/>
  <c r="K1266" i="38" s="1"/>
  <c r="L1265" i="38"/>
  <c r="I1265" i="38"/>
  <c r="H1265" i="38"/>
  <c r="K1265" i="38" s="1"/>
  <c r="L1264" i="38"/>
  <c r="I1264" i="38"/>
  <c r="H1264" i="38"/>
  <c r="K1264" i="38" s="1"/>
  <c r="L1263" i="38"/>
  <c r="I1263" i="38"/>
  <c r="H1263" i="38"/>
  <c r="K1263" i="38" s="1"/>
  <c r="L1262" i="38"/>
  <c r="I1262" i="38"/>
  <c r="H1262" i="38"/>
  <c r="K1262" i="38" s="1"/>
  <c r="L1261" i="38"/>
  <c r="I1261" i="38"/>
  <c r="H1261" i="38"/>
  <c r="K1261" i="38" s="1"/>
  <c r="L1260" i="38"/>
  <c r="I1260" i="38"/>
  <c r="H1260" i="38"/>
  <c r="K1260" i="38" s="1"/>
  <c r="L1259" i="38"/>
  <c r="I1259" i="38"/>
  <c r="H1259" i="38"/>
  <c r="K1259" i="38" s="1"/>
  <c r="L1258" i="38"/>
  <c r="I1258" i="38"/>
  <c r="H1258" i="38"/>
  <c r="K1258" i="38" s="1"/>
  <c r="L1257" i="38"/>
  <c r="I1257" i="38"/>
  <c r="H1257" i="38"/>
  <c r="K1257" i="38" s="1"/>
  <c r="L1256" i="38"/>
  <c r="I1256" i="38"/>
  <c r="H1256" i="38"/>
  <c r="K1256" i="38" s="1"/>
  <c r="L1255" i="38"/>
  <c r="I1255" i="38"/>
  <c r="H1255" i="38"/>
  <c r="K1255" i="38" s="1"/>
  <c r="L1254" i="38"/>
  <c r="I1254" i="38"/>
  <c r="H1254" i="38"/>
  <c r="K1254" i="38" s="1"/>
  <c r="L1253" i="38"/>
  <c r="I1253" i="38"/>
  <c r="H1253" i="38"/>
  <c r="K1253" i="38" s="1"/>
  <c r="L1252" i="38"/>
  <c r="I1252" i="38"/>
  <c r="H1252" i="38"/>
  <c r="K1252" i="38" s="1"/>
  <c r="L1251" i="38"/>
  <c r="I1251" i="38"/>
  <c r="H1251" i="38"/>
  <c r="K1251" i="38" s="1"/>
  <c r="L1250" i="38"/>
  <c r="I1250" i="38"/>
  <c r="H1250" i="38"/>
  <c r="K1250" i="38" s="1"/>
  <c r="L1249" i="38"/>
  <c r="I1249" i="38"/>
  <c r="H1249" i="38"/>
  <c r="K1249" i="38" s="1"/>
  <c r="L1248" i="38"/>
  <c r="I1248" i="38"/>
  <c r="H1248" i="38"/>
  <c r="K1248" i="38" s="1"/>
  <c r="L1247" i="38"/>
  <c r="I1247" i="38"/>
  <c r="H1247" i="38"/>
  <c r="K1247" i="38" s="1"/>
  <c r="L1246" i="38"/>
  <c r="I1246" i="38"/>
  <c r="H1246" i="38"/>
  <c r="K1246" i="38" s="1"/>
  <c r="L1245" i="38"/>
  <c r="I1245" i="38"/>
  <c r="H1245" i="38"/>
  <c r="K1245" i="38" s="1"/>
  <c r="L1244" i="38"/>
  <c r="I1244" i="38"/>
  <c r="H1244" i="38"/>
  <c r="K1244" i="38" s="1"/>
  <c r="L1243" i="38"/>
  <c r="I1243" i="38"/>
  <c r="H1243" i="38"/>
  <c r="K1243" i="38" s="1"/>
  <c r="L1242" i="38"/>
  <c r="I1242" i="38"/>
  <c r="H1242" i="38"/>
  <c r="K1242" i="38" s="1"/>
  <c r="L1241" i="38"/>
  <c r="I1241" i="38"/>
  <c r="H1241" i="38"/>
  <c r="K1241" i="38" s="1"/>
  <c r="L1240" i="38"/>
  <c r="I1240" i="38"/>
  <c r="H1240" i="38"/>
  <c r="K1240" i="38" s="1"/>
  <c r="L1239" i="38"/>
  <c r="I1239" i="38"/>
  <c r="H1239" i="38"/>
  <c r="K1239" i="38" s="1"/>
  <c r="L1238" i="38"/>
  <c r="I1238" i="38"/>
  <c r="H1238" i="38"/>
  <c r="K1238" i="38" s="1"/>
  <c r="L1237" i="38"/>
  <c r="I1237" i="38"/>
  <c r="H1237" i="38"/>
  <c r="K1237" i="38" s="1"/>
  <c r="L1236" i="38"/>
  <c r="I1236" i="38"/>
  <c r="H1236" i="38"/>
  <c r="K1236" i="38" s="1"/>
  <c r="L1235" i="38"/>
  <c r="I1235" i="38"/>
  <c r="H1235" i="38"/>
  <c r="K1235" i="38" s="1"/>
  <c r="L1234" i="38"/>
  <c r="I1234" i="38"/>
  <c r="H1234" i="38"/>
  <c r="K1234" i="38" s="1"/>
  <c r="L1233" i="38"/>
  <c r="I1233" i="38"/>
  <c r="H1233" i="38"/>
  <c r="K1233" i="38" s="1"/>
  <c r="L1232" i="38"/>
  <c r="I1232" i="38"/>
  <c r="H1232" i="38"/>
  <c r="K1232" i="38" s="1"/>
  <c r="L1231" i="38"/>
  <c r="I1231" i="38"/>
  <c r="H1231" i="38"/>
  <c r="K1231" i="38" s="1"/>
  <c r="L1230" i="38"/>
  <c r="I1230" i="38"/>
  <c r="H1230" i="38"/>
  <c r="K1230" i="38" s="1"/>
  <c r="L1229" i="38"/>
  <c r="I1229" i="38"/>
  <c r="H1229" i="38"/>
  <c r="K1229" i="38" s="1"/>
  <c r="L1228" i="38"/>
  <c r="I1228" i="38"/>
  <c r="H1228" i="38"/>
  <c r="K1228" i="38" s="1"/>
  <c r="L1227" i="38"/>
  <c r="I1227" i="38"/>
  <c r="H1227" i="38"/>
  <c r="K1227" i="38" s="1"/>
  <c r="L1226" i="38"/>
  <c r="I1226" i="38"/>
  <c r="H1226" i="38"/>
  <c r="K1226" i="38" s="1"/>
  <c r="L1225" i="38"/>
  <c r="I1225" i="38"/>
  <c r="H1225" i="38"/>
  <c r="K1225" i="38" s="1"/>
  <c r="L1224" i="38"/>
  <c r="I1224" i="38"/>
  <c r="H1224" i="38"/>
  <c r="K1224" i="38" s="1"/>
  <c r="L1223" i="38"/>
  <c r="I1223" i="38"/>
  <c r="H1223" i="38"/>
  <c r="K1223" i="38" s="1"/>
  <c r="L1222" i="38"/>
  <c r="I1222" i="38"/>
  <c r="H1222" i="38"/>
  <c r="K1222" i="38" s="1"/>
  <c r="L1221" i="38"/>
  <c r="I1221" i="38"/>
  <c r="H1221" i="38"/>
  <c r="K1221" i="38" s="1"/>
  <c r="L1220" i="38"/>
  <c r="I1220" i="38"/>
  <c r="H1220" i="38"/>
  <c r="K1220" i="38" s="1"/>
  <c r="L1219" i="38"/>
  <c r="I1219" i="38"/>
  <c r="H1219" i="38"/>
  <c r="K1219" i="38" s="1"/>
  <c r="L1218" i="38"/>
  <c r="I1218" i="38"/>
  <c r="H1218" i="38"/>
  <c r="K1218" i="38" s="1"/>
  <c r="L1217" i="38"/>
  <c r="I1217" i="38"/>
  <c r="H1217" i="38"/>
  <c r="K1217" i="38" s="1"/>
  <c r="L1216" i="38"/>
  <c r="I1216" i="38"/>
  <c r="H1216" i="38"/>
  <c r="K1216" i="38" s="1"/>
  <c r="L1215" i="38"/>
  <c r="I1215" i="38"/>
  <c r="H1215" i="38"/>
  <c r="K1215" i="38" s="1"/>
  <c r="L1214" i="38"/>
  <c r="I1214" i="38"/>
  <c r="H1214" i="38"/>
  <c r="K1214" i="38" s="1"/>
  <c r="L1213" i="38"/>
  <c r="I1213" i="38"/>
  <c r="H1213" i="38"/>
  <c r="K1213" i="38" s="1"/>
  <c r="L1212" i="38"/>
  <c r="I1212" i="38"/>
  <c r="H1212" i="38"/>
  <c r="K1212" i="38" s="1"/>
  <c r="L1211" i="38"/>
  <c r="I1211" i="38"/>
  <c r="H1211" i="38"/>
  <c r="K1211" i="38" s="1"/>
  <c r="L1210" i="38"/>
  <c r="I1210" i="38"/>
  <c r="H1210" i="38"/>
  <c r="K1210" i="38" s="1"/>
  <c r="L1209" i="38"/>
  <c r="I1209" i="38"/>
  <c r="H1209" i="38"/>
  <c r="K1209" i="38" s="1"/>
  <c r="L1208" i="38"/>
  <c r="I1208" i="38"/>
  <c r="H1208" i="38"/>
  <c r="K1208" i="38" s="1"/>
  <c r="L1207" i="38"/>
  <c r="I1207" i="38"/>
  <c r="H1207" i="38"/>
  <c r="K1207" i="38" s="1"/>
  <c r="L1206" i="38"/>
  <c r="I1206" i="38"/>
  <c r="H1206" i="38"/>
  <c r="K1206" i="38" s="1"/>
  <c r="L1205" i="38"/>
  <c r="I1205" i="38"/>
  <c r="H1205" i="38"/>
  <c r="K1205" i="38" s="1"/>
  <c r="L1204" i="38"/>
  <c r="I1204" i="38"/>
  <c r="H1204" i="38"/>
  <c r="K1204" i="38" s="1"/>
  <c r="L1203" i="38"/>
  <c r="I1203" i="38"/>
  <c r="H1203" i="38"/>
  <c r="K1203" i="38" s="1"/>
  <c r="L1202" i="38"/>
  <c r="I1202" i="38"/>
  <c r="H1202" i="38"/>
  <c r="K1202" i="38" s="1"/>
  <c r="L1201" i="38"/>
  <c r="I1201" i="38"/>
  <c r="H1201" i="38"/>
  <c r="K1201" i="38" s="1"/>
  <c r="L1200" i="38"/>
  <c r="I1200" i="38"/>
  <c r="H1200" i="38"/>
  <c r="K1200" i="38" s="1"/>
  <c r="L1199" i="38"/>
  <c r="I1199" i="38"/>
  <c r="H1199" i="38"/>
  <c r="K1199" i="38" s="1"/>
  <c r="L1198" i="38"/>
  <c r="I1198" i="38"/>
  <c r="H1198" i="38"/>
  <c r="K1198" i="38" s="1"/>
  <c r="L1197" i="38"/>
  <c r="I1197" i="38"/>
  <c r="H1197" i="38"/>
  <c r="K1197" i="38" s="1"/>
  <c r="L1196" i="38"/>
  <c r="I1196" i="38"/>
  <c r="H1196" i="38"/>
  <c r="K1196" i="38" s="1"/>
  <c r="L1195" i="38"/>
  <c r="I1195" i="38"/>
  <c r="H1195" i="38"/>
  <c r="K1195" i="38" s="1"/>
  <c r="L1194" i="38"/>
  <c r="I1194" i="38"/>
  <c r="H1194" i="38"/>
  <c r="K1194" i="38" s="1"/>
  <c r="L1193" i="38"/>
  <c r="I1193" i="38"/>
  <c r="H1193" i="38"/>
  <c r="K1193" i="38" s="1"/>
  <c r="L1192" i="38"/>
  <c r="I1192" i="38"/>
  <c r="H1192" i="38"/>
  <c r="K1192" i="38" s="1"/>
  <c r="L1191" i="38"/>
  <c r="I1191" i="38"/>
  <c r="H1191" i="38"/>
  <c r="K1191" i="38" s="1"/>
  <c r="L1190" i="38"/>
  <c r="I1190" i="38"/>
  <c r="H1190" i="38"/>
  <c r="K1190" i="38" s="1"/>
  <c r="L1189" i="38"/>
  <c r="I1189" i="38"/>
  <c r="H1189" i="38"/>
  <c r="K1189" i="38" s="1"/>
  <c r="L1188" i="38"/>
  <c r="I1188" i="38"/>
  <c r="H1188" i="38"/>
  <c r="K1188" i="38" s="1"/>
  <c r="L1187" i="38"/>
  <c r="I1187" i="38"/>
  <c r="H1187" i="38"/>
  <c r="K1187" i="38" s="1"/>
  <c r="L1186" i="38"/>
  <c r="I1186" i="38"/>
  <c r="H1186" i="38"/>
  <c r="K1186" i="38" s="1"/>
  <c r="L1185" i="38"/>
  <c r="I1185" i="38"/>
  <c r="H1185" i="38"/>
  <c r="K1185" i="38" s="1"/>
  <c r="L1184" i="38"/>
  <c r="I1184" i="38"/>
  <c r="H1184" i="38"/>
  <c r="K1184" i="38" s="1"/>
  <c r="L1183" i="38"/>
  <c r="I1183" i="38"/>
  <c r="H1183" i="38"/>
  <c r="K1183" i="38" s="1"/>
  <c r="L1182" i="38"/>
  <c r="I1182" i="38"/>
  <c r="H1182" i="38"/>
  <c r="K1182" i="38" s="1"/>
  <c r="L1181" i="38"/>
  <c r="I1181" i="38"/>
  <c r="H1181" i="38"/>
  <c r="K1181" i="38" s="1"/>
  <c r="L1180" i="38"/>
  <c r="I1180" i="38"/>
  <c r="H1180" i="38"/>
  <c r="K1180" i="38" s="1"/>
  <c r="L1179" i="38"/>
  <c r="I1179" i="38"/>
  <c r="H1179" i="38"/>
  <c r="K1179" i="38" s="1"/>
  <c r="L1178" i="38"/>
  <c r="I1178" i="38"/>
  <c r="H1178" i="38"/>
  <c r="K1178" i="38" s="1"/>
  <c r="L1177" i="38"/>
  <c r="I1177" i="38"/>
  <c r="H1177" i="38"/>
  <c r="K1177" i="38" s="1"/>
  <c r="L1176" i="38"/>
  <c r="I1176" i="38"/>
  <c r="H1176" i="38"/>
  <c r="K1176" i="38" s="1"/>
  <c r="L1175" i="38"/>
  <c r="I1175" i="38"/>
  <c r="H1175" i="38"/>
  <c r="K1175" i="38" s="1"/>
  <c r="L1174" i="38"/>
  <c r="I1174" i="38"/>
  <c r="H1174" i="38"/>
  <c r="K1174" i="38" s="1"/>
  <c r="L1173" i="38"/>
  <c r="I1173" i="38"/>
  <c r="H1173" i="38"/>
  <c r="K1173" i="38" s="1"/>
  <c r="L1172" i="38"/>
  <c r="I1172" i="38"/>
  <c r="H1172" i="38"/>
  <c r="K1172" i="38" s="1"/>
  <c r="L1171" i="38"/>
  <c r="I1171" i="38"/>
  <c r="H1171" i="38"/>
  <c r="K1171" i="38" s="1"/>
  <c r="L1170" i="38"/>
  <c r="I1170" i="38"/>
  <c r="H1170" i="38"/>
  <c r="K1170" i="38" s="1"/>
  <c r="L1169" i="38"/>
  <c r="I1169" i="38"/>
  <c r="H1169" i="38"/>
  <c r="K1169" i="38" s="1"/>
  <c r="L1168" i="38"/>
  <c r="I1168" i="38"/>
  <c r="H1168" i="38"/>
  <c r="K1168" i="38" s="1"/>
  <c r="L1167" i="38"/>
  <c r="I1167" i="38"/>
  <c r="H1167" i="38"/>
  <c r="K1167" i="38" s="1"/>
  <c r="L1166" i="38"/>
  <c r="I1166" i="38"/>
  <c r="H1166" i="38"/>
  <c r="K1166" i="38" s="1"/>
  <c r="L1165" i="38"/>
  <c r="I1165" i="38"/>
  <c r="H1165" i="38"/>
  <c r="K1165" i="38" s="1"/>
  <c r="L1164" i="38"/>
  <c r="I1164" i="38"/>
  <c r="H1164" i="38"/>
  <c r="K1164" i="38" s="1"/>
  <c r="L1163" i="38"/>
  <c r="I1163" i="38"/>
  <c r="H1163" i="38"/>
  <c r="K1163" i="38" s="1"/>
  <c r="L1162" i="38"/>
  <c r="I1162" i="38"/>
  <c r="H1162" i="38"/>
  <c r="K1162" i="38" s="1"/>
  <c r="L1161" i="38"/>
  <c r="I1161" i="38"/>
  <c r="H1161" i="38"/>
  <c r="K1161" i="38" s="1"/>
  <c r="L1160" i="38"/>
  <c r="I1160" i="38"/>
  <c r="H1160" i="38"/>
  <c r="K1160" i="38" s="1"/>
  <c r="L1159" i="38"/>
  <c r="I1159" i="38"/>
  <c r="H1159" i="38"/>
  <c r="K1159" i="38" s="1"/>
  <c r="L1158" i="38"/>
  <c r="I1158" i="38"/>
  <c r="H1158" i="38"/>
  <c r="K1158" i="38" s="1"/>
  <c r="L1157" i="38"/>
  <c r="I1157" i="38"/>
  <c r="H1157" i="38"/>
  <c r="K1157" i="38" s="1"/>
  <c r="L1156" i="38"/>
  <c r="I1156" i="38"/>
  <c r="H1156" i="38"/>
  <c r="K1156" i="38" s="1"/>
  <c r="L1107" i="38"/>
  <c r="I1107" i="38"/>
  <c r="H1107" i="38"/>
  <c r="K1107" i="38" s="1"/>
  <c r="L1106" i="38"/>
  <c r="I1106" i="38"/>
  <c r="H1106" i="38"/>
  <c r="L1105" i="38"/>
  <c r="I1105" i="38"/>
  <c r="H1105" i="38"/>
  <c r="L1104" i="38"/>
  <c r="I1104" i="38"/>
  <c r="K1104" i="38" s="1"/>
  <c r="H1104" i="38"/>
  <c r="L1103" i="38"/>
  <c r="I1103" i="38"/>
  <c r="H1103" i="38"/>
  <c r="K1103" i="38" s="1"/>
  <c r="L1102" i="38"/>
  <c r="I1102" i="38"/>
  <c r="H1102" i="38"/>
  <c r="L1101" i="38"/>
  <c r="I1101" i="38"/>
  <c r="H1101" i="38"/>
  <c r="L1100" i="38"/>
  <c r="I1100" i="38"/>
  <c r="H1100" i="38"/>
  <c r="L1099" i="38"/>
  <c r="I1099" i="38"/>
  <c r="H1099" i="38"/>
  <c r="K1099" i="38" s="1"/>
  <c r="L1098" i="38"/>
  <c r="I1098" i="38"/>
  <c r="H1098" i="38"/>
  <c r="L1097" i="38"/>
  <c r="I1097" i="38"/>
  <c r="H1097" i="38"/>
  <c r="L1096" i="38"/>
  <c r="I1096" i="38"/>
  <c r="K1096" i="38" s="1"/>
  <c r="H1096" i="38"/>
  <c r="L1095" i="38"/>
  <c r="I1095" i="38"/>
  <c r="H1095" i="38"/>
  <c r="K1095" i="38" s="1"/>
  <c r="L1094" i="38"/>
  <c r="I1094" i="38"/>
  <c r="H1094" i="38"/>
  <c r="L1093" i="38"/>
  <c r="I1093" i="38"/>
  <c r="H1093" i="38"/>
  <c r="L1092" i="38"/>
  <c r="I1092" i="38"/>
  <c r="H1092" i="38"/>
  <c r="L1091" i="38"/>
  <c r="I1091" i="38"/>
  <c r="H1091" i="38"/>
  <c r="K1091" i="38" s="1"/>
  <c r="L1090" i="38"/>
  <c r="I1090" i="38"/>
  <c r="H1090" i="38"/>
  <c r="L1089" i="38"/>
  <c r="I1089" i="38"/>
  <c r="H1089" i="38"/>
  <c r="L1088" i="38"/>
  <c r="I1088" i="38"/>
  <c r="K1088" i="38" s="1"/>
  <c r="H1088" i="38"/>
  <c r="L1087" i="38"/>
  <c r="I1087" i="38"/>
  <c r="H1087" i="38"/>
  <c r="K1087" i="38" s="1"/>
  <c r="L1086" i="38"/>
  <c r="I1086" i="38"/>
  <c r="H1086" i="38"/>
  <c r="L1085" i="38"/>
  <c r="I1085" i="38"/>
  <c r="H1085" i="38"/>
  <c r="L1084" i="38"/>
  <c r="I1084" i="38"/>
  <c r="H1084" i="38"/>
  <c r="L1083" i="38"/>
  <c r="I1083" i="38"/>
  <c r="H1083" i="38"/>
  <c r="K1083" i="38" s="1"/>
  <c r="L1082" i="38"/>
  <c r="I1082" i="38"/>
  <c r="H1082" i="38"/>
  <c r="L1081" i="38"/>
  <c r="I1081" i="38"/>
  <c r="H1081" i="38"/>
  <c r="L1080" i="38"/>
  <c r="I1080" i="38"/>
  <c r="K1080" i="38" s="1"/>
  <c r="H1080" i="38"/>
  <c r="L1079" i="38"/>
  <c r="I1079" i="38"/>
  <c r="H1079" i="38"/>
  <c r="K1079" i="38" s="1"/>
  <c r="L1078" i="38"/>
  <c r="I1078" i="38"/>
  <c r="H1078" i="38"/>
  <c r="L1077" i="38"/>
  <c r="I1077" i="38"/>
  <c r="H1077" i="38"/>
  <c r="L1076" i="38"/>
  <c r="I1076" i="38"/>
  <c r="H1076" i="38"/>
  <c r="L1075" i="38"/>
  <c r="I1075" i="38"/>
  <c r="H1075" i="38"/>
  <c r="K1075" i="38" s="1"/>
  <c r="L1074" i="38"/>
  <c r="I1074" i="38"/>
  <c r="H1074" i="38"/>
  <c r="L1073" i="38"/>
  <c r="I1073" i="38"/>
  <c r="H1073" i="38"/>
  <c r="L1072" i="38"/>
  <c r="I1072" i="38"/>
  <c r="K1072" i="38" s="1"/>
  <c r="H1072" i="38"/>
  <c r="L1071" i="38"/>
  <c r="I1071" i="38"/>
  <c r="H1071" i="38"/>
  <c r="K1071" i="38" s="1"/>
  <c r="L1070" i="38"/>
  <c r="I1070" i="38"/>
  <c r="H1070" i="38"/>
  <c r="L1069" i="38"/>
  <c r="I1069" i="38"/>
  <c r="H1069" i="38"/>
  <c r="L1068" i="38"/>
  <c r="I1068" i="38"/>
  <c r="H1068" i="38"/>
  <c r="L1067" i="38"/>
  <c r="I1067" i="38"/>
  <c r="H1067" i="38"/>
  <c r="K1067" i="38" s="1"/>
  <c r="L1066" i="38"/>
  <c r="I1066" i="38"/>
  <c r="H1066" i="38"/>
  <c r="L1065" i="38"/>
  <c r="I1065" i="38"/>
  <c r="H1065" i="38"/>
  <c r="L1064" i="38"/>
  <c r="I1064" i="38"/>
  <c r="K1064" i="38" s="1"/>
  <c r="H1064" i="38"/>
  <c r="L1063" i="38"/>
  <c r="I1063" i="38"/>
  <c r="H1063" i="38"/>
  <c r="K1063" i="38" s="1"/>
  <c r="L1062" i="38"/>
  <c r="I1062" i="38"/>
  <c r="H1062" i="38"/>
  <c r="L1061" i="38"/>
  <c r="I1061" i="38"/>
  <c r="H1061" i="38"/>
  <c r="L1060" i="38"/>
  <c r="I1060" i="38"/>
  <c r="H1060" i="38"/>
  <c r="L1059" i="38"/>
  <c r="I1059" i="38"/>
  <c r="H1059" i="38"/>
  <c r="K1059" i="38" s="1"/>
  <c r="L1058" i="38"/>
  <c r="I1058" i="38"/>
  <c r="H1058" i="38"/>
  <c r="L1057" i="38"/>
  <c r="I1057" i="38"/>
  <c r="H1057" i="38"/>
  <c r="L1056" i="38"/>
  <c r="I1056" i="38"/>
  <c r="K1056" i="38" s="1"/>
  <c r="H1056" i="38"/>
  <c r="L1055" i="38"/>
  <c r="I1055" i="38"/>
  <c r="H1055" i="38"/>
  <c r="K1055" i="38" s="1"/>
  <c r="L1054" i="38"/>
  <c r="I1054" i="38"/>
  <c r="H1054" i="38"/>
  <c r="L1053" i="38"/>
  <c r="I1053" i="38"/>
  <c r="H1053" i="38"/>
  <c r="L1052" i="38"/>
  <c r="I1052" i="38"/>
  <c r="H1052" i="38"/>
  <c r="L1051" i="38"/>
  <c r="I1051" i="38"/>
  <c r="H1051" i="38"/>
  <c r="K1051" i="38" s="1"/>
  <c r="L1050" i="38"/>
  <c r="I1050" i="38"/>
  <c r="H1050" i="38"/>
  <c r="L1049" i="38"/>
  <c r="I1049" i="38"/>
  <c r="H1049" i="38"/>
  <c r="L1048" i="38"/>
  <c r="I1048" i="38"/>
  <c r="H1048" i="38"/>
  <c r="L1047" i="38"/>
  <c r="I1047" i="38"/>
  <c r="H1047" i="38"/>
  <c r="K1047" i="38" s="1"/>
  <c r="L1046" i="38"/>
  <c r="I1046" i="38"/>
  <c r="H1046" i="38"/>
  <c r="L1045" i="38"/>
  <c r="I1045" i="38"/>
  <c r="H1045" i="38"/>
  <c r="L1044" i="38"/>
  <c r="I1044" i="38"/>
  <c r="H1044" i="38"/>
  <c r="L1043" i="38"/>
  <c r="I1043" i="38"/>
  <c r="H1043" i="38"/>
  <c r="K1043" i="38" s="1"/>
  <c r="L1042" i="38"/>
  <c r="I1042" i="38"/>
  <c r="H1042" i="38"/>
  <c r="L1041" i="38"/>
  <c r="I1041" i="38"/>
  <c r="H1041" i="38"/>
  <c r="L1040" i="38"/>
  <c r="I1040" i="38"/>
  <c r="H1040" i="38"/>
  <c r="L1039" i="38"/>
  <c r="I1039" i="38"/>
  <c r="H1039" i="38"/>
  <c r="K1039" i="38" s="1"/>
  <c r="L1038" i="38"/>
  <c r="I1038" i="38"/>
  <c r="H1038" i="38"/>
  <c r="L1037" i="38"/>
  <c r="I1037" i="38"/>
  <c r="H1037" i="38"/>
  <c r="L1036" i="38"/>
  <c r="I1036" i="38"/>
  <c r="H1036" i="38"/>
  <c r="L1035" i="38"/>
  <c r="I1035" i="38"/>
  <c r="H1035" i="38"/>
  <c r="K1035" i="38" s="1"/>
  <c r="L1034" i="38"/>
  <c r="I1034" i="38"/>
  <c r="H1034" i="38"/>
  <c r="L1033" i="38"/>
  <c r="I1033" i="38"/>
  <c r="H1033" i="38"/>
  <c r="L1032" i="38"/>
  <c r="I1032" i="38"/>
  <c r="H1032" i="38"/>
  <c r="L1031" i="38"/>
  <c r="I1031" i="38"/>
  <c r="H1031" i="38"/>
  <c r="K1031" i="38" s="1"/>
  <c r="L1030" i="38"/>
  <c r="I1030" i="38"/>
  <c r="H1030" i="38"/>
  <c r="L1029" i="38"/>
  <c r="I1029" i="38"/>
  <c r="H1029" i="38"/>
  <c r="L1028" i="38"/>
  <c r="I1028" i="38"/>
  <c r="H1028" i="38"/>
  <c r="L1027" i="38"/>
  <c r="I1027" i="38"/>
  <c r="H1027" i="38"/>
  <c r="K1027" i="38" s="1"/>
  <c r="L1026" i="38"/>
  <c r="I1026" i="38"/>
  <c r="H1026" i="38"/>
  <c r="L1025" i="38"/>
  <c r="I1025" i="38"/>
  <c r="H1025" i="38"/>
  <c r="L1024" i="38"/>
  <c r="I1024" i="38"/>
  <c r="H1024" i="38"/>
  <c r="L1023" i="38"/>
  <c r="I1023" i="38"/>
  <c r="H1023" i="38"/>
  <c r="K1023" i="38" s="1"/>
  <c r="L1022" i="38"/>
  <c r="I1022" i="38"/>
  <c r="H1022" i="38"/>
  <c r="L1021" i="38"/>
  <c r="I1021" i="38"/>
  <c r="H1021" i="38"/>
  <c r="L1020" i="38"/>
  <c r="I1020" i="38"/>
  <c r="H1020" i="38"/>
  <c r="L1019" i="38"/>
  <c r="I1019" i="38"/>
  <c r="H1019" i="38"/>
  <c r="K1019" i="38" s="1"/>
  <c r="L1018" i="38"/>
  <c r="I1018" i="38"/>
  <c r="H1018" i="38"/>
  <c r="L1017" i="38"/>
  <c r="I1017" i="38"/>
  <c r="H1017" i="38"/>
  <c r="L1016" i="38"/>
  <c r="I1016" i="38"/>
  <c r="H1016" i="38"/>
  <c r="L1015" i="38"/>
  <c r="I1015" i="38"/>
  <c r="H1015" i="38"/>
  <c r="K1015" i="38" s="1"/>
  <c r="L1014" i="38"/>
  <c r="I1014" i="38"/>
  <c r="H1014" i="38"/>
  <c r="L1013" i="38"/>
  <c r="I1013" i="38"/>
  <c r="H1013" i="38"/>
  <c r="L1012" i="38"/>
  <c r="I1012" i="38"/>
  <c r="H1012" i="38"/>
  <c r="L1011" i="38"/>
  <c r="I1011" i="38"/>
  <c r="H1011" i="38"/>
  <c r="K1011" i="38" s="1"/>
  <c r="L1010" i="38"/>
  <c r="I1010" i="38"/>
  <c r="H1010" i="38"/>
  <c r="L1009" i="38"/>
  <c r="I1009" i="38"/>
  <c r="H1009" i="38"/>
  <c r="L1008" i="38"/>
  <c r="I1008" i="38"/>
  <c r="H1008" i="38"/>
  <c r="L1007" i="38"/>
  <c r="I1007" i="38"/>
  <c r="H1007" i="38"/>
  <c r="K1007" i="38" s="1"/>
  <c r="L1006" i="38"/>
  <c r="I1006" i="38"/>
  <c r="H1006" i="38"/>
  <c r="L997" i="38"/>
  <c r="J997" i="38" s="1"/>
  <c r="I997" i="38"/>
  <c r="H997" i="38"/>
  <c r="L996" i="38"/>
  <c r="J996" i="38" s="1"/>
  <c r="I996" i="38"/>
  <c r="H996" i="38"/>
  <c r="L995" i="38"/>
  <c r="I995" i="38"/>
  <c r="H995" i="38"/>
  <c r="K995" i="38" s="1"/>
  <c r="L994" i="38"/>
  <c r="J994" i="38" s="1"/>
  <c r="I994" i="38"/>
  <c r="H994" i="38"/>
  <c r="L993" i="38"/>
  <c r="J993" i="38" s="1"/>
  <c r="I993" i="38"/>
  <c r="H993" i="38"/>
  <c r="L992" i="38"/>
  <c r="J992" i="38" s="1"/>
  <c r="I992" i="38"/>
  <c r="H992" i="38"/>
  <c r="L991" i="38"/>
  <c r="J991" i="38" s="1"/>
  <c r="I991" i="38"/>
  <c r="H991" i="38"/>
  <c r="L990" i="38"/>
  <c r="J990" i="38" s="1"/>
  <c r="I990" i="38"/>
  <c r="H990" i="38"/>
  <c r="L989" i="38"/>
  <c r="J989" i="38" s="1"/>
  <c r="I989" i="38"/>
  <c r="H989" i="38"/>
  <c r="L988" i="38"/>
  <c r="J988" i="38" s="1"/>
  <c r="I988" i="38"/>
  <c r="H988" i="38"/>
  <c r="L987" i="38"/>
  <c r="J987" i="38" s="1"/>
  <c r="I987" i="38"/>
  <c r="H987" i="38"/>
  <c r="L986" i="38"/>
  <c r="J986" i="38" s="1"/>
  <c r="I986" i="38"/>
  <c r="H986" i="38"/>
  <c r="L985" i="38"/>
  <c r="J985" i="38" s="1"/>
  <c r="I985" i="38"/>
  <c r="H985" i="38"/>
  <c r="L984" i="38"/>
  <c r="J984" i="38" s="1"/>
  <c r="I984" i="38"/>
  <c r="H984" i="38"/>
  <c r="L983" i="38"/>
  <c r="J983" i="38" s="1"/>
  <c r="I983" i="38"/>
  <c r="H983" i="38"/>
  <c r="L982" i="38"/>
  <c r="I982" i="38"/>
  <c r="H982" i="38"/>
  <c r="L981" i="38"/>
  <c r="J981" i="38" s="1"/>
  <c r="I981" i="38"/>
  <c r="H981" i="38"/>
  <c r="L980" i="38"/>
  <c r="J980" i="38" s="1"/>
  <c r="I980" i="38"/>
  <c r="H980" i="38"/>
  <c r="L979" i="38"/>
  <c r="J979" i="38"/>
  <c r="I979" i="38"/>
  <c r="H979" i="38"/>
  <c r="L978" i="38"/>
  <c r="J978" i="38" s="1"/>
  <c r="I978" i="38"/>
  <c r="H978" i="38"/>
  <c r="L977" i="38"/>
  <c r="I977" i="38"/>
  <c r="H977" i="38"/>
  <c r="L976" i="38"/>
  <c r="I976" i="38"/>
  <c r="H976" i="38"/>
  <c r="L975" i="38"/>
  <c r="J975" i="38" s="1"/>
  <c r="I975" i="38"/>
  <c r="H975" i="38"/>
  <c r="L974" i="38"/>
  <c r="J974" i="38" s="1"/>
  <c r="I974" i="38"/>
  <c r="H974" i="38"/>
  <c r="L973" i="38"/>
  <c r="J973" i="38" s="1"/>
  <c r="I973" i="38"/>
  <c r="H973" i="38"/>
  <c r="L972" i="38"/>
  <c r="J972" i="38" s="1"/>
  <c r="I972" i="38"/>
  <c r="H972" i="38"/>
  <c r="L971" i="38"/>
  <c r="J971" i="38" s="1"/>
  <c r="I971" i="38"/>
  <c r="H971" i="38"/>
  <c r="L970" i="38"/>
  <c r="J970" i="38" s="1"/>
  <c r="I970" i="38"/>
  <c r="H970" i="38"/>
  <c r="L969" i="38"/>
  <c r="J969" i="38" s="1"/>
  <c r="I969" i="38"/>
  <c r="H969" i="38"/>
  <c r="L968" i="38"/>
  <c r="J968" i="38" s="1"/>
  <c r="I968" i="38"/>
  <c r="H968" i="38"/>
  <c r="L967" i="38"/>
  <c r="I967" i="38"/>
  <c r="H967" i="38"/>
  <c r="L966" i="38"/>
  <c r="J966" i="38" s="1"/>
  <c r="I966" i="38"/>
  <c r="H966" i="38"/>
  <c r="L965" i="38"/>
  <c r="J965" i="38" s="1"/>
  <c r="I965" i="38"/>
  <c r="H965" i="38"/>
  <c r="L964" i="38"/>
  <c r="J964" i="38" s="1"/>
  <c r="I964" i="38"/>
  <c r="H964" i="38"/>
  <c r="L963" i="38"/>
  <c r="J963" i="38" s="1"/>
  <c r="I963" i="38"/>
  <c r="H963" i="38"/>
  <c r="L962" i="38"/>
  <c r="J962" i="38" s="1"/>
  <c r="I962" i="38"/>
  <c r="H962" i="38"/>
  <c r="L961" i="38"/>
  <c r="J961" i="38" s="1"/>
  <c r="I961" i="38"/>
  <c r="H961" i="38"/>
  <c r="L960" i="38"/>
  <c r="J960" i="38" s="1"/>
  <c r="I960" i="38"/>
  <c r="H960" i="38"/>
  <c r="L959" i="38"/>
  <c r="J959" i="38" s="1"/>
  <c r="I959" i="38"/>
  <c r="H959" i="38"/>
  <c r="L958" i="38"/>
  <c r="J958" i="38" s="1"/>
  <c r="I958" i="38"/>
  <c r="H958" i="38"/>
  <c r="L957" i="38"/>
  <c r="I957" i="38"/>
  <c r="H957" i="38"/>
  <c r="L956" i="38"/>
  <c r="J956" i="38" s="1"/>
  <c r="I956" i="38"/>
  <c r="H956" i="38"/>
  <c r="L955" i="38"/>
  <c r="J955" i="38" s="1"/>
  <c r="I955" i="38"/>
  <c r="H955" i="38"/>
  <c r="L954" i="38"/>
  <c r="J954" i="38" s="1"/>
  <c r="I954" i="38"/>
  <c r="H954" i="38"/>
  <c r="L953" i="38"/>
  <c r="J953" i="38" s="1"/>
  <c r="I953" i="38"/>
  <c r="H953" i="38"/>
  <c r="L952" i="38"/>
  <c r="J952" i="38" s="1"/>
  <c r="I952" i="38"/>
  <c r="H952" i="38"/>
  <c r="L951" i="38"/>
  <c r="J951" i="38" s="1"/>
  <c r="I951" i="38"/>
  <c r="H951" i="38"/>
  <c r="K951" i="38" s="1"/>
  <c r="L950" i="38"/>
  <c r="J950" i="38" s="1"/>
  <c r="I950" i="38"/>
  <c r="H950" i="38"/>
  <c r="L949" i="38"/>
  <c r="J949" i="38" s="1"/>
  <c r="I949" i="38"/>
  <c r="H949" i="38"/>
  <c r="L948" i="38"/>
  <c r="J948" i="38" s="1"/>
  <c r="I948" i="38"/>
  <c r="H948" i="38"/>
  <c r="L947" i="38"/>
  <c r="J947" i="38" s="1"/>
  <c r="I947" i="38"/>
  <c r="H947" i="38"/>
  <c r="L946" i="38"/>
  <c r="J946" i="38" s="1"/>
  <c r="I946" i="38"/>
  <c r="H946" i="38"/>
  <c r="L945" i="38"/>
  <c r="J945" i="38" s="1"/>
  <c r="I945" i="38"/>
  <c r="H945" i="38"/>
  <c r="L944" i="38"/>
  <c r="J944" i="38" s="1"/>
  <c r="I944" i="38"/>
  <c r="H944" i="38"/>
  <c r="L943" i="38"/>
  <c r="J943" i="38" s="1"/>
  <c r="I943" i="38"/>
  <c r="H943" i="38"/>
  <c r="L942" i="38"/>
  <c r="J942" i="38" s="1"/>
  <c r="I942" i="38"/>
  <c r="H942" i="38"/>
  <c r="L941" i="38"/>
  <c r="J941" i="38" s="1"/>
  <c r="I941" i="38"/>
  <c r="H941" i="38"/>
  <c r="L940" i="38"/>
  <c r="J940" i="38" s="1"/>
  <c r="I940" i="38"/>
  <c r="H940" i="38"/>
  <c r="L939" i="38"/>
  <c r="J939" i="38" s="1"/>
  <c r="I939" i="38"/>
  <c r="H939" i="38"/>
  <c r="L938" i="38"/>
  <c r="J938" i="38" s="1"/>
  <c r="I938" i="38"/>
  <c r="H938" i="38"/>
  <c r="L937" i="38"/>
  <c r="J937" i="38" s="1"/>
  <c r="I937" i="38"/>
  <c r="H937" i="38"/>
  <c r="L936" i="38"/>
  <c r="J936" i="38" s="1"/>
  <c r="I936" i="38"/>
  <c r="H936" i="38"/>
  <c r="L935" i="38"/>
  <c r="I935" i="38"/>
  <c r="H935" i="38"/>
  <c r="K935" i="38" s="1"/>
  <c r="L934" i="38"/>
  <c r="J934" i="38" s="1"/>
  <c r="I934" i="38"/>
  <c r="H934" i="38"/>
  <c r="L933" i="38"/>
  <c r="J933" i="38" s="1"/>
  <c r="I933" i="38"/>
  <c r="H933" i="38"/>
  <c r="L932" i="38"/>
  <c r="J932" i="38" s="1"/>
  <c r="I932" i="38"/>
  <c r="H932" i="38"/>
  <c r="L931" i="38"/>
  <c r="J931" i="38" s="1"/>
  <c r="I931" i="38"/>
  <c r="H931" i="38"/>
  <c r="L930" i="38"/>
  <c r="J930" i="38" s="1"/>
  <c r="I930" i="38"/>
  <c r="H930" i="38"/>
  <c r="L929" i="38"/>
  <c r="J929" i="38" s="1"/>
  <c r="I929" i="38"/>
  <c r="H929" i="38"/>
  <c r="L928" i="38"/>
  <c r="J928" i="38" s="1"/>
  <c r="I928" i="38"/>
  <c r="H928" i="38"/>
  <c r="L927" i="38"/>
  <c r="J927" i="38" s="1"/>
  <c r="I927" i="38"/>
  <c r="H927" i="38"/>
  <c r="L926" i="38"/>
  <c r="J926" i="38" s="1"/>
  <c r="I926" i="38"/>
  <c r="H926" i="38"/>
  <c r="L925" i="38"/>
  <c r="J925" i="38" s="1"/>
  <c r="I925" i="38"/>
  <c r="H925" i="38"/>
  <c r="L924" i="38"/>
  <c r="J924" i="38" s="1"/>
  <c r="I924" i="38"/>
  <c r="H924" i="38"/>
  <c r="L923" i="38"/>
  <c r="J923" i="38" s="1"/>
  <c r="I923" i="38"/>
  <c r="H923" i="38"/>
  <c r="L922" i="38"/>
  <c r="J922" i="38" s="1"/>
  <c r="I922" i="38"/>
  <c r="H922" i="38"/>
  <c r="L921" i="38"/>
  <c r="J921" i="38" s="1"/>
  <c r="I921" i="38"/>
  <c r="H921" i="38"/>
  <c r="L920" i="38"/>
  <c r="J920" i="38" s="1"/>
  <c r="I920" i="38"/>
  <c r="H920" i="38"/>
  <c r="L919" i="38"/>
  <c r="J919" i="38" s="1"/>
  <c r="I919" i="38"/>
  <c r="H919" i="38"/>
  <c r="L918" i="38"/>
  <c r="J918" i="38" s="1"/>
  <c r="I918" i="38"/>
  <c r="H918" i="38"/>
  <c r="L917" i="38"/>
  <c r="J917" i="38" s="1"/>
  <c r="I917" i="38"/>
  <c r="H917" i="38"/>
  <c r="L916" i="38"/>
  <c r="J916" i="38" s="1"/>
  <c r="I916" i="38"/>
  <c r="H916" i="38"/>
  <c r="L915" i="38"/>
  <c r="J915" i="38" s="1"/>
  <c r="I915" i="38"/>
  <c r="H915" i="38"/>
  <c r="L914" i="38"/>
  <c r="J914" i="38"/>
  <c r="I914" i="38"/>
  <c r="H914" i="38"/>
  <c r="L913" i="38"/>
  <c r="J913" i="38"/>
  <c r="I913" i="38"/>
  <c r="H913" i="38"/>
  <c r="L912" i="38"/>
  <c r="J912" i="38"/>
  <c r="I912" i="38"/>
  <c r="H912" i="38"/>
  <c r="L911" i="38"/>
  <c r="J911" i="38" s="1"/>
  <c r="I911" i="38"/>
  <c r="H911" i="38"/>
  <c r="L910" i="38"/>
  <c r="J910" i="38" s="1"/>
  <c r="I910" i="38"/>
  <c r="H910" i="38"/>
  <c r="L909" i="38"/>
  <c r="J909" i="38" s="1"/>
  <c r="I909" i="38"/>
  <c r="H909" i="38"/>
  <c r="S888" i="38"/>
  <c r="R887" i="38"/>
  <c r="S887" i="38" s="1"/>
  <c r="H874" i="38"/>
  <c r="M873" i="38"/>
  <c r="I873" i="38"/>
  <c r="K873" i="38" s="1"/>
  <c r="M872" i="38"/>
  <c r="I872" i="38"/>
  <c r="K872" i="38" s="1"/>
  <c r="M871" i="38"/>
  <c r="I871" i="38"/>
  <c r="K871" i="38" s="1"/>
  <c r="M870" i="38"/>
  <c r="I870" i="38"/>
  <c r="M869" i="38"/>
  <c r="I869" i="38"/>
  <c r="K869" i="38" s="1"/>
  <c r="M868" i="38"/>
  <c r="I868" i="38"/>
  <c r="K868" i="38" s="1"/>
  <c r="M867" i="38"/>
  <c r="I867" i="38"/>
  <c r="K867" i="38" s="1"/>
  <c r="M866" i="38"/>
  <c r="I866" i="38"/>
  <c r="K866" i="38" s="1"/>
  <c r="M865" i="38"/>
  <c r="I865" i="38"/>
  <c r="K865" i="38" s="1"/>
  <c r="M864" i="38"/>
  <c r="I864" i="38"/>
  <c r="K864" i="38" s="1"/>
  <c r="M863" i="38"/>
  <c r="K863" i="38"/>
  <c r="I863" i="38"/>
  <c r="M862" i="38"/>
  <c r="I862" i="38"/>
  <c r="K862" i="38" s="1"/>
  <c r="M861" i="38"/>
  <c r="I861" i="38"/>
  <c r="K861" i="38" s="1"/>
  <c r="M860" i="38"/>
  <c r="I860" i="38"/>
  <c r="K860" i="38" s="1"/>
  <c r="M859" i="38"/>
  <c r="I859" i="38"/>
  <c r="K859" i="38" s="1"/>
  <c r="M858" i="38"/>
  <c r="I858" i="38"/>
  <c r="K858" i="38" s="1"/>
  <c r="M857" i="38"/>
  <c r="I857" i="38"/>
  <c r="K857" i="38" s="1"/>
  <c r="M856" i="38"/>
  <c r="I856" i="38"/>
  <c r="K856" i="38" s="1"/>
  <c r="M855" i="38"/>
  <c r="I855" i="38"/>
  <c r="K855" i="38" s="1"/>
  <c r="M854" i="38"/>
  <c r="I854" i="38"/>
  <c r="K854" i="38" s="1"/>
  <c r="M853" i="38"/>
  <c r="I853" i="38"/>
  <c r="K853" i="38" s="1"/>
  <c r="M852" i="38"/>
  <c r="I852" i="38"/>
  <c r="K852" i="38" s="1"/>
  <c r="M851" i="38"/>
  <c r="I851" i="38"/>
  <c r="K851" i="38" s="1"/>
  <c r="M850" i="38"/>
  <c r="K850" i="38"/>
  <c r="I850" i="38"/>
  <c r="M849" i="38"/>
  <c r="I849" i="38"/>
  <c r="K849" i="38" s="1"/>
  <c r="M848" i="38"/>
  <c r="I848" i="38"/>
  <c r="K848" i="38" s="1"/>
  <c r="M847" i="38"/>
  <c r="I847" i="38"/>
  <c r="K847" i="38" s="1"/>
  <c r="M846" i="38"/>
  <c r="I846" i="38"/>
  <c r="K846" i="38" s="1"/>
  <c r="M845" i="38"/>
  <c r="I845" i="38"/>
  <c r="K845" i="38" s="1"/>
  <c r="M844" i="38"/>
  <c r="I844" i="38"/>
  <c r="K844" i="38" s="1"/>
  <c r="M843" i="38"/>
  <c r="I843" i="38"/>
  <c r="K843" i="38" s="1"/>
  <c r="M842" i="38"/>
  <c r="I842" i="38"/>
  <c r="K842" i="38" s="1"/>
  <c r="M841" i="38"/>
  <c r="I841" i="38"/>
  <c r="K841" i="38" s="1"/>
  <c r="M840" i="38"/>
  <c r="I840" i="38"/>
  <c r="K840" i="38" s="1"/>
  <c r="M839" i="38"/>
  <c r="I839" i="38"/>
  <c r="K839" i="38" s="1"/>
  <c r="M838" i="38"/>
  <c r="I838" i="38"/>
  <c r="K838" i="38" s="1"/>
  <c r="M837" i="38"/>
  <c r="I837" i="38"/>
  <c r="K837" i="38" s="1"/>
  <c r="M836" i="38"/>
  <c r="I836" i="38"/>
  <c r="K836" i="38" s="1"/>
  <c r="M835" i="38"/>
  <c r="K835" i="38"/>
  <c r="I835" i="38"/>
  <c r="M834" i="38"/>
  <c r="I834" i="38"/>
  <c r="K834" i="38" s="1"/>
  <c r="M833" i="38"/>
  <c r="I833" i="38"/>
  <c r="K833" i="38" s="1"/>
  <c r="M832" i="38"/>
  <c r="I832" i="38"/>
  <c r="K832" i="38" s="1"/>
  <c r="M831" i="38"/>
  <c r="I831" i="38"/>
  <c r="K831" i="38" s="1"/>
  <c r="M830" i="38"/>
  <c r="I830" i="38"/>
  <c r="K830" i="38" s="1"/>
  <c r="M829" i="38"/>
  <c r="I829" i="38"/>
  <c r="K829" i="38" s="1"/>
  <c r="M828" i="38"/>
  <c r="I828" i="38"/>
  <c r="K828" i="38" s="1"/>
  <c r="M827" i="38"/>
  <c r="I827" i="38"/>
  <c r="K827" i="38" s="1"/>
  <c r="M826" i="38"/>
  <c r="I826" i="38"/>
  <c r="K826" i="38" s="1"/>
  <c r="M825" i="38"/>
  <c r="I825" i="38"/>
  <c r="K825" i="38" s="1"/>
  <c r="M824" i="38"/>
  <c r="K824" i="38"/>
  <c r="I824" i="38"/>
  <c r="M823" i="38"/>
  <c r="I823" i="38"/>
  <c r="K823" i="38" s="1"/>
  <c r="M822" i="38"/>
  <c r="I822" i="38"/>
  <c r="K822" i="38" s="1"/>
  <c r="M821" i="38"/>
  <c r="I821" i="38"/>
  <c r="K821" i="38" s="1"/>
  <c r="M820" i="38"/>
  <c r="I820" i="38"/>
  <c r="K820" i="38" s="1"/>
  <c r="M819" i="38"/>
  <c r="I819" i="38"/>
  <c r="K819" i="38" s="1"/>
  <c r="M818" i="38"/>
  <c r="I818" i="38"/>
  <c r="K818" i="38" s="1"/>
  <c r="M817" i="38"/>
  <c r="I817" i="38"/>
  <c r="K817" i="38" s="1"/>
  <c r="M816" i="38"/>
  <c r="I816" i="38"/>
  <c r="K816" i="38" s="1"/>
  <c r="M815" i="38"/>
  <c r="I815" i="38"/>
  <c r="K815" i="38" s="1"/>
  <c r="M814" i="38"/>
  <c r="I814" i="38"/>
  <c r="K814" i="38" s="1"/>
  <c r="M813" i="38"/>
  <c r="I813" i="38"/>
  <c r="K813" i="38" s="1"/>
  <c r="M812" i="38"/>
  <c r="I812" i="38"/>
  <c r="K812" i="38" s="1"/>
  <c r="M811" i="38"/>
  <c r="I811" i="38"/>
  <c r="K811" i="38" s="1"/>
  <c r="M810" i="38"/>
  <c r="I810" i="38"/>
  <c r="K810" i="38" s="1"/>
  <c r="M809" i="38"/>
  <c r="K809" i="38"/>
  <c r="I809" i="38"/>
  <c r="M808" i="38"/>
  <c r="I808" i="38"/>
  <c r="K808" i="38" s="1"/>
  <c r="M807" i="38"/>
  <c r="I807" i="38"/>
  <c r="K807" i="38" s="1"/>
  <c r="M806" i="38"/>
  <c r="I806" i="38"/>
  <c r="K806" i="38" s="1"/>
  <c r="M805" i="38"/>
  <c r="I805" i="38"/>
  <c r="K805" i="38" s="1"/>
  <c r="M804" i="38"/>
  <c r="I804" i="38"/>
  <c r="K804" i="38" s="1"/>
  <c r="M803" i="38"/>
  <c r="I803" i="38"/>
  <c r="K803" i="38" s="1"/>
  <c r="M802" i="38"/>
  <c r="I802" i="38"/>
  <c r="K802" i="38" s="1"/>
  <c r="M801" i="38"/>
  <c r="I801" i="38"/>
  <c r="K801" i="38" s="1"/>
  <c r="M800" i="38"/>
  <c r="I800" i="38"/>
  <c r="K800" i="38" s="1"/>
  <c r="M799" i="38"/>
  <c r="I799" i="38"/>
  <c r="K799" i="38" s="1"/>
  <c r="M798" i="38"/>
  <c r="I798" i="38"/>
  <c r="K798" i="38" s="1"/>
  <c r="M797" i="38"/>
  <c r="I797" i="38"/>
  <c r="K797" i="38" s="1"/>
  <c r="M796" i="38"/>
  <c r="I796" i="38"/>
  <c r="K796" i="38" s="1"/>
  <c r="M795" i="38"/>
  <c r="I795" i="38"/>
  <c r="K795" i="38" s="1"/>
  <c r="M794" i="38"/>
  <c r="I794" i="38"/>
  <c r="K794" i="38" s="1"/>
  <c r="M793" i="38"/>
  <c r="I793" i="38"/>
  <c r="K793" i="38" s="1"/>
  <c r="M792" i="38"/>
  <c r="I792" i="38"/>
  <c r="K792" i="38" s="1"/>
  <c r="T768" i="38"/>
  <c r="T769" i="38" s="1"/>
  <c r="H757" i="38"/>
  <c r="L756" i="38"/>
  <c r="K756" i="38"/>
  <c r="L755" i="38"/>
  <c r="K755" i="38"/>
  <c r="L754" i="38"/>
  <c r="K754" i="38"/>
  <c r="L753" i="38"/>
  <c r="K753" i="38"/>
  <c r="L752" i="38"/>
  <c r="K752" i="38"/>
  <c r="L751" i="38"/>
  <c r="K751" i="38"/>
  <c r="L750" i="38"/>
  <c r="K750" i="38"/>
  <c r="L749" i="38"/>
  <c r="K749" i="38"/>
  <c r="L748" i="38"/>
  <c r="K748" i="38"/>
  <c r="L747" i="38"/>
  <c r="K747" i="38"/>
  <c r="L746" i="38"/>
  <c r="K746" i="38"/>
  <c r="L745" i="38"/>
  <c r="K745" i="38"/>
  <c r="L744" i="38"/>
  <c r="K744" i="38"/>
  <c r="L743" i="38"/>
  <c r="L742" i="38"/>
  <c r="K742" i="38"/>
  <c r="L741" i="38"/>
  <c r="K741" i="38"/>
  <c r="L740" i="38"/>
  <c r="K740" i="38"/>
  <c r="L739" i="38"/>
  <c r="K739" i="38"/>
  <c r="L738" i="38"/>
  <c r="K738" i="38"/>
  <c r="L737" i="38"/>
  <c r="K737" i="38"/>
  <c r="L736" i="38"/>
  <c r="K736" i="38"/>
  <c r="L735" i="38"/>
  <c r="K735" i="38"/>
  <c r="L734" i="38"/>
  <c r="K734" i="38"/>
  <c r="L733" i="38"/>
  <c r="K733" i="38"/>
  <c r="L732" i="38"/>
  <c r="K732" i="38"/>
  <c r="L731" i="38"/>
  <c r="K731" i="38"/>
  <c r="L730" i="38"/>
  <c r="K730" i="38"/>
  <c r="L729" i="38"/>
  <c r="K729" i="38"/>
  <c r="L728" i="38"/>
  <c r="K728" i="38"/>
  <c r="L727" i="38"/>
  <c r="K727" i="38"/>
  <c r="L726" i="38"/>
  <c r="K726" i="38"/>
  <c r="L725" i="38"/>
  <c r="K725" i="38"/>
  <c r="L724" i="38"/>
  <c r="K724" i="38"/>
  <c r="L723" i="38"/>
  <c r="K723" i="38"/>
  <c r="L722" i="38"/>
  <c r="K722" i="38"/>
  <c r="L721" i="38"/>
  <c r="K721" i="38"/>
  <c r="L720" i="38"/>
  <c r="K720" i="38"/>
  <c r="L719" i="38"/>
  <c r="K719" i="38"/>
  <c r="L718" i="38"/>
  <c r="K718" i="38"/>
  <c r="L717" i="38"/>
  <c r="K717" i="38"/>
  <c r="L716" i="38"/>
  <c r="K716" i="38"/>
  <c r="L715" i="38"/>
  <c r="K715" i="38"/>
  <c r="L714" i="38"/>
  <c r="K714" i="38"/>
  <c r="L713" i="38"/>
  <c r="K713" i="38"/>
  <c r="L712" i="38"/>
  <c r="K712" i="38"/>
  <c r="L711" i="38"/>
  <c r="K711" i="38"/>
  <c r="L710" i="38"/>
  <c r="K710" i="38"/>
  <c r="L709" i="38"/>
  <c r="K709" i="38"/>
  <c r="L708" i="38"/>
  <c r="K708" i="38"/>
  <c r="L707" i="38"/>
  <c r="K707" i="38"/>
  <c r="L706" i="38"/>
  <c r="K706" i="38"/>
  <c r="L705" i="38"/>
  <c r="K705" i="38"/>
  <c r="L704" i="38"/>
  <c r="K704" i="38"/>
  <c r="L703" i="38"/>
  <c r="K703" i="38"/>
  <c r="L702" i="38"/>
  <c r="K702" i="38"/>
  <c r="L701" i="38"/>
  <c r="K701" i="38"/>
  <c r="L700" i="38"/>
  <c r="K700" i="38"/>
  <c r="L699" i="38"/>
  <c r="K699" i="38"/>
  <c r="U675" i="38"/>
  <c r="V675" i="38" s="1"/>
  <c r="W675" i="38" s="1"/>
  <c r="U674" i="38"/>
  <c r="V674" i="38" s="1"/>
  <c r="W674" i="38" s="1"/>
  <c r="H663" i="38"/>
  <c r="I662" i="38"/>
  <c r="K662" i="38" s="1"/>
  <c r="I661" i="38"/>
  <c r="K661" i="38" s="1"/>
  <c r="I660" i="38"/>
  <c r="K660" i="38" s="1"/>
  <c r="I659" i="38"/>
  <c r="K659" i="38" s="1"/>
  <c r="I658" i="38"/>
  <c r="K658" i="38" s="1"/>
  <c r="I657" i="38"/>
  <c r="K657" i="38" s="1"/>
  <c r="I656" i="38"/>
  <c r="K656" i="38" s="1"/>
  <c r="I655" i="38"/>
  <c r="K655" i="38" s="1"/>
  <c r="I654" i="38"/>
  <c r="K654" i="38" s="1"/>
  <c r="I653" i="38"/>
  <c r="K653" i="38" s="1"/>
  <c r="I652" i="38"/>
  <c r="K651" i="38"/>
  <c r="I651" i="38"/>
  <c r="I650" i="38"/>
  <c r="K650" i="38" s="1"/>
  <c r="I649" i="38"/>
  <c r="K649" i="38" s="1"/>
  <c r="I648" i="38"/>
  <c r="K648" i="38" s="1"/>
  <c r="I647" i="38"/>
  <c r="K647" i="38" s="1"/>
  <c r="I646" i="38"/>
  <c r="K646" i="38" s="1"/>
  <c r="I645" i="38"/>
  <c r="K645" i="38" s="1"/>
  <c r="I644" i="38"/>
  <c r="K644" i="38" s="1"/>
  <c r="I643" i="38"/>
  <c r="K643" i="38" s="1"/>
  <c r="I642" i="38"/>
  <c r="K642" i="38" s="1"/>
  <c r="I641" i="38"/>
  <c r="K641" i="38" s="1"/>
  <c r="I640" i="38"/>
  <c r="K640" i="38" s="1"/>
  <c r="I639" i="38"/>
  <c r="K639" i="38" s="1"/>
  <c r="I638" i="38"/>
  <c r="K638" i="38" s="1"/>
  <c r="K637" i="38"/>
  <c r="I637" i="38"/>
  <c r="I636" i="38"/>
  <c r="K636" i="38" s="1"/>
  <c r="I635" i="38"/>
  <c r="K635" i="38" s="1"/>
  <c r="I634" i="38"/>
  <c r="K634" i="38" s="1"/>
  <c r="I633" i="38"/>
  <c r="K633" i="38" s="1"/>
  <c r="I632" i="38"/>
  <c r="K632" i="38" s="1"/>
  <c r="I631" i="38"/>
  <c r="K631" i="38" s="1"/>
  <c r="I630" i="38"/>
  <c r="K630" i="38" s="1"/>
  <c r="I629" i="38"/>
  <c r="K629" i="38" s="1"/>
  <c r="I628" i="38"/>
  <c r="K628" i="38" s="1"/>
  <c r="I627" i="38"/>
  <c r="K627" i="38" s="1"/>
  <c r="I626" i="38"/>
  <c r="K626" i="38" s="1"/>
  <c r="I625" i="38"/>
  <c r="K625" i="38" s="1"/>
  <c r="I624" i="38"/>
  <c r="K624" i="38" s="1"/>
  <c r="K623" i="38"/>
  <c r="I623" i="38"/>
  <c r="I622" i="38"/>
  <c r="K622" i="38" s="1"/>
  <c r="I621" i="38"/>
  <c r="K621" i="38" s="1"/>
  <c r="I620" i="38"/>
  <c r="K620" i="38" s="1"/>
  <c r="I619" i="38"/>
  <c r="K619" i="38" s="1"/>
  <c r="I618" i="38"/>
  <c r="K618" i="38" s="1"/>
  <c r="I617" i="38"/>
  <c r="K617" i="38" s="1"/>
  <c r="I616" i="38"/>
  <c r="K616" i="38" s="1"/>
  <c r="I615" i="38"/>
  <c r="K615" i="38" s="1"/>
  <c r="I614" i="38"/>
  <c r="K614" i="38" s="1"/>
  <c r="I613" i="38"/>
  <c r="K613" i="38" s="1"/>
  <c r="I612" i="38"/>
  <c r="K612" i="38" s="1"/>
  <c r="I611" i="38"/>
  <c r="K611" i="38" s="1"/>
  <c r="I610" i="38"/>
  <c r="K610" i="38" s="1"/>
  <c r="I609" i="38"/>
  <c r="K609" i="38" s="1"/>
  <c r="I608" i="38"/>
  <c r="K608" i="38" s="1"/>
  <c r="I607" i="38"/>
  <c r="K607" i="38" s="1"/>
  <c r="I606" i="38"/>
  <c r="K606" i="38" s="1"/>
  <c r="I605" i="38"/>
  <c r="K605" i="38" s="1"/>
  <c r="I604" i="38"/>
  <c r="K604" i="38" s="1"/>
  <c r="I603" i="38"/>
  <c r="K603" i="38" s="1"/>
  <c r="I602" i="38"/>
  <c r="K602" i="38" s="1"/>
  <c r="I601" i="38"/>
  <c r="K601" i="38" s="1"/>
  <c r="I600" i="38"/>
  <c r="K600" i="38" s="1"/>
  <c r="I599" i="38"/>
  <c r="K599" i="38" s="1"/>
  <c r="I598" i="38"/>
  <c r="K598" i="38" s="1"/>
  <c r="I597" i="38"/>
  <c r="K597" i="38" s="1"/>
  <c r="I596" i="38"/>
  <c r="K596" i="38" s="1"/>
  <c r="I595" i="38"/>
  <c r="K595" i="38" s="1"/>
  <c r="I594" i="38"/>
  <c r="K594" i="38" s="1"/>
  <c r="I593" i="38"/>
  <c r="K593" i="38" s="1"/>
  <c r="I592" i="38"/>
  <c r="K592" i="38" s="1"/>
  <c r="I591" i="38"/>
  <c r="K591" i="38" s="1"/>
  <c r="I590" i="38"/>
  <c r="K590" i="38" s="1"/>
  <c r="I589" i="38"/>
  <c r="K589" i="38" s="1"/>
  <c r="I588" i="38"/>
  <c r="K588" i="38" s="1"/>
  <c r="I587" i="38"/>
  <c r="K587" i="38" s="1"/>
  <c r="I586" i="38"/>
  <c r="K586" i="38" s="1"/>
  <c r="I585" i="38"/>
  <c r="K585" i="38" s="1"/>
  <c r="I584" i="38"/>
  <c r="K584" i="38" s="1"/>
  <c r="I583" i="38"/>
  <c r="K583" i="38" s="1"/>
  <c r="I582" i="38"/>
  <c r="K582" i="38" s="1"/>
  <c r="I581" i="38"/>
  <c r="K581" i="38" s="1"/>
  <c r="I580" i="38"/>
  <c r="K580" i="38" s="1"/>
  <c r="K579" i="38"/>
  <c r="I579" i="38"/>
  <c r="I578" i="38"/>
  <c r="K578" i="38" s="1"/>
  <c r="I577" i="38"/>
  <c r="K577" i="38" s="1"/>
  <c r="I576" i="38"/>
  <c r="K576" i="38" s="1"/>
  <c r="I575" i="38"/>
  <c r="K575" i="38" s="1"/>
  <c r="I574" i="38"/>
  <c r="K574" i="38" s="1"/>
  <c r="I573" i="38"/>
  <c r="K573" i="38" s="1"/>
  <c r="I572" i="38"/>
  <c r="K572" i="38" s="1"/>
  <c r="I571" i="38"/>
  <c r="K571" i="38" s="1"/>
  <c r="I570" i="38"/>
  <c r="K570" i="38" s="1"/>
  <c r="I569" i="38"/>
  <c r="K569" i="38" s="1"/>
  <c r="I568" i="38"/>
  <c r="K568" i="38" s="1"/>
  <c r="S556" i="38"/>
  <c r="S557" i="38" s="1"/>
  <c r="R556" i="38"/>
  <c r="H547" i="38"/>
  <c r="L546" i="38"/>
  <c r="K546" i="38"/>
  <c r="L545" i="38"/>
  <c r="K545" i="38"/>
  <c r="L544" i="38"/>
  <c r="K544" i="38"/>
  <c r="L543" i="38"/>
  <c r="K543" i="38"/>
  <c r="L542" i="38"/>
  <c r="K542" i="38"/>
  <c r="L541" i="38"/>
  <c r="K541" i="38"/>
  <c r="L540" i="38"/>
  <c r="K540" i="38"/>
  <c r="L539" i="38"/>
  <c r="K539" i="38"/>
  <c r="L538" i="38"/>
  <c r="K538" i="38"/>
  <c r="L537" i="38"/>
  <c r="K537" i="38"/>
  <c r="L536" i="38"/>
  <c r="K536" i="38"/>
  <c r="L535" i="38"/>
  <c r="L534" i="38"/>
  <c r="K534" i="38"/>
  <c r="L533" i="38"/>
  <c r="K533" i="38"/>
  <c r="L532" i="38"/>
  <c r="K532" i="38"/>
  <c r="L531" i="38"/>
  <c r="K531" i="38"/>
  <c r="L530" i="38"/>
  <c r="K530" i="38"/>
  <c r="L529" i="38"/>
  <c r="K529" i="38"/>
  <c r="L528" i="38"/>
  <c r="K528" i="38"/>
  <c r="L527" i="38"/>
  <c r="K527" i="38"/>
  <c r="L526" i="38"/>
  <c r="K526" i="38"/>
  <c r="L525" i="38"/>
  <c r="K525" i="38"/>
  <c r="L524" i="38"/>
  <c r="K524" i="38"/>
  <c r="L523" i="38"/>
  <c r="K523" i="38"/>
  <c r="L522" i="38"/>
  <c r="K522" i="38"/>
  <c r="L521" i="38"/>
  <c r="K521" i="38"/>
  <c r="L520" i="38"/>
  <c r="K520" i="38"/>
  <c r="L519" i="38"/>
  <c r="K519" i="38"/>
  <c r="L518" i="38"/>
  <c r="K518" i="38"/>
  <c r="L517" i="38"/>
  <c r="K517" i="38"/>
  <c r="L516" i="38"/>
  <c r="K516" i="38"/>
  <c r="L515" i="38"/>
  <c r="K515" i="38"/>
  <c r="L514" i="38"/>
  <c r="K514" i="38"/>
  <c r="L513" i="38"/>
  <c r="K513" i="38"/>
  <c r="L512" i="38"/>
  <c r="K512" i="38"/>
  <c r="L511" i="38"/>
  <c r="K511" i="38"/>
  <c r="L510" i="38"/>
  <c r="K510" i="38"/>
  <c r="L509" i="38"/>
  <c r="K509" i="38"/>
  <c r="L508" i="38"/>
  <c r="K508" i="38"/>
  <c r="L507" i="38"/>
  <c r="K507" i="38"/>
  <c r="L506" i="38"/>
  <c r="K506" i="38"/>
  <c r="L505" i="38"/>
  <c r="K505" i="38"/>
  <c r="L504" i="38"/>
  <c r="K504" i="38"/>
  <c r="L503" i="38"/>
  <c r="K503" i="38"/>
  <c r="L502" i="38"/>
  <c r="K502" i="38"/>
  <c r="L501" i="38"/>
  <c r="K501" i="38"/>
  <c r="L500" i="38"/>
  <c r="K500" i="38"/>
  <c r="L499" i="38"/>
  <c r="K499" i="38"/>
  <c r="L498" i="38"/>
  <c r="K498" i="38"/>
  <c r="L497" i="38"/>
  <c r="K497" i="38"/>
  <c r="L496" i="38"/>
  <c r="K496" i="38"/>
  <c r="L495" i="38"/>
  <c r="K495" i="38"/>
  <c r="L494" i="38"/>
  <c r="K494" i="38"/>
  <c r="L493" i="38"/>
  <c r="K493" i="38"/>
  <c r="L492" i="38"/>
  <c r="K492" i="38"/>
  <c r="L491" i="38"/>
  <c r="K491" i="38"/>
  <c r="L490" i="38"/>
  <c r="K490" i="38"/>
  <c r="L489" i="38"/>
  <c r="K489" i="38"/>
  <c r="L488" i="38"/>
  <c r="K488" i="38"/>
  <c r="L487" i="38"/>
  <c r="K487" i="38"/>
  <c r="L486" i="38"/>
  <c r="K486" i="38"/>
  <c r="L485" i="38"/>
  <c r="K485" i="38"/>
  <c r="L484" i="38"/>
  <c r="K484" i="38"/>
  <c r="L483" i="38"/>
  <c r="K483" i="38"/>
  <c r="L482" i="38"/>
  <c r="K482" i="38"/>
  <c r="L481" i="38"/>
  <c r="K481" i="38"/>
  <c r="L480" i="38"/>
  <c r="K480" i="38"/>
  <c r="L479" i="38"/>
  <c r="K479" i="38"/>
  <c r="L478" i="38"/>
  <c r="K478" i="38"/>
  <c r="L477" i="38"/>
  <c r="K477" i="38"/>
  <c r="L476" i="38"/>
  <c r="K476" i="38"/>
  <c r="L475" i="38"/>
  <c r="K475" i="38"/>
  <c r="L474" i="38"/>
  <c r="K474" i="38"/>
  <c r="L473" i="38"/>
  <c r="K473" i="38"/>
  <c r="L472" i="38"/>
  <c r="K472" i="38"/>
  <c r="L471" i="38"/>
  <c r="K471" i="38"/>
  <c r="L470" i="38"/>
  <c r="K470" i="38"/>
  <c r="L469" i="38"/>
  <c r="K469" i="38"/>
  <c r="L468" i="38"/>
  <c r="K468" i="38"/>
  <c r="L467" i="38"/>
  <c r="K467" i="38"/>
  <c r="L466" i="38"/>
  <c r="K466" i="38"/>
  <c r="L465" i="38"/>
  <c r="K465" i="38"/>
  <c r="L464" i="38"/>
  <c r="K464" i="38"/>
  <c r="L463" i="38"/>
  <c r="K463" i="38"/>
  <c r="L462" i="38"/>
  <c r="K462" i="38"/>
  <c r="L461" i="38"/>
  <c r="K461" i="38"/>
  <c r="L460" i="38"/>
  <c r="K460" i="38"/>
  <c r="L459" i="38"/>
  <c r="K459" i="38"/>
  <c r="L458" i="38"/>
  <c r="K458" i="38"/>
  <c r="L457" i="38"/>
  <c r="K457" i="38"/>
  <c r="L456" i="38"/>
  <c r="K456" i="38"/>
  <c r="L455" i="38"/>
  <c r="K455" i="38"/>
  <c r="L454" i="38"/>
  <c r="K454" i="38"/>
  <c r="L453" i="38"/>
  <c r="K453" i="38"/>
  <c r="L452" i="38"/>
  <c r="K452" i="38"/>
  <c r="L451" i="38"/>
  <c r="K451" i="38"/>
  <c r="L450" i="38"/>
  <c r="K450" i="38"/>
  <c r="L449" i="38"/>
  <c r="K449" i="38"/>
  <c r="L448" i="38"/>
  <c r="K448" i="38"/>
  <c r="L447" i="38"/>
  <c r="K447" i="38"/>
  <c r="L446" i="38"/>
  <c r="K446" i="38"/>
  <c r="L445" i="38"/>
  <c r="K445" i="38"/>
  <c r="L444" i="38"/>
  <c r="K444" i="38"/>
  <c r="L443" i="38"/>
  <c r="K443" i="38"/>
  <c r="L442" i="38"/>
  <c r="K442" i="38"/>
  <c r="L441" i="38"/>
  <c r="K441" i="38"/>
  <c r="L440" i="38"/>
  <c r="K440" i="38"/>
  <c r="L439" i="38"/>
  <c r="K439" i="38"/>
  <c r="L438" i="38"/>
  <c r="K438" i="38"/>
  <c r="U419" i="38"/>
  <c r="V419" i="38" s="1"/>
  <c r="U417" i="38"/>
  <c r="V417" i="38" s="1"/>
  <c r="R413" i="38"/>
  <c r="V413" i="38" s="1"/>
  <c r="U412" i="38"/>
  <c r="R412" i="38"/>
  <c r="V412" i="38" s="1"/>
  <c r="H403" i="38"/>
  <c r="L402" i="38"/>
  <c r="K402" i="38"/>
  <c r="L401" i="38"/>
  <c r="K401" i="38"/>
  <c r="L400" i="38"/>
  <c r="K400" i="38"/>
  <c r="L399" i="38"/>
  <c r="K399" i="38"/>
  <c r="L398" i="38"/>
  <c r="K398" i="38"/>
  <c r="L397" i="38"/>
  <c r="K397" i="38"/>
  <c r="L396" i="38"/>
  <c r="K396" i="38"/>
  <c r="L395" i="38"/>
  <c r="K395" i="38"/>
  <c r="L394" i="38"/>
  <c r="K394" i="38"/>
  <c r="L393" i="38"/>
  <c r="K393" i="38"/>
  <c r="L392" i="38"/>
  <c r="K392" i="38"/>
  <c r="L391" i="38"/>
  <c r="L390" i="38"/>
  <c r="L389" i="38"/>
  <c r="K389" i="38"/>
  <c r="L388" i="38"/>
  <c r="K388" i="38"/>
  <c r="L387" i="38"/>
  <c r="K387" i="38"/>
  <c r="L386" i="38"/>
  <c r="K386" i="38"/>
  <c r="L385" i="38"/>
  <c r="K385" i="38"/>
  <c r="L384" i="38"/>
  <c r="K384" i="38"/>
  <c r="L383" i="38"/>
  <c r="K383" i="38"/>
  <c r="L382" i="38"/>
  <c r="K382" i="38"/>
  <c r="L381" i="38"/>
  <c r="K381" i="38"/>
  <c r="L380" i="38"/>
  <c r="K380" i="38"/>
  <c r="L379" i="38"/>
  <c r="K379" i="38"/>
  <c r="L378" i="38"/>
  <c r="K378" i="38"/>
  <c r="L377" i="38"/>
  <c r="K377" i="38"/>
  <c r="L376" i="38"/>
  <c r="K376" i="38"/>
  <c r="L375" i="38"/>
  <c r="K375" i="38"/>
  <c r="L374" i="38"/>
  <c r="K374" i="38"/>
  <c r="L373" i="38"/>
  <c r="K373" i="38"/>
  <c r="L372" i="38"/>
  <c r="K372" i="38"/>
  <c r="L371" i="38"/>
  <c r="K371" i="38"/>
  <c r="L370" i="38"/>
  <c r="K370" i="38"/>
  <c r="L369" i="38"/>
  <c r="K369" i="38"/>
  <c r="L368" i="38"/>
  <c r="K368" i="38"/>
  <c r="L367" i="38"/>
  <c r="K367" i="38"/>
  <c r="L366" i="38"/>
  <c r="K366" i="38"/>
  <c r="L365" i="38"/>
  <c r="K365" i="38"/>
  <c r="L364" i="38"/>
  <c r="K364" i="38"/>
  <c r="L363" i="38"/>
  <c r="K363" i="38"/>
  <c r="L362" i="38"/>
  <c r="K362" i="38"/>
  <c r="L361" i="38"/>
  <c r="K361" i="38"/>
  <c r="L360" i="38"/>
  <c r="K360" i="38"/>
  <c r="L359" i="38"/>
  <c r="K359" i="38"/>
  <c r="L358" i="38"/>
  <c r="K358" i="38"/>
  <c r="L357" i="38"/>
  <c r="K357" i="38"/>
  <c r="L356" i="38"/>
  <c r="K356" i="38"/>
  <c r="L355" i="38"/>
  <c r="K355" i="38"/>
  <c r="L354" i="38"/>
  <c r="K354" i="38"/>
  <c r="L353" i="38"/>
  <c r="K353" i="38"/>
  <c r="L352" i="38"/>
  <c r="K352" i="38"/>
  <c r="L351" i="38"/>
  <c r="K351" i="38"/>
  <c r="L350" i="38"/>
  <c r="K350" i="38"/>
  <c r="L349" i="38"/>
  <c r="K349" i="38"/>
  <c r="L348" i="38"/>
  <c r="K348" i="38"/>
  <c r="L347" i="38"/>
  <c r="K347" i="38"/>
  <c r="L346" i="38"/>
  <c r="K346" i="38"/>
  <c r="L345" i="38"/>
  <c r="K345" i="38"/>
  <c r="L344" i="38"/>
  <c r="K344" i="38"/>
  <c r="L343" i="38"/>
  <c r="K343" i="38"/>
  <c r="L342" i="38"/>
  <c r="K342" i="38"/>
  <c r="L341" i="38"/>
  <c r="K341" i="38"/>
  <c r="L340" i="38"/>
  <c r="K340" i="38"/>
  <c r="L339" i="38"/>
  <c r="K339" i="38"/>
  <c r="L338" i="38"/>
  <c r="K338" i="38"/>
  <c r="L337" i="38"/>
  <c r="K337" i="38"/>
  <c r="L336" i="38"/>
  <c r="K336" i="38"/>
  <c r="L335" i="38"/>
  <c r="K335" i="38"/>
  <c r="L334" i="38"/>
  <c r="K334" i="38"/>
  <c r="L333" i="38"/>
  <c r="K333" i="38"/>
  <c r="L332" i="38"/>
  <c r="K332" i="38"/>
  <c r="L331" i="38"/>
  <c r="K331" i="38"/>
  <c r="L330" i="38"/>
  <c r="K330" i="38"/>
  <c r="L329" i="38"/>
  <c r="K329" i="38"/>
  <c r="L328" i="38"/>
  <c r="K328" i="38"/>
  <c r="L327" i="38"/>
  <c r="K327" i="38"/>
  <c r="L326" i="38"/>
  <c r="K326" i="38"/>
  <c r="L325" i="38"/>
  <c r="K325" i="38"/>
  <c r="L324" i="38"/>
  <c r="K324" i="38"/>
  <c r="L323" i="38"/>
  <c r="K323" i="38"/>
  <c r="L322" i="38"/>
  <c r="K322" i="38"/>
  <c r="L321" i="38"/>
  <c r="K321" i="38"/>
  <c r="L320" i="38"/>
  <c r="K320" i="38"/>
  <c r="L319" i="38"/>
  <c r="K319" i="38"/>
  <c r="L318" i="38"/>
  <c r="K318" i="38"/>
  <c r="L317" i="38"/>
  <c r="K317" i="38"/>
  <c r="L316" i="38"/>
  <c r="K316" i="38"/>
  <c r="K283" i="38"/>
  <c r="J283" i="38"/>
  <c r="K282" i="38"/>
  <c r="J282" i="38"/>
  <c r="K281" i="38"/>
  <c r="J281" i="38"/>
  <c r="K280" i="38"/>
  <c r="J280" i="38"/>
  <c r="K279" i="38"/>
  <c r="J279" i="38"/>
  <c r="O278" i="38"/>
  <c r="K278" i="38"/>
  <c r="L278" i="38" s="1"/>
  <c r="J278" i="38"/>
  <c r="K277" i="38"/>
  <c r="J277" i="38"/>
  <c r="H274" i="38"/>
  <c r="L273" i="38"/>
  <c r="K273" i="38"/>
  <c r="L272" i="38"/>
  <c r="K272" i="38"/>
  <c r="L271" i="38"/>
  <c r="K271" i="38"/>
  <c r="L270" i="38"/>
  <c r="K270" i="38"/>
  <c r="L269" i="38"/>
  <c r="K269" i="38"/>
  <c r="L268" i="38"/>
  <c r="K268" i="38"/>
  <c r="L267" i="38"/>
  <c r="K267" i="38"/>
  <c r="L266" i="38"/>
  <c r="K266" i="38"/>
  <c r="L265" i="38"/>
  <c r="K265" i="38"/>
  <c r="L264" i="38"/>
  <c r="L263" i="38"/>
  <c r="K263" i="38"/>
  <c r="L262" i="38"/>
  <c r="K262" i="38"/>
  <c r="L261" i="38"/>
  <c r="K261" i="38"/>
  <c r="L260" i="38"/>
  <c r="K260" i="38"/>
  <c r="L259" i="38"/>
  <c r="K259" i="38"/>
  <c r="L258" i="38"/>
  <c r="K258" i="38"/>
  <c r="L257" i="38"/>
  <c r="K257" i="38"/>
  <c r="L256" i="38"/>
  <c r="K256" i="38"/>
  <c r="L255" i="38"/>
  <c r="K255" i="38"/>
  <c r="L254" i="38"/>
  <c r="K254" i="38"/>
  <c r="L253" i="38"/>
  <c r="K253" i="38"/>
  <c r="L252" i="38"/>
  <c r="K252" i="38"/>
  <c r="L251" i="38"/>
  <c r="K251" i="38"/>
  <c r="L250" i="38"/>
  <c r="K250" i="38"/>
  <c r="L249" i="38"/>
  <c r="K249" i="38"/>
  <c r="L248" i="38"/>
  <c r="K248" i="38"/>
  <c r="L247" i="38"/>
  <c r="K247" i="38"/>
  <c r="L246" i="38"/>
  <c r="K246" i="38"/>
  <c r="L245" i="38"/>
  <c r="K245" i="38"/>
  <c r="L244" i="38"/>
  <c r="K244" i="38"/>
  <c r="L243" i="38"/>
  <c r="K243" i="38"/>
  <c r="L242" i="38"/>
  <c r="K242" i="38"/>
  <c r="L241" i="38"/>
  <c r="K241" i="38"/>
  <c r="L240" i="38"/>
  <c r="K240" i="38"/>
  <c r="L239" i="38"/>
  <c r="K239" i="38"/>
  <c r="L238" i="38"/>
  <c r="K238" i="38"/>
  <c r="L237" i="38"/>
  <c r="K237" i="38"/>
  <c r="L236" i="38"/>
  <c r="K236" i="38"/>
  <c r="L235" i="38"/>
  <c r="K235" i="38"/>
  <c r="L234" i="38"/>
  <c r="K234" i="38"/>
  <c r="L233" i="38"/>
  <c r="K233" i="38"/>
  <c r="L232" i="38"/>
  <c r="K232" i="38"/>
  <c r="L231" i="38"/>
  <c r="K231" i="38"/>
  <c r="L230" i="38"/>
  <c r="K230" i="38"/>
  <c r="L229" i="38"/>
  <c r="K229" i="38"/>
  <c r="L228" i="38"/>
  <c r="K228" i="38"/>
  <c r="L227" i="38"/>
  <c r="K227" i="38"/>
  <c r="L226" i="38"/>
  <c r="K226" i="38"/>
  <c r="L225" i="38"/>
  <c r="K225" i="38"/>
  <c r="L224" i="38"/>
  <c r="K224" i="38"/>
  <c r="L223" i="38"/>
  <c r="K223" i="38"/>
  <c r="L222" i="38"/>
  <c r="K222" i="38"/>
  <c r="L221" i="38"/>
  <c r="K221" i="38"/>
  <c r="L220" i="38"/>
  <c r="K220" i="38"/>
  <c r="L219" i="38"/>
  <c r="K219" i="38"/>
  <c r="L218" i="38"/>
  <c r="K218" i="38"/>
  <c r="L217" i="38"/>
  <c r="K217" i="38"/>
  <c r="L216" i="38"/>
  <c r="K216" i="38"/>
  <c r="L215" i="38"/>
  <c r="K215" i="38"/>
  <c r="L214" i="38"/>
  <c r="K214" i="38"/>
  <c r="L213" i="38"/>
  <c r="K213" i="38"/>
  <c r="L212" i="38"/>
  <c r="K212" i="38"/>
  <c r="L211" i="38"/>
  <c r="K211" i="38"/>
  <c r="L210" i="38"/>
  <c r="K210" i="38"/>
  <c r="L209" i="38"/>
  <c r="K209" i="38"/>
  <c r="L208" i="38"/>
  <c r="K208" i="38"/>
  <c r="L207" i="38"/>
  <c r="K207" i="38"/>
  <c r="L206" i="38"/>
  <c r="K206" i="38"/>
  <c r="L205" i="38"/>
  <c r="K205" i="38"/>
  <c r="L204" i="38"/>
  <c r="K204" i="38"/>
  <c r="L203" i="38"/>
  <c r="K203" i="38"/>
  <c r="L202" i="38"/>
  <c r="K202" i="38"/>
  <c r="L201" i="38"/>
  <c r="K201" i="38"/>
  <c r="L200" i="38"/>
  <c r="K200" i="38"/>
  <c r="L199" i="38"/>
  <c r="K199" i="38"/>
  <c r="L198" i="38"/>
  <c r="K198" i="38"/>
  <c r="L197" i="38"/>
  <c r="K197" i="38"/>
  <c r="L196" i="38"/>
  <c r="K196" i="38"/>
  <c r="L195" i="38"/>
  <c r="K195" i="38"/>
  <c r="L194" i="38"/>
  <c r="K194" i="38"/>
  <c r="L193" i="38"/>
  <c r="K193" i="38"/>
  <c r="L192" i="38"/>
  <c r="K192" i="38"/>
  <c r="L191" i="38"/>
  <c r="K191" i="38"/>
  <c r="H185" i="38"/>
  <c r="L184" i="38"/>
  <c r="K184" i="38"/>
  <c r="L183" i="38"/>
  <c r="K183" i="38"/>
  <c r="L182" i="38"/>
  <c r="K182" i="38"/>
  <c r="L181" i="38"/>
  <c r="K181" i="38"/>
  <c r="L180" i="38"/>
  <c r="K180" i="38"/>
  <c r="L179" i="38"/>
  <c r="K179" i="38"/>
  <c r="L178" i="38"/>
  <c r="K178" i="38"/>
  <c r="L177" i="38"/>
  <c r="K177" i="38"/>
  <c r="L176" i="38"/>
  <c r="K176" i="38"/>
  <c r="L175" i="38"/>
  <c r="K175" i="38"/>
  <c r="L174" i="38"/>
  <c r="K174" i="38"/>
  <c r="L173" i="38"/>
  <c r="K173" i="38"/>
  <c r="L172" i="38"/>
  <c r="K172" i="38"/>
  <c r="L171" i="38"/>
  <c r="K171" i="38"/>
  <c r="L170" i="38"/>
  <c r="K170" i="38"/>
  <c r="L169" i="38"/>
  <c r="K169" i="38"/>
  <c r="L168" i="38"/>
  <c r="K168" i="38"/>
  <c r="L167" i="38"/>
  <c r="K167" i="38"/>
  <c r="L166" i="38"/>
  <c r="K166" i="38"/>
  <c r="L165" i="38"/>
  <c r="K165" i="38"/>
  <c r="L164" i="38"/>
  <c r="K164" i="38"/>
  <c r="L163" i="38"/>
  <c r="K163" i="38"/>
  <c r="L162" i="38"/>
  <c r="K162" i="38"/>
  <c r="L161" i="38"/>
  <c r="K161" i="38"/>
  <c r="L160" i="38"/>
  <c r="K160" i="38"/>
  <c r="L159" i="38"/>
  <c r="K159" i="38"/>
  <c r="L158" i="38"/>
  <c r="K158" i="38"/>
  <c r="L157" i="38"/>
  <c r="K157" i="38"/>
  <c r="L156" i="38"/>
  <c r="K156" i="38"/>
  <c r="L155" i="38"/>
  <c r="K155" i="38"/>
  <c r="L154" i="38"/>
  <c r="K154" i="38"/>
  <c r="L153" i="38"/>
  <c r="K153" i="38"/>
  <c r="L152" i="38"/>
  <c r="K152" i="38"/>
  <c r="L151" i="38"/>
  <c r="K151" i="38"/>
  <c r="L150" i="38"/>
  <c r="K150" i="38"/>
  <c r="L149" i="38"/>
  <c r="K149" i="38"/>
  <c r="L148" i="38"/>
  <c r="K148" i="38"/>
  <c r="L147" i="38"/>
  <c r="K147" i="38"/>
  <c r="L146" i="38"/>
  <c r="K146" i="38"/>
  <c r="L145" i="38"/>
  <c r="K145" i="38"/>
  <c r="L144" i="38"/>
  <c r="K144" i="38"/>
  <c r="L143" i="38"/>
  <c r="K143" i="38"/>
  <c r="L142" i="38"/>
  <c r="K142" i="38"/>
  <c r="L141" i="38"/>
  <c r="K141" i="38"/>
  <c r="L140" i="38"/>
  <c r="K140" i="38"/>
  <c r="L139" i="38"/>
  <c r="K139" i="38"/>
  <c r="L138" i="38"/>
  <c r="K138" i="38"/>
  <c r="L137" i="38"/>
  <c r="K137" i="38"/>
  <c r="L136" i="38"/>
  <c r="K136" i="38"/>
  <c r="L135" i="38"/>
  <c r="K135" i="38"/>
  <c r="L134" i="38"/>
  <c r="K134" i="38"/>
  <c r="L133" i="38"/>
  <c r="K133" i="38"/>
  <c r="L132" i="38"/>
  <c r="K132" i="38"/>
  <c r="L131" i="38"/>
  <c r="K131" i="38"/>
  <c r="L130" i="38"/>
  <c r="K130" i="38"/>
  <c r="L129" i="38"/>
  <c r="K129" i="38"/>
  <c r="L128" i="38"/>
  <c r="K128" i="38"/>
  <c r="L127" i="38"/>
  <c r="K127" i="38"/>
  <c r="L126" i="38"/>
  <c r="K126" i="38"/>
  <c r="L125" i="38"/>
  <c r="K125" i="38"/>
  <c r="L124" i="38"/>
  <c r="K124" i="38"/>
  <c r="L123" i="38"/>
  <c r="K123" i="38"/>
  <c r="L122" i="38"/>
  <c r="K122" i="38"/>
  <c r="L121" i="38"/>
  <c r="K121" i="38"/>
  <c r="L120" i="38"/>
  <c r="K120" i="38"/>
  <c r="L119" i="38"/>
  <c r="K119" i="38"/>
  <c r="L118" i="38"/>
  <c r="K118" i="38"/>
  <c r="L117" i="38"/>
  <c r="K117" i="38"/>
  <c r="L116" i="38"/>
  <c r="K116" i="38"/>
  <c r="L115" i="38"/>
  <c r="K115" i="38"/>
  <c r="H103" i="38"/>
  <c r="O57" i="38"/>
  <c r="Q57" i="38" s="1"/>
  <c r="K55" i="38"/>
  <c r="K103" i="38" s="1"/>
  <c r="D19" i="37"/>
  <c r="C19" i="37"/>
  <c r="I18" i="37"/>
  <c r="E18" i="37"/>
  <c r="I17" i="37"/>
  <c r="E17" i="37"/>
  <c r="I16" i="37"/>
  <c r="E16" i="37"/>
  <c r="I15" i="37"/>
  <c r="E15" i="37"/>
  <c r="I2" i="37"/>
  <c r="E528" i="36"/>
  <c r="H528" i="36" s="1"/>
  <c r="E527" i="36"/>
  <c r="H527" i="36" s="1"/>
  <c r="E526" i="36"/>
  <c r="H526" i="36" s="1"/>
  <c r="F525" i="36"/>
  <c r="E525" i="36"/>
  <c r="H525" i="36" s="1"/>
  <c r="O437" i="36"/>
  <c r="K436" i="36"/>
  <c r="K435" i="36"/>
  <c r="K434" i="36"/>
  <c r="K433" i="36"/>
  <c r="K432" i="36"/>
  <c r="K431" i="36"/>
  <c r="K430" i="36"/>
  <c r="K429" i="36"/>
  <c r="O428" i="36"/>
  <c r="K427" i="36"/>
  <c r="K426" i="36"/>
  <c r="K425" i="36"/>
  <c r="K424" i="36"/>
  <c r="K423" i="36"/>
  <c r="K422" i="36"/>
  <c r="K421" i="36"/>
  <c r="K420" i="36"/>
  <c r="K419" i="36"/>
  <c r="K418" i="36"/>
  <c r="K417" i="36"/>
  <c r="K416" i="36"/>
  <c r="K415" i="36"/>
  <c r="K414" i="36"/>
  <c r="K413" i="36"/>
  <c r="K412" i="36"/>
  <c r="K411" i="36"/>
  <c r="K410" i="36"/>
  <c r="K409" i="36"/>
  <c r="K408" i="36"/>
  <c r="K407" i="36"/>
  <c r="K406" i="36"/>
  <c r="K405" i="36"/>
  <c r="K404" i="36"/>
  <c r="K403" i="36"/>
  <c r="K402" i="36"/>
  <c r="K401" i="36"/>
  <c r="K400" i="36"/>
  <c r="K399" i="36"/>
  <c r="K398" i="36"/>
  <c r="K397" i="36"/>
  <c r="K396" i="36"/>
  <c r="K395" i="36"/>
  <c r="K394" i="36"/>
  <c r="K393" i="36"/>
  <c r="K392" i="36"/>
  <c r="K391" i="36"/>
  <c r="K390" i="36"/>
  <c r="K389" i="36"/>
  <c r="K388" i="36"/>
  <c r="K387" i="36"/>
  <c r="K386" i="36"/>
  <c r="K385" i="36"/>
  <c r="K384" i="36"/>
  <c r="K383" i="36"/>
  <c r="K382" i="36"/>
  <c r="K381" i="36"/>
  <c r="K380" i="36"/>
  <c r="K379" i="36"/>
  <c r="K378" i="36"/>
  <c r="K377" i="36"/>
  <c r="K376" i="36"/>
  <c r="K375" i="36"/>
  <c r="K374" i="36"/>
  <c r="K373" i="36"/>
  <c r="K372" i="36"/>
  <c r="K371" i="36"/>
  <c r="K370" i="36"/>
  <c r="K369" i="36"/>
  <c r="K368" i="36"/>
  <c r="K367" i="36"/>
  <c r="K366" i="36"/>
  <c r="K365" i="36"/>
  <c r="K364" i="36"/>
  <c r="K363" i="36"/>
  <c r="K362" i="36"/>
  <c r="K361" i="36"/>
  <c r="K360" i="36"/>
  <c r="K359" i="36"/>
  <c r="K358" i="36"/>
  <c r="O357" i="36"/>
  <c r="K356" i="36"/>
  <c r="K355" i="36"/>
  <c r="K354" i="36"/>
  <c r="K353" i="36"/>
  <c r="K352" i="36"/>
  <c r="K351" i="36"/>
  <c r="K350" i="36"/>
  <c r="K349" i="36"/>
  <c r="K348" i="36"/>
  <c r="K347" i="36"/>
  <c r="K346" i="36"/>
  <c r="K345" i="36"/>
  <c r="K344" i="36"/>
  <c r="K343" i="36"/>
  <c r="K342" i="36"/>
  <c r="K341" i="36"/>
  <c r="K340" i="36"/>
  <c r="K339" i="36"/>
  <c r="K338" i="36"/>
  <c r="K337" i="36"/>
  <c r="K336" i="36"/>
  <c r="K335" i="36"/>
  <c r="K334" i="36"/>
  <c r="K333" i="36"/>
  <c r="K332" i="36"/>
  <c r="K331" i="36"/>
  <c r="K330" i="36"/>
  <c r="K329" i="36"/>
  <c r="K328" i="36"/>
  <c r="K327" i="36"/>
  <c r="K326" i="36"/>
  <c r="K325" i="36"/>
  <c r="K324" i="36"/>
  <c r="K323" i="36"/>
  <c r="K322" i="36"/>
  <c r="K321" i="36"/>
  <c r="K320" i="36"/>
  <c r="K319" i="36"/>
  <c r="K318" i="36"/>
  <c r="K317" i="36"/>
  <c r="K316" i="36"/>
  <c r="K315" i="36"/>
  <c r="K314" i="36"/>
  <c r="K313" i="36"/>
  <c r="K312" i="36"/>
  <c r="K311" i="36"/>
  <c r="K310" i="36"/>
  <c r="K309" i="36"/>
  <c r="K308" i="36"/>
  <c r="K307" i="36"/>
  <c r="K306" i="36"/>
  <c r="K305" i="36"/>
  <c r="K304" i="36"/>
  <c r="K303" i="36"/>
  <c r="K302" i="36"/>
  <c r="K301" i="36"/>
  <c r="K300" i="36"/>
  <c r="K299" i="36"/>
  <c r="K298" i="36"/>
  <c r="K297" i="36"/>
  <c r="K296" i="36"/>
  <c r="K295" i="36"/>
  <c r="K294" i="36"/>
  <c r="K293" i="36"/>
  <c r="K292" i="36"/>
  <c r="K291" i="36"/>
  <c r="K290" i="36"/>
  <c r="K289" i="36"/>
  <c r="K288" i="36"/>
  <c r="K287" i="36"/>
  <c r="K286" i="36"/>
  <c r="K285" i="36"/>
  <c r="K284" i="36"/>
  <c r="K283" i="36"/>
  <c r="K282" i="36"/>
  <c r="K281" i="36"/>
  <c r="K280" i="36"/>
  <c r="K279" i="36"/>
  <c r="K278" i="36"/>
  <c r="K277" i="36"/>
  <c r="K276" i="36"/>
  <c r="K275" i="36"/>
  <c r="K274" i="36"/>
  <c r="K273" i="36"/>
  <c r="K272" i="36"/>
  <c r="K271" i="36"/>
  <c r="K270" i="36"/>
  <c r="K269" i="36"/>
  <c r="K268" i="36"/>
  <c r="K267" i="36"/>
  <c r="K266" i="36"/>
  <c r="K265" i="36"/>
  <c r="K264" i="36"/>
  <c r="K263" i="36"/>
  <c r="K262" i="36"/>
  <c r="K261" i="36"/>
  <c r="K260" i="36"/>
  <c r="K259" i="36"/>
  <c r="K258" i="36"/>
  <c r="K257" i="36"/>
  <c r="K256" i="36"/>
  <c r="K255" i="36"/>
  <c r="K254" i="36"/>
  <c r="K253" i="36"/>
  <c r="K252" i="36"/>
  <c r="K251" i="36"/>
  <c r="K250" i="36"/>
  <c r="K249" i="36"/>
  <c r="K248" i="36"/>
  <c r="K247" i="36"/>
  <c r="K246" i="36"/>
  <c r="K245" i="36"/>
  <c r="K244" i="36"/>
  <c r="K243" i="36"/>
  <c r="K242" i="36"/>
  <c r="K241" i="36"/>
  <c r="K240" i="36"/>
  <c r="K239" i="36"/>
  <c r="K238" i="36"/>
  <c r="K237" i="36"/>
  <c r="K236" i="36"/>
  <c r="K235" i="36"/>
  <c r="K234" i="36"/>
  <c r="K233" i="36"/>
  <c r="K232" i="36"/>
  <c r="K231" i="36"/>
  <c r="K230" i="36"/>
  <c r="K229" i="36"/>
  <c r="K228" i="36"/>
  <c r="K227" i="36"/>
  <c r="K226" i="36"/>
  <c r="K225" i="36"/>
  <c r="K224" i="36"/>
  <c r="K223" i="36"/>
  <c r="K222" i="36"/>
  <c r="K221" i="36"/>
  <c r="K220" i="36"/>
  <c r="K219" i="36"/>
  <c r="K218" i="36"/>
  <c r="K217" i="36"/>
  <c r="K216" i="36"/>
  <c r="K215" i="36"/>
  <c r="O214" i="36"/>
  <c r="O438" i="36" s="1"/>
  <c r="K213" i="36"/>
  <c r="K212" i="36"/>
  <c r="K211" i="36"/>
  <c r="K210" i="36"/>
  <c r="K209" i="36"/>
  <c r="K208" i="36"/>
  <c r="K207" i="36"/>
  <c r="K206" i="36"/>
  <c r="K205" i="36"/>
  <c r="K204" i="36"/>
  <c r="K203" i="36"/>
  <c r="K202" i="36"/>
  <c r="K201" i="36"/>
  <c r="K200" i="36"/>
  <c r="K199" i="36"/>
  <c r="K198" i="36"/>
  <c r="K197" i="36"/>
  <c r="K196" i="36"/>
  <c r="K195" i="36"/>
  <c r="K194" i="36"/>
  <c r="K193" i="36"/>
  <c r="K192" i="36"/>
  <c r="K191" i="36"/>
  <c r="K190" i="36"/>
  <c r="K189" i="36"/>
  <c r="K188" i="36"/>
  <c r="K187" i="36"/>
  <c r="K186" i="36"/>
  <c r="K185" i="36"/>
  <c r="K184" i="36"/>
  <c r="K183" i="36"/>
  <c r="K182" i="36"/>
  <c r="K181" i="36"/>
  <c r="K180" i="36"/>
  <c r="K179" i="36"/>
  <c r="K178" i="36"/>
  <c r="K177" i="36"/>
  <c r="K176" i="36"/>
  <c r="K175" i="36"/>
  <c r="K174" i="36"/>
  <c r="K173" i="36"/>
  <c r="K172" i="36"/>
  <c r="K171" i="36"/>
  <c r="K170" i="36"/>
  <c r="K169" i="36"/>
  <c r="K168" i="36"/>
  <c r="K167" i="36"/>
  <c r="K166" i="36"/>
  <c r="K165" i="36"/>
  <c r="K164" i="36"/>
  <c r="K163" i="36"/>
  <c r="K162" i="36"/>
  <c r="K161" i="36"/>
  <c r="K160" i="36"/>
  <c r="K159" i="36"/>
  <c r="K158" i="36"/>
  <c r="K157" i="36"/>
  <c r="K156" i="36"/>
  <c r="K155" i="36"/>
  <c r="K154" i="36"/>
  <c r="K153" i="36"/>
  <c r="K152" i="36"/>
  <c r="K151" i="36"/>
  <c r="K150" i="36"/>
  <c r="K149" i="36"/>
  <c r="K148" i="36"/>
  <c r="K147" i="36"/>
  <c r="K146" i="36"/>
  <c r="K145" i="36"/>
  <c r="K144" i="36"/>
  <c r="K143" i="36"/>
  <c r="K142" i="36"/>
  <c r="K141" i="36"/>
  <c r="K140" i="36"/>
  <c r="K139" i="36"/>
  <c r="K138" i="36"/>
  <c r="K137" i="36"/>
  <c r="K136" i="36"/>
  <c r="K135" i="36"/>
  <c r="K134" i="36"/>
  <c r="K133" i="36"/>
  <c r="K132" i="36"/>
  <c r="K131" i="36"/>
  <c r="K130" i="36"/>
  <c r="K129" i="36"/>
  <c r="K128" i="36"/>
  <c r="K127" i="36"/>
  <c r="K126" i="36"/>
  <c r="K125" i="36"/>
  <c r="K124" i="36"/>
  <c r="K123" i="36"/>
  <c r="K122" i="36"/>
  <c r="K121" i="36"/>
  <c r="K120" i="36"/>
  <c r="K119" i="36"/>
  <c r="K118" i="36"/>
  <c r="K117" i="36"/>
  <c r="K116" i="36"/>
  <c r="K115" i="36"/>
  <c r="K114" i="36"/>
  <c r="K113" i="36"/>
  <c r="K112" i="36"/>
  <c r="K111" i="36"/>
  <c r="K110" i="36"/>
  <c r="K109" i="36"/>
  <c r="K108" i="36"/>
  <c r="K107" i="36"/>
  <c r="K106" i="36"/>
  <c r="K105" i="36"/>
  <c r="K104" i="36"/>
  <c r="K103" i="36"/>
  <c r="K102" i="36"/>
  <c r="K101" i="36"/>
  <c r="K100" i="36"/>
  <c r="K99" i="36"/>
  <c r="K98" i="36"/>
  <c r="K97" i="36"/>
  <c r="K96" i="36"/>
  <c r="K95" i="36"/>
  <c r="K94" i="36"/>
  <c r="K93" i="36"/>
  <c r="K92" i="36"/>
  <c r="K91" i="36"/>
  <c r="K90" i="36"/>
  <c r="K89" i="36"/>
  <c r="K88" i="36"/>
  <c r="K87" i="36"/>
  <c r="K86" i="36"/>
  <c r="K85" i="36"/>
  <c r="K84" i="36"/>
  <c r="K83" i="36"/>
  <c r="K82" i="36"/>
  <c r="K81" i="36"/>
  <c r="K80" i="36"/>
  <c r="K79" i="36"/>
  <c r="K78" i="36"/>
  <c r="K77" i="36"/>
  <c r="K76" i="36"/>
  <c r="K75" i="36"/>
  <c r="K74" i="36"/>
  <c r="K73" i="36"/>
  <c r="K72" i="36"/>
  <c r="K71" i="36"/>
  <c r="K70" i="36"/>
  <c r="K69" i="36"/>
  <c r="K68" i="36"/>
  <c r="K67" i="36"/>
  <c r="K66" i="36"/>
  <c r="K65" i="36"/>
  <c r="K64" i="36"/>
  <c r="K63" i="36"/>
  <c r="K62" i="36"/>
  <c r="K61" i="36"/>
  <c r="K60" i="36"/>
  <c r="K59" i="36"/>
  <c r="K58" i="36"/>
  <c r="K57" i="36"/>
  <c r="K56" i="36"/>
  <c r="K55" i="36"/>
  <c r="K54" i="36"/>
  <c r="K53" i="36"/>
  <c r="K52" i="36"/>
  <c r="K51" i="36"/>
  <c r="K50" i="36"/>
  <c r="K49" i="36"/>
  <c r="K48" i="36"/>
  <c r="K47" i="36"/>
  <c r="K46" i="36"/>
  <c r="K45" i="36"/>
  <c r="K44" i="36"/>
  <c r="K43" i="36"/>
  <c r="K42" i="36"/>
  <c r="K41" i="36"/>
  <c r="K40" i="36"/>
  <c r="M32" i="36"/>
  <c r="J32" i="36"/>
  <c r="J35" i="36" s="1"/>
  <c r="J37" i="36" s="1"/>
  <c r="E135" i="35"/>
  <c r="H126" i="35"/>
  <c r="H115" i="35"/>
  <c r="H114" i="35"/>
  <c r="H70" i="35"/>
  <c r="A69" i="35"/>
  <c r="A68" i="35"/>
  <c r="A67" i="35"/>
  <c r="A66" i="35"/>
  <c r="A65" i="35"/>
  <c r="A64" i="35"/>
  <c r="A63" i="35"/>
  <c r="A62" i="35"/>
  <c r="A61" i="35"/>
  <c r="A60" i="35"/>
  <c r="A59" i="35"/>
  <c r="A58" i="35"/>
  <c r="A57" i="35"/>
  <c r="A56" i="35"/>
  <c r="A55" i="35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H32" i="35"/>
  <c r="F36" i="35" s="1"/>
  <c r="F91" i="34"/>
  <c r="H91" i="34" s="1"/>
  <c r="F86" i="34"/>
  <c r="H86" i="34" s="1"/>
  <c r="M45" i="34"/>
  <c r="P45" i="34" s="1"/>
  <c r="E29" i="33"/>
  <c r="E28" i="33"/>
  <c r="H29" i="33" s="1"/>
  <c r="E25" i="33"/>
  <c r="E24" i="33"/>
  <c r="E22" i="33"/>
  <c r="E21" i="33"/>
  <c r="B15" i="33"/>
  <c r="I11" i="33"/>
  <c r="I16" i="33" s="1"/>
  <c r="G11" i="33"/>
  <c r="I2" i="33"/>
  <c r="E27" i="32"/>
  <c r="E26" i="32"/>
  <c r="E24" i="32"/>
  <c r="I11" i="32" s="1"/>
  <c r="I16" i="32" s="1"/>
  <c r="E23" i="32"/>
  <c r="E22" i="32"/>
  <c r="E20" i="32"/>
  <c r="E19" i="32"/>
  <c r="B15" i="32"/>
  <c r="G11" i="32"/>
  <c r="I2" i="32"/>
  <c r="E748" i="31"/>
  <c r="H746" i="31"/>
  <c r="E694" i="31"/>
  <c r="H692" i="31"/>
  <c r="E630" i="31"/>
  <c r="H627" i="31"/>
  <c r="E583" i="31"/>
  <c r="H580" i="31"/>
  <c r="H533" i="31"/>
  <c r="I533" i="31" s="1"/>
  <c r="E438" i="31"/>
  <c r="H435" i="31"/>
  <c r="E392" i="31"/>
  <c r="H383" i="31"/>
  <c r="H372" i="31"/>
  <c r="H371" i="31"/>
  <c r="E350" i="31"/>
  <c r="H350" i="31" s="1"/>
  <c r="H352" i="31" s="1"/>
  <c r="H355" i="31" s="1"/>
  <c r="H347" i="31"/>
  <c r="E19" i="33" s="1"/>
  <c r="M308" i="31"/>
  <c r="L308" i="31"/>
  <c r="M307" i="31"/>
  <c r="L307" i="31"/>
  <c r="M306" i="31"/>
  <c r="L306" i="31"/>
  <c r="M305" i="31"/>
  <c r="L305" i="31"/>
  <c r="M304" i="31"/>
  <c r="L304" i="31"/>
  <c r="M303" i="31"/>
  <c r="L303" i="31"/>
  <c r="M302" i="31"/>
  <c r="L302" i="31"/>
  <c r="M301" i="31"/>
  <c r="L301" i="31"/>
  <c r="M300" i="31"/>
  <c r="L300" i="31"/>
  <c r="M299" i="31"/>
  <c r="L299" i="31"/>
  <c r="M298" i="31"/>
  <c r="L298" i="31"/>
  <c r="M297" i="31"/>
  <c r="L297" i="31"/>
  <c r="M296" i="31"/>
  <c r="L296" i="31"/>
  <c r="M295" i="31"/>
  <c r="L295" i="31"/>
  <c r="M294" i="31"/>
  <c r="L294" i="31"/>
  <c r="M293" i="31"/>
  <c r="L293" i="31"/>
  <c r="M292" i="31"/>
  <c r="L292" i="31"/>
  <c r="M291" i="31"/>
  <c r="L291" i="31"/>
  <c r="M290" i="31"/>
  <c r="L290" i="31"/>
  <c r="M289" i="31"/>
  <c r="L289" i="31"/>
  <c r="M288" i="31"/>
  <c r="L288" i="31"/>
  <c r="M287" i="31"/>
  <c r="L287" i="31"/>
  <c r="M286" i="31"/>
  <c r="L286" i="31"/>
  <c r="M285" i="31"/>
  <c r="L285" i="31"/>
  <c r="M284" i="31"/>
  <c r="L284" i="31"/>
  <c r="M283" i="31"/>
  <c r="L283" i="31"/>
  <c r="M282" i="31"/>
  <c r="L282" i="31"/>
  <c r="M281" i="31"/>
  <c r="L281" i="31"/>
  <c r="M280" i="31"/>
  <c r="L280" i="31"/>
  <c r="M279" i="31"/>
  <c r="L279" i="31"/>
  <c r="M278" i="31"/>
  <c r="L278" i="31"/>
  <c r="M277" i="31"/>
  <c r="L277" i="31"/>
  <c r="M276" i="31"/>
  <c r="L276" i="31"/>
  <c r="M275" i="31"/>
  <c r="L275" i="31"/>
  <c r="M274" i="31"/>
  <c r="L274" i="31"/>
  <c r="H268" i="31"/>
  <c r="H309" i="31" s="1"/>
  <c r="M267" i="31"/>
  <c r="L267" i="31"/>
  <c r="M266" i="31"/>
  <c r="L266" i="31"/>
  <c r="M265" i="31"/>
  <c r="L265" i="31"/>
  <c r="M264" i="31"/>
  <c r="L264" i="31"/>
  <c r="M263" i="31"/>
  <c r="L263" i="31"/>
  <c r="M262" i="31"/>
  <c r="L262" i="31"/>
  <c r="M261" i="31"/>
  <c r="L261" i="31"/>
  <c r="M260" i="31"/>
  <c r="L260" i="31"/>
  <c r="M259" i="31"/>
  <c r="L259" i="31"/>
  <c r="M258" i="31"/>
  <c r="L258" i="31"/>
  <c r="M257" i="31"/>
  <c r="L257" i="31"/>
  <c r="M256" i="31"/>
  <c r="L256" i="31"/>
  <c r="M255" i="31"/>
  <c r="L255" i="31"/>
  <c r="M254" i="31"/>
  <c r="L254" i="31"/>
  <c r="M253" i="31"/>
  <c r="L253" i="31"/>
  <c r="M252" i="31"/>
  <c r="L252" i="31"/>
  <c r="M251" i="31"/>
  <c r="L251" i="31"/>
  <c r="M250" i="31"/>
  <c r="L250" i="31"/>
  <c r="M249" i="31"/>
  <c r="L249" i="31"/>
  <c r="M248" i="31"/>
  <c r="L248" i="31"/>
  <c r="M247" i="31"/>
  <c r="L247" i="31"/>
  <c r="M246" i="31"/>
  <c r="L246" i="31"/>
  <c r="M245" i="31"/>
  <c r="L245" i="31"/>
  <c r="M244" i="31"/>
  <c r="L244" i="31"/>
  <c r="M243" i="31"/>
  <c r="L243" i="31"/>
  <c r="M242" i="31"/>
  <c r="L242" i="31"/>
  <c r="M241" i="31"/>
  <c r="L241" i="31"/>
  <c r="M240" i="31"/>
  <c r="L240" i="31"/>
  <c r="M239" i="31"/>
  <c r="L239" i="31"/>
  <c r="M238" i="31"/>
  <c r="L238" i="31"/>
  <c r="M237" i="31"/>
  <c r="L237" i="31"/>
  <c r="M236" i="31"/>
  <c r="L236" i="31"/>
  <c r="M235" i="31"/>
  <c r="L235" i="31"/>
  <c r="M234" i="31"/>
  <c r="L234" i="31"/>
  <c r="M233" i="31"/>
  <c r="L233" i="31"/>
  <c r="M232" i="31"/>
  <c r="L232" i="31"/>
  <c r="M231" i="31"/>
  <c r="L231" i="31"/>
  <c r="M230" i="31"/>
  <c r="L230" i="31"/>
  <c r="M229" i="31"/>
  <c r="L229" i="31"/>
  <c r="M228" i="31"/>
  <c r="L228" i="31"/>
  <c r="H221" i="31"/>
  <c r="M220" i="31"/>
  <c r="L220" i="31"/>
  <c r="M219" i="31"/>
  <c r="L219" i="31"/>
  <c r="M218" i="31"/>
  <c r="L218" i="31"/>
  <c r="M217" i="31"/>
  <c r="L217" i="31"/>
  <c r="M216" i="31"/>
  <c r="L216" i="31"/>
  <c r="M215" i="31"/>
  <c r="L215" i="31"/>
  <c r="M214" i="31"/>
  <c r="L214" i="31"/>
  <c r="M213" i="31"/>
  <c r="L213" i="31"/>
  <c r="M212" i="31"/>
  <c r="L212" i="31"/>
  <c r="M211" i="31"/>
  <c r="L211" i="31"/>
  <c r="M210" i="31"/>
  <c r="L210" i="31"/>
  <c r="M209" i="31"/>
  <c r="L209" i="31"/>
  <c r="M208" i="31"/>
  <c r="L208" i="31"/>
  <c r="M207" i="31"/>
  <c r="L207" i="31"/>
  <c r="M206" i="31"/>
  <c r="L206" i="31"/>
  <c r="M205" i="31"/>
  <c r="L205" i="31"/>
  <c r="M204" i="31"/>
  <c r="L204" i="31"/>
  <c r="M203" i="31"/>
  <c r="L203" i="31"/>
  <c r="M202" i="31"/>
  <c r="L202" i="31"/>
  <c r="M201" i="31"/>
  <c r="L201" i="31"/>
  <c r="M200" i="31"/>
  <c r="L200" i="31"/>
  <c r="M199" i="31"/>
  <c r="L199" i="31"/>
  <c r="M198" i="31"/>
  <c r="L198" i="31"/>
  <c r="M197" i="31"/>
  <c r="L197" i="31"/>
  <c r="M196" i="31"/>
  <c r="L196" i="31"/>
  <c r="M195" i="31"/>
  <c r="L195" i="31"/>
  <c r="M194" i="31"/>
  <c r="L194" i="31"/>
  <c r="M193" i="31"/>
  <c r="L193" i="31"/>
  <c r="M192" i="31"/>
  <c r="L192" i="31"/>
  <c r="M191" i="31"/>
  <c r="L191" i="31"/>
  <c r="M190" i="31"/>
  <c r="L190" i="31"/>
  <c r="M189" i="31"/>
  <c r="L189" i="31"/>
  <c r="M188" i="31"/>
  <c r="L188" i="31"/>
  <c r="M187" i="31"/>
  <c r="L187" i="31"/>
  <c r="M186" i="31"/>
  <c r="L186" i="31"/>
  <c r="M185" i="31"/>
  <c r="L185" i="31"/>
  <c r="M184" i="31"/>
  <c r="L184" i="31"/>
  <c r="M183" i="31"/>
  <c r="L183" i="31"/>
  <c r="M182" i="31"/>
  <c r="L182" i="31"/>
  <c r="M181" i="31"/>
  <c r="L181" i="31"/>
  <c r="M180" i="31"/>
  <c r="L180" i="31"/>
  <c r="M179" i="31"/>
  <c r="L179" i="31"/>
  <c r="M178" i="31"/>
  <c r="L178" i="31"/>
  <c r="M177" i="31"/>
  <c r="L177" i="31"/>
  <c r="M176" i="31"/>
  <c r="L176" i="31"/>
  <c r="M175" i="31"/>
  <c r="L175" i="31"/>
  <c r="M174" i="31"/>
  <c r="L174" i="31"/>
  <c r="H168" i="31"/>
  <c r="M167" i="31"/>
  <c r="L167" i="31"/>
  <c r="M166" i="31"/>
  <c r="L166" i="31"/>
  <c r="M165" i="31"/>
  <c r="L165" i="31"/>
  <c r="M164" i="31"/>
  <c r="L164" i="31"/>
  <c r="M163" i="31"/>
  <c r="L163" i="31"/>
  <c r="M162" i="31"/>
  <c r="L162" i="31"/>
  <c r="M161" i="31"/>
  <c r="L161" i="31"/>
  <c r="M160" i="31"/>
  <c r="L160" i="31"/>
  <c r="M159" i="31"/>
  <c r="L159" i="31"/>
  <c r="M158" i="31"/>
  <c r="L158" i="31"/>
  <c r="M157" i="31"/>
  <c r="L157" i="31"/>
  <c r="M156" i="31"/>
  <c r="L156" i="31"/>
  <c r="M155" i="31"/>
  <c r="L155" i="31"/>
  <c r="M154" i="31"/>
  <c r="L154" i="31"/>
  <c r="M153" i="31"/>
  <c r="L153" i="31"/>
  <c r="M152" i="31"/>
  <c r="L152" i="31"/>
  <c r="M151" i="31"/>
  <c r="L151" i="31"/>
  <c r="M150" i="31"/>
  <c r="L150" i="31"/>
  <c r="M149" i="31"/>
  <c r="L149" i="31"/>
  <c r="M148" i="31"/>
  <c r="L148" i="31"/>
  <c r="M147" i="31"/>
  <c r="L147" i="31"/>
  <c r="M146" i="31"/>
  <c r="L146" i="31"/>
  <c r="M145" i="31"/>
  <c r="L145" i="31"/>
  <c r="M144" i="31"/>
  <c r="L144" i="31"/>
  <c r="M143" i="31"/>
  <c r="L143" i="31"/>
  <c r="M142" i="31"/>
  <c r="L142" i="31"/>
  <c r="M141" i="31"/>
  <c r="L141" i="31"/>
  <c r="M140" i="31"/>
  <c r="L140" i="31"/>
  <c r="M139" i="31"/>
  <c r="L139" i="31"/>
  <c r="M138" i="31"/>
  <c r="L138" i="31"/>
  <c r="M137" i="31"/>
  <c r="L137" i="31"/>
  <c r="M136" i="31"/>
  <c r="L136" i="31"/>
  <c r="M135" i="31"/>
  <c r="L135" i="31"/>
  <c r="M134" i="31"/>
  <c r="L134" i="31"/>
  <c r="M133" i="31"/>
  <c r="L133" i="31"/>
  <c r="M132" i="31"/>
  <c r="L132" i="31"/>
  <c r="M131" i="31"/>
  <c r="L131" i="31"/>
  <c r="M130" i="31"/>
  <c r="L130" i="31"/>
  <c r="M129" i="31"/>
  <c r="L129" i="31"/>
  <c r="M128" i="31"/>
  <c r="L128" i="31"/>
  <c r="M127" i="31"/>
  <c r="L127" i="31"/>
  <c r="M126" i="31"/>
  <c r="L126" i="31"/>
  <c r="M125" i="31"/>
  <c r="L125" i="31"/>
  <c r="M124" i="31"/>
  <c r="L124" i="31"/>
  <c r="M123" i="31"/>
  <c r="L123" i="31"/>
  <c r="M122" i="31"/>
  <c r="L122" i="31"/>
  <c r="M121" i="31"/>
  <c r="L121" i="31"/>
  <c r="M120" i="31"/>
  <c r="L120" i="31"/>
  <c r="M119" i="31"/>
  <c r="L119" i="31"/>
  <c r="M118" i="31"/>
  <c r="L118" i="31"/>
  <c r="M117" i="31"/>
  <c r="L117" i="31"/>
  <c r="M116" i="31"/>
  <c r="L116" i="31"/>
  <c r="M115" i="31"/>
  <c r="L115" i="31"/>
  <c r="M114" i="31"/>
  <c r="L114" i="31"/>
  <c r="M113" i="31"/>
  <c r="L113" i="31"/>
  <c r="M112" i="31"/>
  <c r="L112" i="31"/>
  <c r="M111" i="31"/>
  <c r="L111" i="31"/>
  <c r="H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N72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I31" i="30"/>
  <c r="I30" i="30"/>
  <c r="I29" i="30"/>
  <c r="I28" i="30"/>
  <c r="J27" i="30"/>
  <c r="I27" i="30"/>
  <c r="F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F887" i="29"/>
  <c r="J886" i="29"/>
  <c r="I886" i="29"/>
  <c r="J885" i="29"/>
  <c r="I885" i="29"/>
  <c r="J884" i="29"/>
  <c r="I884" i="29"/>
  <c r="J883" i="29"/>
  <c r="I883" i="29"/>
  <c r="J882" i="29"/>
  <c r="I882" i="29"/>
  <c r="J881" i="29"/>
  <c r="I881" i="29"/>
  <c r="J880" i="29"/>
  <c r="I880" i="29"/>
  <c r="J879" i="29"/>
  <c r="I879" i="29"/>
  <c r="J878" i="29"/>
  <c r="I878" i="29"/>
  <c r="J877" i="29"/>
  <c r="I877" i="29"/>
  <c r="J876" i="29"/>
  <c r="I876" i="29"/>
  <c r="J875" i="29"/>
  <c r="I875" i="29"/>
  <c r="J874" i="29"/>
  <c r="I874" i="29"/>
  <c r="J873" i="29"/>
  <c r="I873" i="29"/>
  <c r="G852" i="29"/>
  <c r="K851" i="29"/>
  <c r="J851" i="29"/>
  <c r="K850" i="29"/>
  <c r="J850" i="29"/>
  <c r="K849" i="29"/>
  <c r="J849" i="29"/>
  <c r="K848" i="29"/>
  <c r="J848" i="29"/>
  <c r="K847" i="29"/>
  <c r="J847" i="29"/>
  <c r="K846" i="29"/>
  <c r="J846" i="29"/>
  <c r="K845" i="29"/>
  <c r="J845" i="29"/>
  <c r="K844" i="29"/>
  <c r="J844" i="29"/>
  <c r="K843" i="29"/>
  <c r="J843" i="29"/>
  <c r="K842" i="29"/>
  <c r="J842" i="29"/>
  <c r="K841" i="29"/>
  <c r="J841" i="29"/>
  <c r="K840" i="29"/>
  <c r="J840" i="29"/>
  <c r="K839" i="29"/>
  <c r="J839" i="29"/>
  <c r="G833" i="29"/>
  <c r="K832" i="29"/>
  <c r="J832" i="29"/>
  <c r="K831" i="29"/>
  <c r="J831" i="29"/>
  <c r="K830" i="29"/>
  <c r="J830" i="29"/>
  <c r="K829" i="29"/>
  <c r="J829" i="29"/>
  <c r="K828" i="29"/>
  <c r="J828" i="29"/>
  <c r="K827" i="29"/>
  <c r="J827" i="29"/>
  <c r="K826" i="29"/>
  <c r="J826" i="29"/>
  <c r="K825" i="29"/>
  <c r="J825" i="29"/>
  <c r="K824" i="29"/>
  <c r="J824" i="29"/>
  <c r="K823" i="29"/>
  <c r="J823" i="29"/>
  <c r="K822" i="29"/>
  <c r="J822" i="29"/>
  <c r="K821" i="29"/>
  <c r="J821" i="29"/>
  <c r="K820" i="29"/>
  <c r="J820" i="29"/>
  <c r="K819" i="29"/>
  <c r="J819" i="29"/>
  <c r="K818" i="29"/>
  <c r="J818" i="29"/>
  <c r="K817" i="29"/>
  <c r="J817" i="29"/>
  <c r="K816" i="29"/>
  <c r="J816" i="29"/>
  <c r="K815" i="29"/>
  <c r="J815" i="29"/>
  <c r="G810" i="29"/>
  <c r="K809" i="29"/>
  <c r="J809" i="29"/>
  <c r="K808" i="29"/>
  <c r="J808" i="29"/>
  <c r="K807" i="29"/>
  <c r="J807" i="29"/>
  <c r="K806" i="29"/>
  <c r="J806" i="29"/>
  <c r="K805" i="29"/>
  <c r="J805" i="29"/>
  <c r="K804" i="29"/>
  <c r="J804" i="29"/>
  <c r="K803" i="29"/>
  <c r="J803" i="29"/>
  <c r="K802" i="29"/>
  <c r="J802" i="29"/>
  <c r="K801" i="29"/>
  <c r="J801" i="29"/>
  <c r="K800" i="29"/>
  <c r="J800" i="29"/>
  <c r="K799" i="29"/>
  <c r="J799" i="29"/>
  <c r="K798" i="29"/>
  <c r="J798" i="29"/>
  <c r="K797" i="29"/>
  <c r="J797" i="29"/>
  <c r="K796" i="29"/>
  <c r="J796" i="29"/>
  <c r="K795" i="29"/>
  <c r="J795" i="29"/>
  <c r="K794" i="29"/>
  <c r="J794" i="29"/>
  <c r="K793" i="29"/>
  <c r="J793" i="29"/>
  <c r="K792" i="29"/>
  <c r="J792" i="29"/>
  <c r="G785" i="29"/>
  <c r="K784" i="29"/>
  <c r="J784" i="29"/>
  <c r="K783" i="29"/>
  <c r="J783" i="29"/>
  <c r="K782" i="29"/>
  <c r="J782" i="29"/>
  <c r="K781" i="29"/>
  <c r="J781" i="29"/>
  <c r="K780" i="29"/>
  <c r="J780" i="29"/>
  <c r="K779" i="29"/>
  <c r="J779" i="29"/>
  <c r="K778" i="29"/>
  <c r="J778" i="29"/>
  <c r="K777" i="29"/>
  <c r="J777" i="29"/>
  <c r="K776" i="29"/>
  <c r="J776" i="29"/>
  <c r="G770" i="29"/>
  <c r="K769" i="29"/>
  <c r="J769" i="29"/>
  <c r="K768" i="29"/>
  <c r="J768" i="29"/>
  <c r="K767" i="29"/>
  <c r="J767" i="29"/>
  <c r="K766" i="29"/>
  <c r="J766" i="29"/>
  <c r="K765" i="29"/>
  <c r="J765" i="29"/>
  <c r="K764" i="29"/>
  <c r="J764" i="29"/>
  <c r="K763" i="29"/>
  <c r="J763" i="29"/>
  <c r="K762" i="29"/>
  <c r="J762" i="29"/>
  <c r="K761" i="29"/>
  <c r="J761" i="29"/>
  <c r="K760" i="29"/>
  <c r="J760" i="29"/>
  <c r="K759" i="29"/>
  <c r="J759" i="29"/>
  <c r="K758" i="29"/>
  <c r="J758" i="29"/>
  <c r="K757" i="29"/>
  <c r="J757" i="29"/>
  <c r="K756" i="29"/>
  <c r="J756" i="29"/>
  <c r="G749" i="29"/>
  <c r="K748" i="29"/>
  <c r="J748" i="29"/>
  <c r="K747" i="29"/>
  <c r="J747" i="29"/>
  <c r="K746" i="29"/>
  <c r="J746" i="29"/>
  <c r="K745" i="29"/>
  <c r="J745" i="29"/>
  <c r="K744" i="29"/>
  <c r="J744" i="29"/>
  <c r="K743" i="29"/>
  <c r="J743" i="29"/>
  <c r="G737" i="29"/>
  <c r="K736" i="29"/>
  <c r="J736" i="29"/>
  <c r="K735" i="29"/>
  <c r="J735" i="29"/>
  <c r="K734" i="29"/>
  <c r="J734" i="29"/>
  <c r="K733" i="29"/>
  <c r="J733" i="29"/>
  <c r="K732" i="29"/>
  <c r="J732" i="29"/>
  <c r="K731" i="29"/>
  <c r="J731" i="29"/>
  <c r="K730" i="29"/>
  <c r="J730" i="29"/>
  <c r="K729" i="29"/>
  <c r="J729" i="29"/>
  <c r="G722" i="29"/>
  <c r="K721" i="29"/>
  <c r="J721" i="29"/>
  <c r="K720" i="29"/>
  <c r="J720" i="29"/>
  <c r="K719" i="29"/>
  <c r="J719" i="29"/>
  <c r="K718" i="29"/>
  <c r="J718" i="29"/>
  <c r="K717" i="29"/>
  <c r="J717" i="29"/>
  <c r="K716" i="29"/>
  <c r="J716" i="29"/>
  <c r="K715" i="29"/>
  <c r="J715" i="29"/>
  <c r="K714" i="29"/>
  <c r="J714" i="29"/>
  <c r="K713" i="29"/>
  <c r="J713" i="29"/>
  <c r="K712" i="29"/>
  <c r="J712" i="29"/>
  <c r="K711" i="29"/>
  <c r="J711" i="29"/>
  <c r="K710" i="29"/>
  <c r="J710" i="29"/>
  <c r="K709" i="29"/>
  <c r="J709" i="29"/>
  <c r="K708" i="29"/>
  <c r="J708" i="29"/>
  <c r="K707" i="29"/>
  <c r="J707" i="29"/>
  <c r="G702" i="29"/>
  <c r="K701" i="29"/>
  <c r="J701" i="29"/>
  <c r="K700" i="29"/>
  <c r="J700" i="29"/>
  <c r="K699" i="29"/>
  <c r="J699" i="29"/>
  <c r="K698" i="29"/>
  <c r="J698" i="29"/>
  <c r="K697" i="29"/>
  <c r="J697" i="29"/>
  <c r="K696" i="29"/>
  <c r="J696" i="29"/>
  <c r="K695" i="29"/>
  <c r="J695" i="29"/>
  <c r="K694" i="29"/>
  <c r="J694" i="29"/>
  <c r="K693" i="29"/>
  <c r="J693" i="29"/>
  <c r="K692" i="29"/>
  <c r="J692" i="29"/>
  <c r="K691" i="29"/>
  <c r="J691" i="29"/>
  <c r="K690" i="29"/>
  <c r="J690" i="29"/>
  <c r="K689" i="29"/>
  <c r="J689" i="29"/>
  <c r="K688" i="29"/>
  <c r="J688" i="29"/>
  <c r="K687" i="29"/>
  <c r="J687" i="29"/>
  <c r="K679" i="29"/>
  <c r="J679" i="29"/>
  <c r="K678" i="29"/>
  <c r="J678" i="29"/>
  <c r="K677" i="29"/>
  <c r="J677" i="29"/>
  <c r="K676" i="29"/>
  <c r="J676" i="29"/>
  <c r="K675" i="29"/>
  <c r="G675" i="29"/>
  <c r="K674" i="29"/>
  <c r="J674" i="29"/>
  <c r="K667" i="29"/>
  <c r="J667" i="29"/>
  <c r="K666" i="29"/>
  <c r="J666" i="29"/>
  <c r="K665" i="29"/>
  <c r="J665" i="29"/>
  <c r="K664" i="29"/>
  <c r="J664" i="29"/>
  <c r="K663" i="29"/>
  <c r="J663" i="29"/>
  <c r="K662" i="29"/>
  <c r="J662" i="29"/>
  <c r="K661" i="29"/>
  <c r="J661" i="29"/>
  <c r="K660" i="29"/>
  <c r="G660" i="29"/>
  <c r="K659" i="29"/>
  <c r="J659" i="29"/>
  <c r="K658" i="29"/>
  <c r="J658" i="29"/>
  <c r="G651" i="29"/>
  <c r="K650" i="29"/>
  <c r="J650" i="29"/>
  <c r="K649" i="29"/>
  <c r="J649" i="29"/>
  <c r="K648" i="29"/>
  <c r="J648" i="29"/>
  <c r="K647" i="29"/>
  <c r="J647" i="29"/>
  <c r="G641" i="29"/>
  <c r="K640" i="29"/>
  <c r="J640" i="29"/>
  <c r="K639" i="29"/>
  <c r="J639" i="29"/>
  <c r="K638" i="29"/>
  <c r="J638" i="29"/>
  <c r="K637" i="29"/>
  <c r="J637" i="29"/>
  <c r="K636" i="29"/>
  <c r="J636" i="29"/>
  <c r="K635" i="29"/>
  <c r="J635" i="29"/>
  <c r="K634" i="29"/>
  <c r="J634" i="29"/>
  <c r="K633" i="29"/>
  <c r="J633" i="29"/>
  <c r="K632" i="29"/>
  <c r="J632" i="29"/>
  <c r="K631" i="29"/>
  <c r="J631" i="29"/>
  <c r="K630" i="29"/>
  <c r="J630" i="29"/>
  <c r="K629" i="29"/>
  <c r="J629" i="29"/>
  <c r="K628" i="29"/>
  <c r="J628" i="29"/>
  <c r="G620" i="29"/>
  <c r="K619" i="29"/>
  <c r="J619" i="29"/>
  <c r="K618" i="29"/>
  <c r="J618" i="29"/>
  <c r="K617" i="29"/>
  <c r="J617" i="29"/>
  <c r="K616" i="29"/>
  <c r="J616" i="29"/>
  <c r="K615" i="29"/>
  <c r="J615" i="29"/>
  <c r="K614" i="29"/>
  <c r="J614" i="29"/>
  <c r="K613" i="29"/>
  <c r="J613" i="29"/>
  <c r="K612" i="29"/>
  <c r="J612" i="29"/>
  <c r="K611" i="29"/>
  <c r="J611" i="29"/>
  <c r="K610" i="29"/>
  <c r="J610" i="29"/>
  <c r="K609" i="29"/>
  <c r="J609" i="29"/>
  <c r="K608" i="29"/>
  <c r="J608" i="29"/>
  <c r="K607" i="29"/>
  <c r="J607" i="29"/>
  <c r="K606" i="29"/>
  <c r="J606" i="29"/>
  <c r="K605" i="29"/>
  <c r="J605" i="29"/>
  <c r="K604" i="29"/>
  <c r="J604" i="29"/>
  <c r="K603" i="29"/>
  <c r="J603" i="29"/>
  <c r="G596" i="29"/>
  <c r="K595" i="29"/>
  <c r="J595" i="29"/>
  <c r="K594" i="29"/>
  <c r="J594" i="29"/>
  <c r="K593" i="29"/>
  <c r="J593" i="29"/>
  <c r="G584" i="29"/>
  <c r="K583" i="29"/>
  <c r="J583" i="29"/>
  <c r="K582" i="29"/>
  <c r="J582" i="29"/>
  <c r="K581" i="29"/>
  <c r="J581" i="29"/>
  <c r="K580" i="29"/>
  <c r="J580" i="29"/>
  <c r="K579" i="29"/>
  <c r="J579" i="29"/>
  <c r="G569" i="29"/>
  <c r="K568" i="29"/>
  <c r="J568" i="29"/>
  <c r="K567" i="29"/>
  <c r="J567" i="29"/>
  <c r="K566" i="29"/>
  <c r="J566" i="29"/>
  <c r="K565" i="29"/>
  <c r="J565" i="29"/>
  <c r="K564" i="29"/>
  <c r="J564" i="29"/>
  <c r="K563" i="29"/>
  <c r="J563" i="29"/>
  <c r="K562" i="29"/>
  <c r="J562" i="29"/>
  <c r="K561" i="29"/>
  <c r="J561" i="29"/>
  <c r="K560" i="29"/>
  <c r="J560" i="29"/>
  <c r="K559" i="29"/>
  <c r="J559" i="29"/>
  <c r="K558" i="29"/>
  <c r="J558" i="29"/>
  <c r="K557" i="29"/>
  <c r="J557" i="29"/>
  <c r="K556" i="29"/>
  <c r="J556" i="29"/>
  <c r="K555" i="29"/>
  <c r="J555" i="29"/>
  <c r="K554" i="29"/>
  <c r="J554" i="29"/>
  <c r="G548" i="29"/>
  <c r="J547" i="29"/>
  <c r="J548" i="29" s="1"/>
  <c r="G542" i="29"/>
  <c r="J541" i="29"/>
  <c r="J540" i="29"/>
  <c r="G534" i="29"/>
  <c r="J533" i="29"/>
  <c r="J532" i="29"/>
  <c r="J531" i="29"/>
  <c r="J530" i="29"/>
  <c r="J529" i="29"/>
  <c r="J528" i="29"/>
  <c r="J527" i="29"/>
  <c r="G522" i="29"/>
  <c r="J521" i="29"/>
  <c r="J520" i="29"/>
  <c r="J519" i="29"/>
  <c r="J518" i="29"/>
  <c r="J517" i="29"/>
  <c r="J516" i="29"/>
  <c r="J515" i="29"/>
  <c r="J514" i="29"/>
  <c r="J513" i="29"/>
  <c r="G506" i="29"/>
  <c r="J505" i="29"/>
  <c r="J504" i="29"/>
  <c r="J503" i="29"/>
  <c r="J502" i="29"/>
  <c r="J501" i="29"/>
  <c r="J500" i="29"/>
  <c r="J499" i="29"/>
  <c r="J498" i="29"/>
  <c r="J497" i="29"/>
  <c r="J496" i="29"/>
  <c r="G490" i="29"/>
  <c r="J489" i="29"/>
  <c r="J488" i="29"/>
  <c r="J487" i="29"/>
  <c r="J486" i="29"/>
  <c r="J485" i="29"/>
  <c r="J484" i="29"/>
  <c r="J483" i="29"/>
  <c r="J482" i="29"/>
  <c r="J481" i="29"/>
  <c r="G476" i="29"/>
  <c r="J475" i="29"/>
  <c r="J474" i="29"/>
  <c r="J473" i="29"/>
  <c r="J472" i="29"/>
  <c r="J471" i="29"/>
  <c r="J470" i="29"/>
  <c r="J469" i="29"/>
  <c r="J468" i="29"/>
  <c r="J467" i="29"/>
  <c r="J466" i="29"/>
  <c r="J465" i="29"/>
  <c r="G460" i="29"/>
  <c r="J459" i="29"/>
  <c r="J458" i="29"/>
  <c r="J456" i="29"/>
  <c r="J455" i="29"/>
  <c r="J454" i="29"/>
  <c r="J453" i="29"/>
  <c r="J452" i="29"/>
  <c r="J451" i="29"/>
  <c r="J450" i="29"/>
  <c r="J449" i="29"/>
  <c r="G443" i="29"/>
  <c r="J442" i="29"/>
  <c r="J441" i="29"/>
  <c r="G436" i="29"/>
  <c r="J435" i="29"/>
  <c r="J434" i="29"/>
  <c r="J433" i="29"/>
  <c r="J432" i="29"/>
  <c r="J431" i="29"/>
  <c r="J430" i="29"/>
  <c r="J429" i="29"/>
  <c r="G424" i="29"/>
  <c r="J423" i="29"/>
  <c r="J422" i="29"/>
  <c r="J421" i="29"/>
  <c r="J420" i="29"/>
  <c r="J419" i="29"/>
  <c r="J418" i="29"/>
  <c r="G413" i="29"/>
  <c r="J412" i="29"/>
  <c r="J411" i="29"/>
  <c r="J410" i="29"/>
  <c r="G403" i="29"/>
  <c r="J402" i="29"/>
  <c r="J401" i="29"/>
  <c r="J400" i="29"/>
  <c r="J399" i="29"/>
  <c r="J398" i="29"/>
  <c r="J397" i="29"/>
  <c r="J396" i="29"/>
  <c r="J395" i="29"/>
  <c r="J394" i="29"/>
  <c r="G387" i="29"/>
  <c r="J386" i="29"/>
  <c r="J385" i="29"/>
  <c r="J384" i="29"/>
  <c r="J383" i="29"/>
  <c r="J382" i="29"/>
  <c r="J381" i="29"/>
  <c r="J380" i="29"/>
  <c r="J379" i="29"/>
  <c r="J378" i="29"/>
  <c r="G369" i="29"/>
  <c r="J368" i="29"/>
  <c r="J367" i="29"/>
  <c r="J366" i="29"/>
  <c r="J365" i="29"/>
  <c r="J364" i="29"/>
  <c r="J363" i="29"/>
  <c r="J362" i="29"/>
  <c r="J361" i="29"/>
  <c r="J360" i="29"/>
  <c r="J359" i="29"/>
  <c r="J358" i="29"/>
  <c r="J357" i="29"/>
  <c r="J356" i="29"/>
  <c r="J355" i="29"/>
  <c r="J354" i="29"/>
  <c r="G348" i="29"/>
  <c r="J347" i="29"/>
  <c r="J346" i="29"/>
  <c r="J345" i="29"/>
  <c r="J344" i="29"/>
  <c r="J343" i="29"/>
  <c r="J342" i="29"/>
  <c r="J341" i="29"/>
  <c r="J340" i="29"/>
  <c r="J339" i="29"/>
  <c r="J338" i="29"/>
  <c r="J337" i="29"/>
  <c r="J336" i="29"/>
  <c r="J335" i="29"/>
  <c r="J334" i="29"/>
  <c r="J333" i="29"/>
  <c r="J332" i="29"/>
  <c r="G323" i="29"/>
  <c r="J322" i="29"/>
  <c r="J321" i="29"/>
  <c r="J320" i="29"/>
  <c r="J319" i="29"/>
  <c r="G313" i="29"/>
  <c r="J312" i="29"/>
  <c r="J311" i="29"/>
  <c r="J310" i="29"/>
  <c r="J309" i="29"/>
  <c r="J308" i="29"/>
  <c r="J307" i="29"/>
  <c r="J306" i="29"/>
  <c r="G301" i="29"/>
  <c r="K300" i="29"/>
  <c r="J300" i="29"/>
  <c r="K299" i="29"/>
  <c r="J299" i="29"/>
  <c r="J301" i="29" s="1"/>
  <c r="G293" i="29"/>
  <c r="K292" i="29"/>
  <c r="J292" i="29"/>
  <c r="K291" i="29"/>
  <c r="J291" i="29"/>
  <c r="K290" i="29"/>
  <c r="J290" i="29"/>
  <c r="K289" i="29"/>
  <c r="J289" i="29"/>
  <c r="K288" i="29"/>
  <c r="J288" i="29"/>
  <c r="K287" i="29"/>
  <c r="J287" i="29"/>
  <c r="K286" i="29"/>
  <c r="J286" i="29"/>
  <c r="K285" i="29"/>
  <c r="J285" i="29"/>
  <c r="K284" i="29"/>
  <c r="J284" i="29"/>
  <c r="K283" i="29"/>
  <c r="J283" i="29"/>
  <c r="K282" i="29"/>
  <c r="J282" i="29"/>
  <c r="K281" i="29"/>
  <c r="J281" i="29"/>
  <c r="K280" i="29"/>
  <c r="J280" i="29"/>
  <c r="K279" i="29"/>
  <c r="J279" i="29"/>
  <c r="K278" i="29"/>
  <c r="J278" i="29"/>
  <c r="K277" i="29"/>
  <c r="J277" i="29"/>
  <c r="K276" i="29"/>
  <c r="J276" i="29"/>
  <c r="K275" i="29"/>
  <c r="J275" i="29"/>
  <c r="K274" i="29"/>
  <c r="J274" i="29"/>
  <c r="K273" i="29"/>
  <c r="J273" i="29"/>
  <c r="J293" i="29" s="1"/>
  <c r="G268" i="29"/>
  <c r="K267" i="29"/>
  <c r="J267" i="29"/>
  <c r="H267" i="29"/>
  <c r="K266" i="29"/>
  <c r="J266" i="29"/>
  <c r="H266" i="29"/>
  <c r="K265" i="29"/>
  <c r="J265" i="29"/>
  <c r="H265" i="29"/>
  <c r="K264" i="29"/>
  <c r="J264" i="29"/>
  <c r="H264" i="29"/>
  <c r="K263" i="29"/>
  <c r="J263" i="29"/>
  <c r="H263" i="29"/>
  <c r="K262" i="29"/>
  <c r="J262" i="29"/>
  <c r="H262" i="29"/>
  <c r="K261" i="29"/>
  <c r="J261" i="29"/>
  <c r="H261" i="29"/>
  <c r="K260" i="29"/>
  <c r="J260" i="29"/>
  <c r="H260" i="29"/>
  <c r="K259" i="29"/>
  <c r="J259" i="29"/>
  <c r="H259" i="29"/>
  <c r="G253" i="29"/>
  <c r="K252" i="29"/>
  <c r="J252" i="29"/>
  <c r="H252" i="29"/>
  <c r="K251" i="29"/>
  <c r="J251" i="29"/>
  <c r="H251" i="29"/>
  <c r="K250" i="29"/>
  <c r="J250" i="29"/>
  <c r="H250" i="29"/>
  <c r="K249" i="29"/>
  <c r="J249" i="29"/>
  <c r="H249" i="29"/>
  <c r="K248" i="29"/>
  <c r="J248" i="29"/>
  <c r="H248" i="29"/>
  <c r="K247" i="29"/>
  <c r="J247" i="29"/>
  <c r="H247" i="29"/>
  <c r="K246" i="29"/>
  <c r="J246" i="29"/>
  <c r="H246" i="29"/>
  <c r="K245" i="29"/>
  <c r="J245" i="29"/>
  <c r="H245" i="29"/>
  <c r="K244" i="29"/>
  <c r="J244" i="29"/>
  <c r="H244" i="29"/>
  <c r="K243" i="29"/>
  <c r="J243" i="29"/>
  <c r="H243" i="29"/>
  <c r="K242" i="29"/>
  <c r="J242" i="29"/>
  <c r="H242" i="29"/>
  <c r="K241" i="29"/>
  <c r="J241" i="29"/>
  <c r="H241" i="29"/>
  <c r="K240" i="29"/>
  <c r="J240" i="29"/>
  <c r="H240" i="29"/>
  <c r="K239" i="29"/>
  <c r="J239" i="29"/>
  <c r="H239" i="29"/>
  <c r="K238" i="29"/>
  <c r="J238" i="29"/>
  <c r="H238" i="29"/>
  <c r="K237" i="29"/>
  <c r="J237" i="29"/>
  <c r="H237" i="29"/>
  <c r="K236" i="29"/>
  <c r="J236" i="29"/>
  <c r="H236" i="29"/>
  <c r="K235" i="29"/>
  <c r="J235" i="29"/>
  <c r="H235" i="29"/>
  <c r="H227" i="29"/>
  <c r="G227" i="29"/>
  <c r="J227" i="29" s="1"/>
  <c r="H226" i="29"/>
  <c r="G226" i="29"/>
  <c r="J226" i="29" s="1"/>
  <c r="H225" i="29"/>
  <c r="G225" i="29"/>
  <c r="J225" i="29" s="1"/>
  <c r="H224" i="29"/>
  <c r="G224" i="29"/>
  <c r="J224" i="29" s="1"/>
  <c r="H223" i="29"/>
  <c r="G223" i="29"/>
  <c r="J223" i="29" s="1"/>
  <c r="G217" i="29"/>
  <c r="J216" i="29"/>
  <c r="J215" i="29"/>
  <c r="J214" i="29"/>
  <c r="J213" i="29"/>
  <c r="J212" i="29"/>
  <c r="J211" i="29"/>
  <c r="J210" i="29"/>
  <c r="J209" i="29"/>
  <c r="J208" i="29"/>
  <c r="J207" i="29"/>
  <c r="J206" i="29"/>
  <c r="G200" i="29"/>
  <c r="J199" i="29"/>
  <c r="J198" i="29"/>
  <c r="J197" i="29"/>
  <c r="J196" i="29"/>
  <c r="J195" i="29"/>
  <c r="J194" i="29"/>
  <c r="J193" i="29"/>
  <c r="J192" i="29"/>
  <c r="J191" i="29"/>
  <c r="J190" i="29"/>
  <c r="G185" i="29"/>
  <c r="J184" i="29"/>
  <c r="J183" i="29"/>
  <c r="G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G149" i="29"/>
  <c r="K148" i="29"/>
  <c r="J148" i="29"/>
  <c r="K147" i="29"/>
  <c r="J147" i="29"/>
  <c r="K146" i="29"/>
  <c r="J146" i="29"/>
  <c r="K145" i="29"/>
  <c r="J145" i="29"/>
  <c r="K144" i="29"/>
  <c r="J144" i="29"/>
  <c r="K143" i="29"/>
  <c r="J143" i="29"/>
  <c r="K142" i="29"/>
  <c r="J142" i="29"/>
  <c r="K141" i="29"/>
  <c r="J141" i="29"/>
  <c r="K140" i="29"/>
  <c r="J140" i="29"/>
  <c r="K139" i="29"/>
  <c r="J139" i="29"/>
  <c r="K138" i="29"/>
  <c r="J138" i="29"/>
  <c r="G132" i="29"/>
  <c r="K131" i="29"/>
  <c r="J131" i="29"/>
  <c r="K130" i="29"/>
  <c r="J130" i="29"/>
  <c r="K129" i="29"/>
  <c r="J129" i="29"/>
  <c r="K128" i="29"/>
  <c r="J128" i="29"/>
  <c r="K127" i="29"/>
  <c r="J127" i="29"/>
  <c r="K126" i="29"/>
  <c r="J126" i="29"/>
  <c r="K125" i="29"/>
  <c r="J125" i="29"/>
  <c r="K124" i="29"/>
  <c r="J124" i="29"/>
  <c r="K123" i="29"/>
  <c r="J123" i="29"/>
  <c r="K122" i="29"/>
  <c r="J122" i="29"/>
  <c r="K121" i="29"/>
  <c r="J121" i="29"/>
  <c r="K120" i="29"/>
  <c r="J120" i="29"/>
  <c r="J115" i="29"/>
  <c r="G115" i="29"/>
  <c r="G105" i="29"/>
  <c r="J104" i="29"/>
  <c r="J103" i="29"/>
  <c r="J102" i="29"/>
  <c r="J101" i="29"/>
  <c r="J100" i="29"/>
  <c r="J99" i="29"/>
  <c r="J98" i="29"/>
  <c r="J97" i="29"/>
  <c r="J96" i="29"/>
  <c r="G89" i="29"/>
  <c r="J88" i="29"/>
  <c r="J89" i="29" s="1"/>
  <c r="J83" i="29"/>
  <c r="G83" i="29"/>
  <c r="K82" i="29"/>
  <c r="K81" i="29"/>
  <c r="K80" i="29"/>
  <c r="K79" i="29"/>
  <c r="K78" i="29"/>
  <c r="G73" i="29"/>
  <c r="K72" i="29"/>
  <c r="J72" i="29"/>
  <c r="K71" i="29"/>
  <c r="J71" i="29"/>
  <c r="K70" i="29"/>
  <c r="J70" i="29"/>
  <c r="K69" i="29"/>
  <c r="J69" i="29"/>
  <c r="K68" i="29"/>
  <c r="J64" i="29"/>
  <c r="G47" i="29"/>
  <c r="K46" i="29"/>
  <c r="J46" i="29"/>
  <c r="K45" i="29"/>
  <c r="J45" i="29"/>
  <c r="K44" i="29"/>
  <c r="K43" i="29"/>
  <c r="J43" i="29"/>
  <c r="K42" i="29"/>
  <c r="J42" i="29"/>
  <c r="K41" i="29"/>
  <c r="K40" i="29"/>
  <c r="J40" i="29"/>
  <c r="K39" i="29"/>
  <c r="J39" i="29"/>
  <c r="K38" i="29"/>
  <c r="K37" i="29"/>
  <c r="J37" i="29"/>
  <c r="K36" i="29"/>
  <c r="J36" i="29"/>
  <c r="K35" i="29"/>
  <c r="K34" i="29"/>
  <c r="J34" i="29"/>
  <c r="K33" i="29"/>
  <c r="J33" i="29"/>
  <c r="K32" i="29"/>
  <c r="K31" i="29"/>
  <c r="J31" i="29"/>
  <c r="K30" i="29"/>
  <c r="J30" i="29"/>
  <c r="G22" i="29"/>
  <c r="G7" i="29"/>
  <c r="J5" i="29"/>
  <c r="J4" i="29"/>
  <c r="B24" i="28"/>
  <c r="I20" i="28"/>
  <c r="I19" i="28"/>
  <c r="F14" i="28"/>
  <c r="G12" i="28"/>
  <c r="I11" i="28"/>
  <c r="I10" i="28"/>
  <c r="I2" i="28"/>
  <c r="L42" i="27"/>
  <c r="L41" i="27"/>
  <c r="L40" i="27"/>
  <c r="L39" i="27"/>
  <c r="L38" i="27"/>
  <c r="E35" i="27"/>
  <c r="E34" i="27"/>
  <c r="E33" i="27"/>
  <c r="B27" i="27"/>
  <c r="O26" i="27"/>
  <c r="N26" i="27"/>
  <c r="M26" i="27"/>
  <c r="P25" i="27"/>
  <c r="P24" i="27"/>
  <c r="P23" i="27"/>
  <c r="I23" i="27"/>
  <c r="P22" i="27"/>
  <c r="P21" i="27"/>
  <c r="P20" i="27"/>
  <c r="P19" i="27"/>
  <c r="P18" i="27"/>
  <c r="P17" i="27"/>
  <c r="F17" i="27"/>
  <c r="G12" i="27"/>
  <c r="I11" i="27"/>
  <c r="I10" i="27"/>
  <c r="I2" i="27"/>
  <c r="L44" i="26"/>
  <c r="L43" i="26"/>
  <c r="L42" i="26"/>
  <c r="L41" i="26"/>
  <c r="L40" i="26"/>
  <c r="E37" i="26"/>
  <c r="E35" i="26"/>
  <c r="B29" i="26"/>
  <c r="O28" i="26"/>
  <c r="N28" i="26"/>
  <c r="M28" i="26"/>
  <c r="E28" i="26"/>
  <c r="E36" i="26" s="1"/>
  <c r="P25" i="26"/>
  <c r="P24" i="26"/>
  <c r="P23" i="26"/>
  <c r="I23" i="26"/>
  <c r="P22" i="26"/>
  <c r="P21" i="26"/>
  <c r="P20" i="26"/>
  <c r="P19" i="26"/>
  <c r="P18" i="26"/>
  <c r="P17" i="26"/>
  <c r="F17" i="26"/>
  <c r="G12" i="26"/>
  <c r="I11" i="26"/>
  <c r="I10" i="26"/>
  <c r="I2" i="26"/>
  <c r="L44" i="25"/>
  <c r="L43" i="25"/>
  <c r="L42" i="25"/>
  <c r="L41" i="25"/>
  <c r="L40" i="25"/>
  <c r="E37" i="25"/>
  <c r="E35" i="25"/>
  <c r="B29" i="25"/>
  <c r="O28" i="25"/>
  <c r="N28" i="25"/>
  <c r="M28" i="25"/>
  <c r="E28" i="25"/>
  <c r="E36" i="25" s="1"/>
  <c r="P25" i="25"/>
  <c r="P24" i="25"/>
  <c r="P23" i="25"/>
  <c r="I23" i="25"/>
  <c r="P22" i="25"/>
  <c r="P21" i="25"/>
  <c r="P20" i="25"/>
  <c r="P19" i="25"/>
  <c r="P18" i="25"/>
  <c r="P17" i="25"/>
  <c r="F17" i="25"/>
  <c r="G12" i="25"/>
  <c r="I11" i="25"/>
  <c r="I10" i="25"/>
  <c r="I2" i="25"/>
  <c r="E37" i="24"/>
  <c r="E35" i="24"/>
  <c r="B29" i="24"/>
  <c r="E28" i="24"/>
  <c r="E36" i="24" s="1"/>
  <c r="F17" i="24"/>
  <c r="G12" i="24"/>
  <c r="I2" i="24"/>
  <c r="E142" i="23"/>
  <c r="E141" i="23"/>
  <c r="E140" i="23"/>
  <c r="B134" i="23"/>
  <c r="F122" i="23"/>
  <c r="G117" i="23"/>
  <c r="I107" i="23"/>
  <c r="E90" i="23"/>
  <c r="E89" i="23"/>
  <c r="E88" i="23"/>
  <c r="B82" i="23"/>
  <c r="F70" i="23"/>
  <c r="G65" i="23"/>
  <c r="I55" i="23"/>
  <c r="E38" i="23"/>
  <c r="E37" i="23"/>
  <c r="E36" i="23"/>
  <c r="B30" i="23"/>
  <c r="F18" i="23"/>
  <c r="G13" i="23"/>
  <c r="I3" i="23"/>
  <c r="E52" i="22"/>
  <c r="D52" i="22"/>
  <c r="C52" i="22"/>
  <c r="F45" i="22"/>
  <c r="F44" i="22"/>
  <c r="E11" i="22"/>
  <c r="D11" i="22"/>
  <c r="C11" i="22"/>
  <c r="F4" i="22"/>
  <c r="F3" i="22"/>
  <c r="J69" i="21"/>
  <c r="A69" i="21"/>
  <c r="A68" i="21"/>
  <c r="J67" i="21"/>
  <c r="A67" i="21"/>
  <c r="A66" i="21"/>
  <c r="J65" i="21"/>
  <c r="A65" i="21"/>
  <c r="A64" i="21"/>
  <c r="A63" i="21"/>
  <c r="A62" i="21"/>
  <c r="J61" i="21"/>
  <c r="A61" i="21"/>
  <c r="A60" i="21"/>
  <c r="J59" i="21"/>
  <c r="A59" i="21"/>
  <c r="A58" i="21"/>
  <c r="J57" i="21"/>
  <c r="A57" i="21"/>
  <c r="A56" i="21"/>
  <c r="J55" i="21"/>
  <c r="A55" i="21"/>
  <c r="A54" i="21"/>
  <c r="J53" i="21"/>
  <c r="A53" i="21"/>
  <c r="A52" i="21"/>
  <c r="J51" i="21"/>
  <c r="A51" i="21"/>
  <c r="A50" i="21"/>
  <c r="I49" i="21"/>
  <c r="J49" i="21" s="1"/>
  <c r="H49" i="21"/>
  <c r="A49" i="21"/>
  <c r="A48" i="21"/>
  <c r="J47" i="21"/>
  <c r="A47" i="21"/>
  <c r="J46" i="21"/>
  <c r="A46" i="21"/>
  <c r="I45" i="21"/>
  <c r="H45" i="21"/>
  <c r="A45" i="21"/>
  <c r="A44" i="21"/>
  <c r="J43" i="21"/>
  <c r="A43" i="21"/>
  <c r="J42" i="21"/>
  <c r="A42" i="21"/>
  <c r="I41" i="21"/>
  <c r="H41" i="21"/>
  <c r="A41" i="21"/>
  <c r="A40" i="21"/>
  <c r="J39" i="21"/>
  <c r="A39" i="21"/>
  <c r="J38" i="21"/>
  <c r="A38" i="21"/>
  <c r="I37" i="21"/>
  <c r="H37" i="21"/>
  <c r="A37" i="21"/>
  <c r="A36" i="21"/>
  <c r="J35" i="21"/>
  <c r="A35" i="21"/>
  <c r="J34" i="21"/>
  <c r="A34" i="21"/>
  <c r="I33" i="21"/>
  <c r="H33" i="21"/>
  <c r="A33" i="21"/>
  <c r="A32" i="21"/>
  <c r="J31" i="21"/>
  <c r="A31" i="21"/>
  <c r="J30" i="21"/>
  <c r="A30" i="21"/>
  <c r="I29" i="21"/>
  <c r="J29" i="21" s="1"/>
  <c r="H29" i="21"/>
  <c r="A29" i="21"/>
  <c r="A28" i="21"/>
  <c r="J27" i="21"/>
  <c r="A27" i="21"/>
  <c r="J26" i="21"/>
  <c r="A26" i="21"/>
  <c r="I25" i="21"/>
  <c r="H25" i="21"/>
  <c r="A25" i="21"/>
  <c r="A24" i="21"/>
  <c r="J23" i="21"/>
  <c r="A23" i="21"/>
  <c r="J22" i="21"/>
  <c r="A22" i="21"/>
  <c r="I21" i="21"/>
  <c r="H21" i="21"/>
  <c r="A21" i="21"/>
  <c r="A20" i="21"/>
  <c r="J19" i="21"/>
  <c r="A19" i="21"/>
  <c r="J18" i="21"/>
  <c r="A18" i="21"/>
  <c r="I17" i="21"/>
  <c r="H17" i="21"/>
  <c r="A17" i="21"/>
  <c r="A16" i="21"/>
  <c r="J15" i="21"/>
  <c r="A15" i="21"/>
  <c r="J14" i="21"/>
  <c r="A14" i="21"/>
  <c r="I13" i="21"/>
  <c r="H13" i="21"/>
  <c r="A13" i="21"/>
  <c r="A12" i="21"/>
  <c r="J11" i="21"/>
  <c r="A11" i="21"/>
  <c r="J10" i="21"/>
  <c r="A10" i="21"/>
  <c r="I9" i="21"/>
  <c r="H9" i="21"/>
  <c r="A9" i="21"/>
  <c r="A8" i="21"/>
  <c r="J7" i="21"/>
  <c r="A7" i="21"/>
  <c r="J6" i="21"/>
  <c r="A6" i="21"/>
  <c r="I5" i="21"/>
  <c r="H5" i="21"/>
  <c r="A5" i="21"/>
  <c r="A4" i="21"/>
  <c r="J3" i="21"/>
  <c r="A3" i="21"/>
  <c r="J2" i="21"/>
  <c r="A2" i="21"/>
  <c r="B19" i="20"/>
  <c r="F14" i="20"/>
  <c r="G13" i="20"/>
  <c r="G12" i="20"/>
  <c r="I2" i="20"/>
  <c r="B1204" i="19"/>
  <c r="I1199" i="19"/>
  <c r="A1199" i="19"/>
  <c r="G1198" i="19"/>
  <c r="F1198" i="19"/>
  <c r="A1197" i="19"/>
  <c r="G1196" i="19"/>
  <c r="I1189" i="19"/>
  <c r="I1186" i="19"/>
  <c r="B1130" i="19"/>
  <c r="I1125" i="19"/>
  <c r="A1125" i="19"/>
  <c r="G1124" i="19"/>
  <c r="F1124" i="19"/>
  <c r="A1123" i="19"/>
  <c r="G1122" i="19"/>
  <c r="I1115" i="19"/>
  <c r="I1112" i="19"/>
  <c r="B1056" i="19"/>
  <c r="I1051" i="19"/>
  <c r="A1051" i="19"/>
  <c r="G1050" i="19"/>
  <c r="F1050" i="19"/>
  <c r="A1049" i="19"/>
  <c r="G1048" i="19"/>
  <c r="C1043" i="19"/>
  <c r="I1041" i="19"/>
  <c r="I1038" i="19"/>
  <c r="B982" i="19"/>
  <c r="I977" i="19"/>
  <c r="A977" i="19"/>
  <c r="G976" i="19"/>
  <c r="F976" i="19"/>
  <c r="A975" i="19"/>
  <c r="G974" i="19"/>
  <c r="C969" i="19"/>
  <c r="I967" i="19"/>
  <c r="I964" i="19"/>
  <c r="B908" i="19"/>
  <c r="I903" i="19"/>
  <c r="A903" i="19"/>
  <c r="G902" i="19"/>
  <c r="F902" i="19"/>
  <c r="A901" i="19"/>
  <c r="G900" i="19"/>
  <c r="C895" i="19"/>
  <c r="I893" i="19"/>
  <c r="I890" i="19"/>
  <c r="B834" i="19"/>
  <c r="I829" i="19"/>
  <c r="A829" i="19"/>
  <c r="G828" i="19"/>
  <c r="F828" i="19"/>
  <c r="A827" i="19"/>
  <c r="G826" i="19"/>
  <c r="I819" i="19"/>
  <c r="I816" i="19"/>
  <c r="B760" i="19"/>
  <c r="I755" i="19"/>
  <c r="A755" i="19"/>
  <c r="G754" i="19"/>
  <c r="F754" i="19"/>
  <c r="A753" i="19"/>
  <c r="G752" i="19"/>
  <c r="I745" i="19"/>
  <c r="I742" i="19"/>
  <c r="B686" i="19"/>
  <c r="I681" i="19"/>
  <c r="A681" i="19"/>
  <c r="G680" i="19"/>
  <c r="F680" i="19"/>
  <c r="A679" i="19"/>
  <c r="G678" i="19"/>
  <c r="I671" i="19"/>
  <c r="I668" i="19"/>
  <c r="B612" i="19"/>
  <c r="I607" i="19"/>
  <c r="A607" i="19"/>
  <c r="G606" i="19"/>
  <c r="F606" i="19"/>
  <c r="A605" i="19"/>
  <c r="G604" i="19"/>
  <c r="I597" i="19"/>
  <c r="I594" i="19"/>
  <c r="B538" i="19"/>
  <c r="I533" i="19"/>
  <c r="A533" i="19"/>
  <c r="G532" i="19"/>
  <c r="F532" i="19"/>
  <c r="A531" i="19"/>
  <c r="G530" i="19"/>
  <c r="I523" i="19"/>
  <c r="I520" i="19"/>
  <c r="B464" i="19"/>
  <c r="I459" i="19"/>
  <c r="A459" i="19"/>
  <c r="G458" i="19"/>
  <c r="F458" i="19"/>
  <c r="A457" i="19"/>
  <c r="G456" i="19"/>
  <c r="I449" i="19"/>
  <c r="I446" i="19"/>
  <c r="B390" i="19"/>
  <c r="I385" i="19"/>
  <c r="A385" i="19"/>
  <c r="G384" i="19"/>
  <c r="F384" i="19"/>
  <c r="A383" i="19"/>
  <c r="G382" i="19"/>
  <c r="I375" i="19"/>
  <c r="I372" i="19"/>
  <c r="E328" i="19"/>
  <c r="E327" i="19"/>
  <c r="E325" i="19"/>
  <c r="H324" i="19"/>
  <c r="H309" i="19" s="1"/>
  <c r="E324" i="19"/>
  <c r="E323" i="19"/>
  <c r="E321" i="19"/>
  <c r="E320" i="19"/>
  <c r="B316" i="19"/>
  <c r="I311" i="19"/>
  <c r="A311" i="19"/>
  <c r="G310" i="19"/>
  <c r="F310" i="19"/>
  <c r="A309" i="19"/>
  <c r="G308" i="19"/>
  <c r="I301" i="19"/>
  <c r="I298" i="19"/>
  <c r="B242" i="19"/>
  <c r="I237" i="19"/>
  <c r="A237" i="19"/>
  <c r="G236" i="19"/>
  <c r="F236" i="19"/>
  <c r="A235" i="19"/>
  <c r="G234" i="19"/>
  <c r="I227" i="19"/>
  <c r="I224" i="19"/>
  <c r="B168" i="19"/>
  <c r="I163" i="19"/>
  <c r="A163" i="19"/>
  <c r="G162" i="19"/>
  <c r="F162" i="19"/>
  <c r="A161" i="19"/>
  <c r="G160" i="19"/>
  <c r="I153" i="19"/>
  <c r="I150" i="19"/>
  <c r="B94" i="19"/>
  <c r="I89" i="19"/>
  <c r="A89" i="19"/>
  <c r="G88" i="19"/>
  <c r="F88" i="19"/>
  <c r="A87" i="19"/>
  <c r="G86" i="19"/>
  <c r="I79" i="19"/>
  <c r="I1263" i="19" s="1"/>
  <c r="I76" i="19"/>
  <c r="B20" i="19"/>
  <c r="I15" i="19"/>
  <c r="A15" i="19"/>
  <c r="G14" i="19"/>
  <c r="F14" i="19"/>
  <c r="A13" i="19"/>
  <c r="G12" i="19"/>
  <c r="I2" i="19"/>
  <c r="B1204" i="18"/>
  <c r="I1199" i="18"/>
  <c r="A1199" i="18"/>
  <c r="G1198" i="18"/>
  <c r="F1198" i="18"/>
  <c r="A1197" i="18"/>
  <c r="G1196" i="18"/>
  <c r="I1186" i="18"/>
  <c r="B1130" i="18"/>
  <c r="I1125" i="18"/>
  <c r="A1125" i="18"/>
  <c r="G1124" i="18"/>
  <c r="F1124" i="18"/>
  <c r="A1123" i="18"/>
  <c r="G1122" i="18"/>
  <c r="I1112" i="18"/>
  <c r="H1064" i="18"/>
  <c r="H1049" i="18" s="1"/>
  <c r="I1049" i="18" s="1"/>
  <c r="B1056" i="18"/>
  <c r="I1051" i="18"/>
  <c r="A1051" i="18"/>
  <c r="G1050" i="18"/>
  <c r="F1050" i="18"/>
  <c r="A1049" i="18"/>
  <c r="G1048" i="18"/>
  <c r="C1043" i="18"/>
  <c r="I1038" i="18"/>
  <c r="B982" i="18"/>
  <c r="I977" i="18"/>
  <c r="A977" i="18"/>
  <c r="G976" i="18"/>
  <c r="F976" i="18"/>
  <c r="A975" i="18"/>
  <c r="G974" i="18"/>
  <c r="C969" i="18"/>
  <c r="I964" i="18"/>
  <c r="B908" i="18"/>
  <c r="I903" i="18"/>
  <c r="A903" i="18"/>
  <c r="G902" i="18"/>
  <c r="F902" i="18"/>
  <c r="A901" i="18"/>
  <c r="G900" i="18"/>
  <c r="C895" i="18"/>
  <c r="I890" i="18"/>
  <c r="B834" i="18"/>
  <c r="I829" i="18"/>
  <c r="A829" i="18"/>
  <c r="G828" i="18"/>
  <c r="F828" i="18"/>
  <c r="A827" i="18"/>
  <c r="G826" i="18"/>
  <c r="I816" i="18"/>
  <c r="B760" i="18"/>
  <c r="I755" i="18"/>
  <c r="A755" i="18"/>
  <c r="G754" i="18"/>
  <c r="F754" i="18"/>
  <c r="A753" i="18"/>
  <c r="G752" i="18"/>
  <c r="I742" i="18"/>
  <c r="B686" i="18"/>
  <c r="I681" i="18"/>
  <c r="A681" i="18"/>
  <c r="G680" i="18"/>
  <c r="F680" i="18"/>
  <c r="A679" i="18"/>
  <c r="G678" i="18"/>
  <c r="I668" i="18"/>
  <c r="B612" i="18"/>
  <c r="I607" i="18"/>
  <c r="A607" i="18"/>
  <c r="G606" i="18"/>
  <c r="F606" i="18"/>
  <c r="A605" i="18"/>
  <c r="G604" i="18"/>
  <c r="I594" i="18"/>
  <c r="B538" i="18"/>
  <c r="I533" i="18"/>
  <c r="A533" i="18"/>
  <c r="G532" i="18"/>
  <c r="F532" i="18"/>
  <c r="A531" i="18"/>
  <c r="G530" i="18"/>
  <c r="I520" i="18"/>
  <c r="B464" i="18"/>
  <c r="I459" i="18"/>
  <c r="A459" i="18"/>
  <c r="G458" i="18"/>
  <c r="F458" i="18"/>
  <c r="A457" i="18"/>
  <c r="G456" i="18"/>
  <c r="I446" i="18"/>
  <c r="B390" i="18"/>
  <c r="I385" i="18"/>
  <c r="A385" i="18"/>
  <c r="G384" i="18"/>
  <c r="F384" i="18"/>
  <c r="A383" i="18"/>
  <c r="G382" i="18"/>
  <c r="I372" i="18"/>
  <c r="E328" i="18"/>
  <c r="E327" i="18"/>
  <c r="E325" i="18"/>
  <c r="H324" i="18"/>
  <c r="H309" i="18" s="1"/>
  <c r="E324" i="18"/>
  <c r="E323" i="18"/>
  <c r="E321" i="18"/>
  <c r="E320" i="18"/>
  <c r="B316" i="18"/>
  <c r="I311" i="18"/>
  <c r="A311" i="18"/>
  <c r="G310" i="18"/>
  <c r="F310" i="18"/>
  <c r="A309" i="18"/>
  <c r="G308" i="18"/>
  <c r="I298" i="18"/>
  <c r="B242" i="18"/>
  <c r="I237" i="18"/>
  <c r="A237" i="18"/>
  <c r="G236" i="18"/>
  <c r="F236" i="18"/>
  <c r="A235" i="18"/>
  <c r="G234" i="18"/>
  <c r="I224" i="18"/>
  <c r="B168" i="18"/>
  <c r="I163" i="18"/>
  <c r="A163" i="18"/>
  <c r="G162" i="18"/>
  <c r="F162" i="18"/>
  <c r="A161" i="18"/>
  <c r="G160" i="18"/>
  <c r="I150" i="18"/>
  <c r="B94" i="18"/>
  <c r="I89" i="18"/>
  <c r="A89" i="18"/>
  <c r="G88" i="18"/>
  <c r="F88" i="18"/>
  <c r="A87" i="18"/>
  <c r="G86" i="18"/>
  <c r="I76" i="18"/>
  <c r="H32" i="18"/>
  <c r="H14" i="18" s="1"/>
  <c r="H28" i="18"/>
  <c r="H13" i="18" s="1"/>
  <c r="I13" i="18" s="1"/>
  <c r="H25" i="18"/>
  <c r="H12" i="18" s="1"/>
  <c r="B20" i="18"/>
  <c r="I15" i="18"/>
  <c r="A15" i="18"/>
  <c r="G14" i="18"/>
  <c r="F14" i="18"/>
  <c r="A13" i="18"/>
  <c r="G12" i="18"/>
  <c r="I2" i="18"/>
  <c r="B20" i="16"/>
  <c r="G14" i="16"/>
  <c r="F14" i="16"/>
  <c r="G12" i="16"/>
  <c r="I2" i="16"/>
  <c r="B19" i="15"/>
  <c r="G14" i="15"/>
  <c r="F14" i="15"/>
  <c r="G13" i="15"/>
  <c r="G12" i="15"/>
  <c r="I2" i="15"/>
  <c r="B19" i="14"/>
  <c r="G14" i="14"/>
  <c r="F14" i="14"/>
  <c r="G13" i="14"/>
  <c r="G12" i="14"/>
  <c r="I2" i="14"/>
  <c r="B19" i="13"/>
  <c r="G14" i="13"/>
  <c r="F14" i="13"/>
  <c r="G12" i="13"/>
  <c r="I2" i="13"/>
  <c r="B19" i="12"/>
  <c r="G14" i="12"/>
  <c r="F14" i="12"/>
  <c r="G13" i="12"/>
  <c r="G12" i="12"/>
  <c r="I2" i="12"/>
  <c r="E33" i="11"/>
  <c r="E32" i="11"/>
  <c r="E30" i="11"/>
  <c r="E29" i="11"/>
  <c r="E28" i="11"/>
  <c r="E26" i="11"/>
  <c r="E25" i="11"/>
  <c r="B21" i="11"/>
  <c r="F14" i="11"/>
  <c r="G13" i="11"/>
  <c r="G12" i="11"/>
  <c r="C7" i="11"/>
  <c r="I2" i="11"/>
  <c r="J41" i="10"/>
  <c r="A41" i="10"/>
  <c r="J40" i="10"/>
  <c r="A40" i="10"/>
  <c r="J39" i="10"/>
  <c r="A39" i="10"/>
  <c r="J38" i="10"/>
  <c r="A38" i="10"/>
  <c r="J37" i="10"/>
  <c r="A37" i="10"/>
  <c r="J36" i="10"/>
  <c r="A36" i="10"/>
  <c r="J35" i="10"/>
  <c r="A35" i="10"/>
  <c r="J34" i="10"/>
  <c r="A34" i="10"/>
  <c r="J33" i="10"/>
  <c r="A33" i="10"/>
  <c r="J32" i="10"/>
  <c r="A32" i="10"/>
  <c r="J31" i="10"/>
  <c r="A31" i="10"/>
  <c r="J30" i="10"/>
  <c r="A30" i="10"/>
  <c r="J29" i="10"/>
  <c r="A29" i="10"/>
  <c r="J28" i="10"/>
  <c r="A28" i="10"/>
  <c r="J27" i="10"/>
  <c r="A27" i="10"/>
  <c r="J26" i="10"/>
  <c r="A26" i="10"/>
  <c r="J25" i="10"/>
  <c r="A25" i="10"/>
  <c r="J24" i="10"/>
  <c r="A24" i="10"/>
  <c r="J23" i="10"/>
  <c r="A23" i="10"/>
  <c r="J22" i="10"/>
  <c r="A22" i="10"/>
  <c r="A21" i="10"/>
  <c r="A20" i="10"/>
  <c r="A19" i="10"/>
  <c r="A18" i="10"/>
  <c r="A17" i="10"/>
  <c r="H16" i="10"/>
  <c r="A16" i="10"/>
  <c r="A15" i="10"/>
  <c r="A14" i="10"/>
  <c r="A13" i="10"/>
  <c r="A12" i="10"/>
  <c r="J11" i="10"/>
  <c r="A11" i="10"/>
  <c r="A10" i="10"/>
  <c r="A9" i="10"/>
  <c r="A8" i="10"/>
  <c r="A7" i="10"/>
  <c r="J6" i="10"/>
  <c r="H6" i="10"/>
  <c r="A6" i="10"/>
  <c r="J5" i="10"/>
  <c r="A5" i="10"/>
  <c r="J4" i="10"/>
  <c r="A4" i="10"/>
  <c r="J3" i="10"/>
  <c r="A3" i="10"/>
  <c r="J2" i="10"/>
  <c r="A2" i="10"/>
  <c r="K31" i="9"/>
  <c r="M16" i="9"/>
  <c r="J16" i="9"/>
  <c r="O8" i="9"/>
  <c r="N8" i="9"/>
  <c r="M8" i="9"/>
  <c r="J8" i="9"/>
  <c r="L8" i="9" s="1"/>
  <c r="E61" i="8"/>
  <c r="Q56" i="8"/>
  <c r="D52" i="8"/>
  <c r="C52" i="8"/>
  <c r="B52" i="8"/>
  <c r="A52" i="8"/>
  <c r="D51" i="8"/>
  <c r="C51" i="8"/>
  <c r="E51" i="8" s="1"/>
  <c r="G51" i="8" s="1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G45" i="8"/>
  <c r="D45" i="8"/>
  <c r="C45" i="8"/>
  <c r="B45" i="8"/>
  <c r="A45" i="8"/>
  <c r="G44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G37" i="8"/>
  <c r="D37" i="8"/>
  <c r="C37" i="8"/>
  <c r="B37" i="8"/>
  <c r="A37" i="8"/>
  <c r="D36" i="8"/>
  <c r="C36" i="8"/>
  <c r="B36" i="8"/>
  <c r="A36" i="8"/>
  <c r="D35" i="8"/>
  <c r="C35" i="8"/>
  <c r="B35" i="8"/>
  <c r="A35" i="8"/>
  <c r="I19" i="8"/>
  <c r="E45" i="7"/>
  <c r="Q39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E27" i="7" s="1"/>
  <c r="G27" i="7" s="1"/>
  <c r="B27" i="7"/>
  <c r="A27" i="7"/>
  <c r="D26" i="7"/>
  <c r="C26" i="7"/>
  <c r="B26" i="7"/>
  <c r="A26" i="7"/>
  <c r="N17" i="7"/>
  <c r="I10" i="7"/>
  <c r="I12" i="7" s="1"/>
  <c r="I9" i="6"/>
  <c r="J11" i="6"/>
  <c r="H21" i="5"/>
  <c r="I10" i="5" s="1"/>
  <c r="H18" i="5"/>
  <c r="I9" i="5" s="1"/>
  <c r="J11" i="5"/>
  <c r="J15" i="5" s="1"/>
  <c r="F83" i="4"/>
  <c r="E83" i="4"/>
  <c r="G83" i="4" s="1"/>
  <c r="I83" i="4" s="1"/>
  <c r="C83" i="4"/>
  <c r="B83" i="4"/>
  <c r="F82" i="4"/>
  <c r="E82" i="4"/>
  <c r="C82" i="4"/>
  <c r="B82" i="4"/>
  <c r="F81" i="4"/>
  <c r="E81" i="4"/>
  <c r="C81" i="4"/>
  <c r="B81" i="4"/>
  <c r="F80" i="4"/>
  <c r="E80" i="4"/>
  <c r="C80" i="4"/>
  <c r="B80" i="4"/>
  <c r="F79" i="4"/>
  <c r="E79" i="4"/>
  <c r="C79" i="4"/>
  <c r="B79" i="4"/>
  <c r="F78" i="4"/>
  <c r="E78" i="4"/>
  <c r="C78" i="4"/>
  <c r="B78" i="4"/>
  <c r="F77" i="4"/>
  <c r="E77" i="4"/>
  <c r="C77" i="4"/>
  <c r="B77" i="4"/>
  <c r="F76" i="4"/>
  <c r="E76" i="4"/>
  <c r="C76" i="4"/>
  <c r="B76" i="4"/>
  <c r="F75" i="4"/>
  <c r="E75" i="4"/>
  <c r="C75" i="4"/>
  <c r="B75" i="4"/>
  <c r="F74" i="4"/>
  <c r="E74" i="4"/>
  <c r="C74" i="4"/>
  <c r="B74" i="4"/>
  <c r="F73" i="4"/>
  <c r="E73" i="4"/>
  <c r="C73" i="4"/>
  <c r="B73" i="4"/>
  <c r="F72" i="4"/>
  <c r="E72" i="4"/>
  <c r="C72" i="4"/>
  <c r="B72" i="4"/>
  <c r="F71" i="4"/>
  <c r="E71" i="4"/>
  <c r="G71" i="4" s="1"/>
  <c r="I71" i="4" s="1"/>
  <c r="C71" i="4"/>
  <c r="B71" i="4"/>
  <c r="F70" i="4"/>
  <c r="E70" i="4"/>
  <c r="C70" i="4"/>
  <c r="B70" i="4"/>
  <c r="F69" i="4"/>
  <c r="E69" i="4"/>
  <c r="C69" i="4"/>
  <c r="B69" i="4"/>
  <c r="F68" i="4"/>
  <c r="E68" i="4"/>
  <c r="C68" i="4"/>
  <c r="B68" i="4"/>
  <c r="F67" i="4"/>
  <c r="E67" i="4"/>
  <c r="C67" i="4"/>
  <c r="B67" i="4"/>
  <c r="F66" i="4"/>
  <c r="E66" i="4"/>
  <c r="C66" i="4"/>
  <c r="B66" i="4"/>
  <c r="F65" i="4"/>
  <c r="E65" i="4"/>
  <c r="C65" i="4"/>
  <c r="B65" i="4"/>
  <c r="F64" i="4"/>
  <c r="E64" i="4"/>
  <c r="C64" i="4"/>
  <c r="B64" i="4"/>
  <c r="F63" i="4"/>
  <c r="E63" i="4"/>
  <c r="C63" i="4"/>
  <c r="B63" i="4"/>
  <c r="F62" i="4"/>
  <c r="E62" i="4"/>
  <c r="C62" i="4"/>
  <c r="B62" i="4"/>
  <c r="F61" i="4"/>
  <c r="E61" i="4"/>
  <c r="C61" i="4"/>
  <c r="B61" i="4"/>
  <c r="F60" i="4"/>
  <c r="E60" i="4"/>
  <c r="C60" i="4"/>
  <c r="B60" i="4"/>
  <c r="F59" i="4"/>
  <c r="E59" i="4"/>
  <c r="C59" i="4"/>
  <c r="B59" i="4"/>
  <c r="F58" i="4"/>
  <c r="E58" i="4"/>
  <c r="C58" i="4"/>
  <c r="B58" i="4"/>
  <c r="F57" i="4"/>
  <c r="E57" i="4"/>
  <c r="C57" i="4"/>
  <c r="B57" i="4"/>
  <c r="F56" i="4"/>
  <c r="E56" i="4"/>
  <c r="C56" i="4"/>
  <c r="B56" i="4"/>
  <c r="F55" i="4"/>
  <c r="E55" i="4"/>
  <c r="C55" i="4"/>
  <c r="B55" i="4"/>
  <c r="F54" i="4"/>
  <c r="E54" i="4"/>
  <c r="C54" i="4"/>
  <c r="B54" i="4"/>
  <c r="F53" i="4"/>
  <c r="E53" i="4"/>
  <c r="C53" i="4"/>
  <c r="B53" i="4"/>
  <c r="F52" i="4"/>
  <c r="E52" i="4"/>
  <c r="C52" i="4"/>
  <c r="B52" i="4"/>
  <c r="F51" i="4"/>
  <c r="E51" i="4"/>
  <c r="C51" i="4"/>
  <c r="B51" i="4"/>
  <c r="F50" i="4"/>
  <c r="E50" i="4"/>
  <c r="C50" i="4"/>
  <c r="B50" i="4"/>
  <c r="F49" i="4"/>
  <c r="E49" i="4"/>
  <c r="C49" i="4"/>
  <c r="B49" i="4"/>
  <c r="F48" i="4"/>
  <c r="E48" i="4"/>
  <c r="C48" i="4"/>
  <c r="B48" i="4"/>
  <c r="F47" i="4"/>
  <c r="E47" i="4"/>
  <c r="C47" i="4"/>
  <c r="B47" i="4"/>
  <c r="F46" i="4"/>
  <c r="E46" i="4"/>
  <c r="C46" i="4"/>
  <c r="B46" i="4"/>
  <c r="F45" i="4"/>
  <c r="E45" i="4"/>
  <c r="C45" i="4"/>
  <c r="B45" i="4"/>
  <c r="F44" i="4"/>
  <c r="E44" i="4"/>
  <c r="C44" i="4"/>
  <c r="B44" i="4"/>
  <c r="F43" i="4"/>
  <c r="E43" i="4"/>
  <c r="C43" i="4"/>
  <c r="B43" i="4"/>
  <c r="F42" i="4"/>
  <c r="E42" i="4"/>
  <c r="C42" i="4"/>
  <c r="B42" i="4"/>
  <c r="F41" i="4"/>
  <c r="E41" i="4"/>
  <c r="C41" i="4"/>
  <c r="B41" i="4"/>
  <c r="F40" i="4"/>
  <c r="E40" i="4"/>
  <c r="C40" i="4"/>
  <c r="B40" i="4"/>
  <c r="F39" i="4"/>
  <c r="E39" i="4"/>
  <c r="C39" i="4"/>
  <c r="B39" i="4"/>
  <c r="F38" i="4"/>
  <c r="E38" i="4"/>
  <c r="C38" i="4"/>
  <c r="B38" i="4"/>
  <c r="F37" i="4"/>
  <c r="E37" i="4"/>
  <c r="C37" i="4"/>
  <c r="B37" i="4"/>
  <c r="F36" i="4"/>
  <c r="E36" i="4"/>
  <c r="C36" i="4"/>
  <c r="B36" i="4"/>
  <c r="F35" i="4"/>
  <c r="E35" i="4"/>
  <c r="C35" i="4"/>
  <c r="B35" i="4"/>
  <c r="F34" i="4"/>
  <c r="E34" i="4"/>
  <c r="C34" i="4"/>
  <c r="B34" i="4"/>
  <c r="F33" i="4"/>
  <c r="E33" i="4"/>
  <c r="C33" i="4"/>
  <c r="B33" i="4"/>
  <c r="F32" i="4"/>
  <c r="E32" i="4"/>
  <c r="C32" i="4"/>
  <c r="B32" i="4"/>
  <c r="F31" i="4"/>
  <c r="E31" i="4"/>
  <c r="C31" i="4"/>
  <c r="B31" i="4"/>
  <c r="F30" i="4"/>
  <c r="E30" i="4"/>
  <c r="C30" i="4"/>
  <c r="B30" i="4"/>
  <c r="F29" i="4"/>
  <c r="E29" i="4"/>
  <c r="C29" i="4"/>
  <c r="B29" i="4"/>
  <c r="F28" i="4"/>
  <c r="E28" i="4"/>
  <c r="C28" i="4"/>
  <c r="B28" i="4"/>
  <c r="N36" i="3"/>
  <c r="N34" i="3"/>
  <c r="P31" i="2" s="1"/>
  <c r="N33" i="3"/>
  <c r="N32" i="3"/>
  <c r="P30" i="2" s="1"/>
  <c r="N31" i="3"/>
  <c r="N30" i="3"/>
  <c r="P20" i="2" s="1"/>
  <c r="P64" i="2" s="1"/>
  <c r="N29" i="3"/>
  <c r="N28" i="3"/>
  <c r="H30" i="1" s="1"/>
  <c r="K30" i="1" s="1"/>
  <c r="N27" i="3"/>
  <c r="P21" i="2" s="1"/>
  <c r="P65" i="2" s="1"/>
  <c r="N26" i="3"/>
  <c r="P22" i="2" s="1"/>
  <c r="P66" i="2" s="1"/>
  <c r="N25" i="3"/>
  <c r="P28" i="2" s="1"/>
  <c r="P55" i="2" s="1"/>
  <c r="N24" i="3"/>
  <c r="H23" i="1" s="1"/>
  <c r="K23" i="1" s="1"/>
  <c r="N23" i="3"/>
  <c r="P26" i="2" s="1"/>
  <c r="P53" i="2" s="1"/>
  <c r="N22" i="3"/>
  <c r="N21" i="3"/>
  <c r="H21" i="1" s="1"/>
  <c r="K21" i="1" s="1"/>
  <c r="N20" i="3"/>
  <c r="H16" i="1" s="1"/>
  <c r="K16" i="1" s="1"/>
  <c r="N19" i="3"/>
  <c r="P10" i="2" s="1"/>
  <c r="P46" i="2" s="1"/>
  <c r="N18" i="3"/>
  <c r="P11" i="2" s="1"/>
  <c r="F15" i="15" s="1"/>
  <c r="N17" i="3"/>
  <c r="H13" i="1" s="1"/>
  <c r="K13" i="1" s="1"/>
  <c r="N16" i="3"/>
  <c r="N15" i="3"/>
  <c r="N14" i="3"/>
  <c r="P34" i="2" s="1"/>
  <c r="N13" i="3"/>
  <c r="P33" i="2" s="1"/>
  <c r="N12" i="3"/>
  <c r="N11" i="3"/>
  <c r="N10" i="3"/>
  <c r="P8" i="2" s="1"/>
  <c r="P44" i="2" s="1"/>
  <c r="N9" i="3"/>
  <c r="P7" i="2" s="1"/>
  <c r="P43" i="2" s="1"/>
  <c r="N8" i="3"/>
  <c r="P4" i="2" s="1"/>
  <c r="P40" i="2" s="1"/>
  <c r="P7" i="3"/>
  <c r="O7" i="3" s="1"/>
  <c r="Q2" i="2" s="1"/>
  <c r="N7" i="3"/>
  <c r="P2" i="2" s="1"/>
  <c r="P38" i="2" s="1"/>
  <c r="N6" i="3"/>
  <c r="H4" i="1" s="1"/>
  <c r="N5" i="3"/>
  <c r="H3" i="1" s="1"/>
  <c r="K3" i="1" s="1"/>
  <c r="N4" i="3"/>
  <c r="P13" i="2" s="1"/>
  <c r="N3" i="3"/>
  <c r="N87" i="2"/>
  <c r="M87" i="2"/>
  <c r="K87" i="2"/>
  <c r="F21" i="4" s="1"/>
  <c r="J87" i="2"/>
  <c r="F20" i="4" s="1"/>
  <c r="I87" i="2"/>
  <c r="F22" i="4" s="1"/>
  <c r="G87" i="2"/>
  <c r="E84" i="4" s="1"/>
  <c r="F87" i="2"/>
  <c r="E87" i="2"/>
  <c r="D87" i="2"/>
  <c r="R69" i="2"/>
  <c r="O69" i="2"/>
  <c r="L69" i="2"/>
  <c r="O68" i="2"/>
  <c r="R67" i="2"/>
  <c r="O67" i="2"/>
  <c r="C55" i="2"/>
  <c r="C54" i="2"/>
  <c r="C49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O33" i="2"/>
  <c r="Q32" i="2"/>
  <c r="Q49" i="2" s="1"/>
  <c r="P32" i="2"/>
  <c r="P49" i="2" s="1"/>
  <c r="O32" i="2"/>
  <c r="O49" i="2" s="1"/>
  <c r="N32" i="2"/>
  <c r="N49" i="2" s="1"/>
  <c r="M32" i="2"/>
  <c r="M49" i="2" s="1"/>
  <c r="L32" i="2"/>
  <c r="L49" i="2" s="1"/>
  <c r="K32" i="2"/>
  <c r="K49" i="2" s="1"/>
  <c r="J32" i="2"/>
  <c r="J49" i="2" s="1"/>
  <c r="I32" i="2"/>
  <c r="I49" i="2" s="1"/>
  <c r="H32" i="2"/>
  <c r="H49" i="2" s="1"/>
  <c r="G32" i="2"/>
  <c r="G49" i="2" s="1"/>
  <c r="F32" i="2"/>
  <c r="F49" i="2" s="1"/>
  <c r="E32" i="2"/>
  <c r="E49" i="2" s="1"/>
  <c r="D32" i="2"/>
  <c r="D49" i="2" s="1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Q55" i="2" s="1"/>
  <c r="O28" i="2"/>
  <c r="O55" i="2" s="1"/>
  <c r="N28" i="2"/>
  <c r="E1340" i="19" s="1"/>
  <c r="M28" i="2"/>
  <c r="E1339" i="19" s="1"/>
  <c r="L28" i="2"/>
  <c r="L55" i="2" s="1"/>
  <c r="K28" i="2"/>
  <c r="E1336" i="19" s="1"/>
  <c r="J28" i="2"/>
  <c r="E1335" i="19" s="1"/>
  <c r="I28" i="2"/>
  <c r="E1337" i="19" s="1"/>
  <c r="H28" i="2"/>
  <c r="H55" i="2" s="1"/>
  <c r="G28" i="2"/>
  <c r="F28" i="2"/>
  <c r="E1333" i="19" s="1"/>
  <c r="E28" i="2"/>
  <c r="E55" i="2" s="1"/>
  <c r="D28" i="2"/>
  <c r="D55" i="2" s="1"/>
  <c r="Q27" i="2"/>
  <c r="Q54" i="2" s="1"/>
  <c r="P27" i="2"/>
  <c r="P54" i="2" s="1"/>
  <c r="O27" i="2"/>
  <c r="H916" i="18" s="1"/>
  <c r="N27" i="2"/>
  <c r="E1290" i="19" s="1"/>
  <c r="M27" i="2"/>
  <c r="E1289" i="19" s="1"/>
  <c r="L27" i="2"/>
  <c r="L54" i="2" s="1"/>
  <c r="K27" i="2"/>
  <c r="E1286" i="19" s="1"/>
  <c r="J27" i="2"/>
  <c r="E1285" i="19" s="1"/>
  <c r="I27" i="2"/>
  <c r="E1287" i="19" s="1"/>
  <c r="H27" i="2"/>
  <c r="H54" i="2" s="1"/>
  <c r="G27" i="2"/>
  <c r="E1282" i="19" s="1"/>
  <c r="F27" i="2"/>
  <c r="E27" i="2"/>
  <c r="D27" i="2"/>
  <c r="Q26" i="2"/>
  <c r="Q53" i="2" s="1"/>
  <c r="O26" i="2"/>
  <c r="N26" i="2"/>
  <c r="M26" i="2"/>
  <c r="M53" i="2" s="1"/>
  <c r="L26" i="2"/>
  <c r="L53" i="2" s="1"/>
  <c r="K26" i="2"/>
  <c r="J26" i="2"/>
  <c r="J53" i="2" s="1"/>
  <c r="I26" i="2"/>
  <c r="I53" i="2" s="1"/>
  <c r="H26" i="2"/>
  <c r="H53" i="2" s="1"/>
  <c r="G26" i="2"/>
  <c r="G53" i="2" s="1"/>
  <c r="F26" i="2"/>
  <c r="F53" i="2" s="1"/>
  <c r="E26" i="2"/>
  <c r="E53" i="2" s="1"/>
  <c r="D26" i="2"/>
  <c r="D53" i="2" s="1"/>
  <c r="C26" i="2"/>
  <c r="Q25" i="2"/>
  <c r="Q52" i="2" s="1"/>
  <c r="O25" i="2"/>
  <c r="O52" i="2" s="1"/>
  <c r="N25" i="2"/>
  <c r="N52" i="2" s="1"/>
  <c r="M25" i="2"/>
  <c r="M52" i="2" s="1"/>
  <c r="L25" i="2"/>
  <c r="L52" i="2" s="1"/>
  <c r="K25" i="2"/>
  <c r="J25" i="2"/>
  <c r="J52" i="2" s="1"/>
  <c r="I25" i="2"/>
  <c r="I52" i="2" s="1"/>
  <c r="H25" i="2"/>
  <c r="H52" i="2" s="1"/>
  <c r="G25" i="2"/>
  <c r="G52" i="2" s="1"/>
  <c r="F25" i="2"/>
  <c r="F52" i="2" s="1"/>
  <c r="E25" i="2"/>
  <c r="E52" i="2" s="1"/>
  <c r="D25" i="2"/>
  <c r="D52" i="2" s="1"/>
  <c r="C25" i="2"/>
  <c r="Q24" i="2"/>
  <c r="O24" i="2"/>
  <c r="O51" i="2" s="1"/>
  <c r="N24" i="2"/>
  <c r="N51" i="2" s="1"/>
  <c r="M24" i="2"/>
  <c r="M51" i="2" s="1"/>
  <c r="L24" i="2"/>
  <c r="L51" i="2" s="1"/>
  <c r="K24" i="2"/>
  <c r="J24" i="2"/>
  <c r="J51" i="2" s="1"/>
  <c r="I24" i="2"/>
  <c r="I51" i="2" s="1"/>
  <c r="H24" i="2"/>
  <c r="H51" i="2" s="1"/>
  <c r="G24" i="2"/>
  <c r="F24" i="2"/>
  <c r="F51" i="2" s="1"/>
  <c r="E24" i="2"/>
  <c r="E51" i="2" s="1"/>
  <c r="D24" i="2"/>
  <c r="D51" i="2" s="1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O22" i="2"/>
  <c r="O66" i="2" s="1"/>
  <c r="N22" i="2"/>
  <c r="N66" i="2" s="1"/>
  <c r="M22" i="2"/>
  <c r="M66" i="2" s="1"/>
  <c r="L22" i="2"/>
  <c r="L66" i="2" s="1"/>
  <c r="K22" i="2"/>
  <c r="K66" i="2" s="1"/>
  <c r="J22" i="2"/>
  <c r="J66" i="2" s="1"/>
  <c r="I22" i="2"/>
  <c r="I66" i="2" s="1"/>
  <c r="H22" i="2"/>
  <c r="H66" i="2" s="1"/>
  <c r="G22" i="2"/>
  <c r="G66" i="2" s="1"/>
  <c r="F22" i="2"/>
  <c r="F66" i="2" s="1"/>
  <c r="E22" i="2"/>
  <c r="E66" i="2" s="1"/>
  <c r="D22" i="2"/>
  <c r="D66" i="2" s="1"/>
  <c r="C22" i="2"/>
  <c r="C66" i="2" s="1"/>
  <c r="Q21" i="2"/>
  <c r="O21" i="2"/>
  <c r="O65" i="2" s="1"/>
  <c r="N21" i="2"/>
  <c r="N65" i="2" s="1"/>
  <c r="M21" i="2"/>
  <c r="M65" i="2" s="1"/>
  <c r="L21" i="2"/>
  <c r="L65" i="2" s="1"/>
  <c r="K21" i="2"/>
  <c r="K65" i="2" s="1"/>
  <c r="J21" i="2"/>
  <c r="J65" i="2" s="1"/>
  <c r="I21" i="2"/>
  <c r="I65" i="2" s="1"/>
  <c r="H21" i="2"/>
  <c r="H65" i="2" s="1"/>
  <c r="G21" i="2"/>
  <c r="G65" i="2" s="1"/>
  <c r="F21" i="2"/>
  <c r="F65" i="2" s="1"/>
  <c r="E21" i="2"/>
  <c r="E65" i="2" s="1"/>
  <c r="D21" i="2"/>
  <c r="D65" i="2" s="1"/>
  <c r="C21" i="2"/>
  <c r="C65" i="2" s="1"/>
  <c r="Q20" i="2"/>
  <c r="O20" i="2"/>
  <c r="O64" i="2" s="1"/>
  <c r="N20" i="2"/>
  <c r="N64" i="2" s="1"/>
  <c r="M20" i="2"/>
  <c r="L20" i="2"/>
  <c r="L64" i="2" s="1"/>
  <c r="K20" i="2"/>
  <c r="J20" i="2"/>
  <c r="J64" i="2" s="1"/>
  <c r="I20" i="2"/>
  <c r="I64" i="2" s="1"/>
  <c r="H20" i="2"/>
  <c r="H64" i="2" s="1"/>
  <c r="G20" i="2"/>
  <c r="F20" i="2"/>
  <c r="E20" i="2"/>
  <c r="E64" i="2" s="1"/>
  <c r="D20" i="2"/>
  <c r="D64" i="2" s="1"/>
  <c r="C20" i="2"/>
  <c r="Q19" i="2"/>
  <c r="P19" i="2"/>
  <c r="P63" i="2" s="1"/>
  <c r="O19" i="2"/>
  <c r="O63" i="2" s="1"/>
  <c r="N19" i="2"/>
  <c r="M19" i="2"/>
  <c r="L19" i="2"/>
  <c r="L63" i="2" s="1"/>
  <c r="K19" i="2"/>
  <c r="J19" i="2"/>
  <c r="J63" i="2" s="1"/>
  <c r="I19" i="2"/>
  <c r="I63" i="2" s="1"/>
  <c r="H19" i="2"/>
  <c r="H63" i="2" s="1"/>
  <c r="G19" i="2"/>
  <c r="E86" i="23" s="1"/>
  <c r="F19" i="2"/>
  <c r="F63" i="2" s="1"/>
  <c r="E19" i="2"/>
  <c r="E63" i="2" s="1"/>
  <c r="D19" i="2"/>
  <c r="D63" i="2" s="1"/>
  <c r="C19" i="2"/>
  <c r="C60" i="23" s="1"/>
  <c r="Q18" i="2"/>
  <c r="P18" i="2"/>
  <c r="P62" i="2" s="1"/>
  <c r="O18" i="2"/>
  <c r="O62" i="2" s="1"/>
  <c r="N18" i="2"/>
  <c r="M18" i="2"/>
  <c r="L18" i="2"/>
  <c r="L62" i="2" s="1"/>
  <c r="K18" i="2"/>
  <c r="J18" i="2"/>
  <c r="J62" i="2" s="1"/>
  <c r="I18" i="2"/>
  <c r="I62" i="2" s="1"/>
  <c r="H18" i="2"/>
  <c r="H62" i="2" s="1"/>
  <c r="G18" i="2"/>
  <c r="F18" i="2"/>
  <c r="E18" i="2"/>
  <c r="E62" i="2" s="1"/>
  <c r="D18" i="2"/>
  <c r="D62" i="2" s="1"/>
  <c r="C18" i="2"/>
  <c r="Q17" i="2"/>
  <c r="P17" i="2"/>
  <c r="P61" i="2" s="1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Q60" i="2" s="1"/>
  <c r="P16" i="2"/>
  <c r="P60" i="2" s="1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G15" i="20" s="1"/>
  <c r="O15" i="2"/>
  <c r="O59" i="2" s="1"/>
  <c r="N15" i="2"/>
  <c r="N59" i="2" s="1"/>
  <c r="M15" i="2"/>
  <c r="L15" i="2"/>
  <c r="L59" i="2" s="1"/>
  <c r="K15" i="2"/>
  <c r="J15" i="2"/>
  <c r="I15" i="2"/>
  <c r="H15" i="2"/>
  <c r="H59" i="2" s="1"/>
  <c r="G15" i="2"/>
  <c r="F15" i="2"/>
  <c r="F59" i="2" s="1"/>
  <c r="E15" i="2"/>
  <c r="E59" i="2" s="1"/>
  <c r="D15" i="2"/>
  <c r="D59" i="2" s="1"/>
  <c r="C15" i="2"/>
  <c r="C8" i="23" s="1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Q48" i="2" s="1"/>
  <c r="P12" i="2"/>
  <c r="P48" i="2" s="1"/>
  <c r="O12" i="2"/>
  <c r="O48" i="2" s="1"/>
  <c r="N12" i="2"/>
  <c r="N48" i="2" s="1"/>
  <c r="M12" i="2"/>
  <c r="M48" i="2" s="1"/>
  <c r="L12" i="2"/>
  <c r="L48" i="2" s="1"/>
  <c r="K12" i="2"/>
  <c r="J12" i="2"/>
  <c r="I12" i="2"/>
  <c r="H12" i="2"/>
  <c r="H48" i="2" s="1"/>
  <c r="G12" i="2"/>
  <c r="G48" i="2" s="1"/>
  <c r="F12" i="2"/>
  <c r="F48" i="2" s="1"/>
  <c r="E12" i="2"/>
  <c r="E48" i="2" s="1"/>
  <c r="D12" i="2"/>
  <c r="D48" i="2" s="1"/>
  <c r="C12" i="2"/>
  <c r="Q11" i="2"/>
  <c r="G15" i="15" s="1"/>
  <c r="O11" i="2"/>
  <c r="O47" i="2" s="1"/>
  <c r="N11" i="2"/>
  <c r="N47" i="2" s="1"/>
  <c r="M11" i="2"/>
  <c r="M47" i="2" s="1"/>
  <c r="L11" i="2"/>
  <c r="L47" i="2" s="1"/>
  <c r="K11" i="2"/>
  <c r="J11" i="2"/>
  <c r="I11" i="2"/>
  <c r="H11" i="2"/>
  <c r="H47" i="2" s="1"/>
  <c r="G11" i="2"/>
  <c r="E690" i="19" s="1"/>
  <c r="F11" i="2"/>
  <c r="F47" i="2" s="1"/>
  <c r="E11" i="2"/>
  <c r="E47" i="2" s="1"/>
  <c r="D11" i="2"/>
  <c r="D47" i="2" s="1"/>
  <c r="C11" i="2"/>
  <c r="Q10" i="2"/>
  <c r="Q46" i="2" s="1"/>
  <c r="O10" i="2"/>
  <c r="O46" i="2" s="1"/>
  <c r="N10" i="2"/>
  <c r="N46" i="2" s="1"/>
  <c r="M10" i="2"/>
  <c r="M46" i="2" s="1"/>
  <c r="L10" i="2"/>
  <c r="L46" i="2" s="1"/>
  <c r="K10" i="2"/>
  <c r="J10" i="2"/>
  <c r="I10" i="2"/>
  <c r="H10" i="2"/>
  <c r="H46" i="2" s="1"/>
  <c r="G10" i="2"/>
  <c r="G46" i="2" s="1"/>
  <c r="F10" i="2"/>
  <c r="F46" i="2" s="1"/>
  <c r="E10" i="2"/>
  <c r="E46" i="2" s="1"/>
  <c r="D10" i="2"/>
  <c r="D46" i="2" s="1"/>
  <c r="C10" i="2"/>
  <c r="Q9" i="2"/>
  <c r="G15" i="12" s="1"/>
  <c r="O9" i="2"/>
  <c r="O45" i="2" s="1"/>
  <c r="N9" i="2"/>
  <c r="N45" i="2" s="1"/>
  <c r="M9" i="2"/>
  <c r="M45" i="2" s="1"/>
  <c r="L9" i="2"/>
  <c r="L45" i="2" s="1"/>
  <c r="K9" i="2"/>
  <c r="J9" i="2"/>
  <c r="I9" i="2"/>
  <c r="H9" i="2"/>
  <c r="H45" i="2" s="1"/>
  <c r="G9" i="2"/>
  <c r="G45" i="2" s="1"/>
  <c r="F9" i="2"/>
  <c r="F45" i="2" s="1"/>
  <c r="E9" i="2"/>
  <c r="E45" i="2" s="1"/>
  <c r="D9" i="2"/>
  <c r="D45" i="2" s="1"/>
  <c r="C9" i="2"/>
  <c r="Q8" i="2"/>
  <c r="Q44" i="2" s="1"/>
  <c r="O8" i="2"/>
  <c r="O44" i="2" s="1"/>
  <c r="N8" i="2"/>
  <c r="N44" i="2" s="1"/>
  <c r="M8" i="2"/>
  <c r="E475" i="19" s="1"/>
  <c r="L8" i="2"/>
  <c r="L44" i="2" s="1"/>
  <c r="K8" i="2"/>
  <c r="J8" i="2"/>
  <c r="I8" i="2"/>
  <c r="H8" i="2"/>
  <c r="H44" i="2" s="1"/>
  <c r="G8" i="2"/>
  <c r="G44" i="2" s="1"/>
  <c r="F8" i="2"/>
  <c r="F44" i="2" s="1"/>
  <c r="E8" i="2"/>
  <c r="E44" i="2" s="1"/>
  <c r="D8" i="2"/>
  <c r="D44" i="2" s="1"/>
  <c r="C8" i="2"/>
  <c r="Q7" i="2"/>
  <c r="Q43" i="2" s="1"/>
  <c r="O7" i="2"/>
  <c r="O43" i="2" s="1"/>
  <c r="N7" i="2"/>
  <c r="N43" i="2" s="1"/>
  <c r="M7" i="2"/>
  <c r="M43" i="2" s="1"/>
  <c r="L7" i="2"/>
  <c r="L43" i="2" s="1"/>
  <c r="K7" i="2"/>
  <c r="J7" i="2"/>
  <c r="I7" i="2"/>
  <c r="H7" i="2"/>
  <c r="H43" i="2" s="1"/>
  <c r="G7" i="2"/>
  <c r="G43" i="2" s="1"/>
  <c r="F7" i="2"/>
  <c r="F43" i="2" s="1"/>
  <c r="E7" i="2"/>
  <c r="E43" i="2" s="1"/>
  <c r="D7" i="2"/>
  <c r="D43" i="2" s="1"/>
  <c r="C7" i="2"/>
  <c r="R6" i="2"/>
  <c r="R42" i="2" s="1"/>
  <c r="C6" i="2"/>
  <c r="Q5" i="2"/>
  <c r="O5" i="2"/>
  <c r="O41" i="2" s="1"/>
  <c r="N5" i="2"/>
  <c r="E254" i="19" s="1"/>
  <c r="M5" i="2"/>
  <c r="M41" i="2" s="1"/>
  <c r="L5" i="2"/>
  <c r="L41" i="2" s="1"/>
  <c r="K5" i="2"/>
  <c r="J5" i="2"/>
  <c r="J41" i="2" s="1"/>
  <c r="I5" i="2"/>
  <c r="I41" i="2" s="1"/>
  <c r="H5" i="2"/>
  <c r="H41" i="2" s="1"/>
  <c r="G5" i="2"/>
  <c r="E246" i="19" s="1"/>
  <c r="F5" i="2"/>
  <c r="F41" i="2" s="1"/>
  <c r="E5" i="2"/>
  <c r="E41" i="2" s="1"/>
  <c r="D5" i="2"/>
  <c r="D41" i="2" s="1"/>
  <c r="C5" i="2"/>
  <c r="Q4" i="2"/>
  <c r="O4" i="2"/>
  <c r="O40" i="2" s="1"/>
  <c r="N4" i="2"/>
  <c r="E180" i="18" s="1"/>
  <c r="M4" i="2"/>
  <c r="M40" i="2" s="1"/>
  <c r="L4" i="2"/>
  <c r="L40" i="2" s="1"/>
  <c r="K4" i="2"/>
  <c r="J4" i="2"/>
  <c r="E175" i="19" s="1"/>
  <c r="I4" i="2"/>
  <c r="I40" i="2" s="1"/>
  <c r="H4" i="2"/>
  <c r="H40" i="2" s="1"/>
  <c r="G4" i="2"/>
  <c r="G40" i="2" s="1"/>
  <c r="F4" i="2"/>
  <c r="F40" i="2" s="1"/>
  <c r="E4" i="2"/>
  <c r="E40" i="2" s="1"/>
  <c r="D4" i="2"/>
  <c r="D40" i="2" s="1"/>
  <c r="C4" i="2"/>
  <c r="Q3" i="2"/>
  <c r="O3" i="2"/>
  <c r="O39" i="2" s="1"/>
  <c r="N3" i="2"/>
  <c r="N39" i="2" s="1"/>
  <c r="M3" i="2"/>
  <c r="M39" i="2" s="1"/>
  <c r="L3" i="2"/>
  <c r="L39" i="2" s="1"/>
  <c r="K3" i="2"/>
  <c r="J3" i="2"/>
  <c r="J39" i="2" s="1"/>
  <c r="I3" i="2"/>
  <c r="E103" i="19" s="1"/>
  <c r="H3" i="2"/>
  <c r="H39" i="2" s="1"/>
  <c r="G3" i="2"/>
  <c r="G39" i="2" s="1"/>
  <c r="F3" i="2"/>
  <c r="F39" i="2" s="1"/>
  <c r="E3" i="2"/>
  <c r="E39" i="2" s="1"/>
  <c r="D3" i="2"/>
  <c r="D39" i="2" s="1"/>
  <c r="C3" i="2"/>
  <c r="O2" i="2"/>
  <c r="H28" i="19" s="1"/>
  <c r="H13" i="19" s="1"/>
  <c r="N2" i="2"/>
  <c r="E32" i="19" s="1"/>
  <c r="M2" i="2"/>
  <c r="E31" i="19" s="1"/>
  <c r="L2" i="2"/>
  <c r="L38" i="2" s="1"/>
  <c r="K2" i="2"/>
  <c r="E28" i="19" s="1"/>
  <c r="J2" i="2"/>
  <c r="E27" i="19" s="1"/>
  <c r="I2" i="2"/>
  <c r="E29" i="19" s="1"/>
  <c r="H2" i="2"/>
  <c r="H38" i="2" s="1"/>
  <c r="G2" i="2"/>
  <c r="E24" i="19" s="1"/>
  <c r="F2" i="2"/>
  <c r="E25" i="19" s="1"/>
  <c r="E2" i="2"/>
  <c r="E38" i="2" s="1"/>
  <c r="D2" i="2"/>
  <c r="D38" i="2" s="1"/>
  <c r="C2" i="2"/>
  <c r="C7" i="19" s="1"/>
  <c r="G32" i="1"/>
  <c r="F32" i="1"/>
  <c r="E32" i="1"/>
  <c r="D32" i="1"/>
  <c r="B32" i="1"/>
  <c r="H31" i="1"/>
  <c r="K31" i="1" s="1"/>
  <c r="G31" i="1"/>
  <c r="F31" i="1"/>
  <c r="E31" i="1"/>
  <c r="D31" i="1"/>
  <c r="B31" i="1"/>
  <c r="G30" i="1"/>
  <c r="J30" i="1" s="1"/>
  <c r="F30" i="1"/>
  <c r="E30" i="1"/>
  <c r="D30" i="1"/>
  <c r="B30" i="1"/>
  <c r="H25" i="1"/>
  <c r="K25" i="1" s="1"/>
  <c r="G25" i="1"/>
  <c r="F25" i="1"/>
  <c r="E25" i="1"/>
  <c r="D25" i="1"/>
  <c r="B25" i="1"/>
  <c r="G24" i="1"/>
  <c r="F24" i="1"/>
  <c r="E24" i="1"/>
  <c r="D24" i="1"/>
  <c r="B24" i="1"/>
  <c r="G23" i="1"/>
  <c r="F23" i="1"/>
  <c r="E23" i="1"/>
  <c r="D23" i="1"/>
  <c r="M23" i="1" s="1"/>
  <c r="B23" i="1"/>
  <c r="G22" i="1"/>
  <c r="J22" i="1" s="1"/>
  <c r="F22" i="1"/>
  <c r="E22" i="1"/>
  <c r="D22" i="1"/>
  <c r="B22" i="1"/>
  <c r="G21" i="1"/>
  <c r="J21" i="1" s="1"/>
  <c r="F21" i="1"/>
  <c r="E21" i="1"/>
  <c r="D21" i="1"/>
  <c r="B21" i="1"/>
  <c r="G16" i="1"/>
  <c r="F16" i="1"/>
  <c r="E16" i="1"/>
  <c r="D16" i="1"/>
  <c r="B16" i="1"/>
  <c r="G15" i="1"/>
  <c r="J15" i="1" s="1"/>
  <c r="F15" i="1"/>
  <c r="E15" i="1"/>
  <c r="D15" i="1"/>
  <c r="B15" i="1"/>
  <c r="G14" i="1"/>
  <c r="F14" i="1"/>
  <c r="E14" i="1"/>
  <c r="D14" i="1"/>
  <c r="M14" i="1" s="1"/>
  <c r="B14" i="1"/>
  <c r="G13" i="1"/>
  <c r="F13" i="1"/>
  <c r="E13" i="1"/>
  <c r="D13" i="1"/>
  <c r="B13" i="1"/>
  <c r="H8" i="1"/>
  <c r="K8" i="1" s="1"/>
  <c r="G8" i="1"/>
  <c r="F8" i="1"/>
  <c r="E8" i="1"/>
  <c r="D8" i="1"/>
  <c r="B8" i="1"/>
  <c r="G7" i="1"/>
  <c r="F7" i="1"/>
  <c r="E7" i="1"/>
  <c r="D7" i="1"/>
  <c r="B7" i="1"/>
  <c r="G6" i="1"/>
  <c r="F6" i="1"/>
  <c r="E6" i="1"/>
  <c r="D6" i="1"/>
  <c r="B6" i="1"/>
  <c r="H5" i="1"/>
  <c r="G5" i="1"/>
  <c r="F5" i="1"/>
  <c r="E5" i="1"/>
  <c r="D5" i="1"/>
  <c r="M5" i="1" s="1"/>
  <c r="B5" i="1"/>
  <c r="G4" i="1"/>
  <c r="F4" i="1"/>
  <c r="E4" i="1"/>
  <c r="D4" i="1"/>
  <c r="B4" i="1"/>
  <c r="G3" i="1"/>
  <c r="J3" i="1" s="1"/>
  <c r="F3" i="1"/>
  <c r="E3" i="1"/>
  <c r="D3" i="1"/>
  <c r="B3" i="1"/>
  <c r="H22" i="1" l="1"/>
  <c r="K22" i="1" s="1"/>
  <c r="H15" i="1"/>
  <c r="K15" i="1" s="1"/>
  <c r="I21" i="1"/>
  <c r="N21" i="1" s="1"/>
  <c r="K957" i="38"/>
  <c r="K964" i="38"/>
  <c r="K966" i="38"/>
  <c r="H32" i="1"/>
  <c r="K32" i="1" s="1"/>
  <c r="N32" i="1" s="1"/>
  <c r="O87" i="2"/>
  <c r="F11" i="22"/>
  <c r="K1446" i="38"/>
  <c r="K1450" i="38"/>
  <c r="K1454" i="38"/>
  <c r="K1458" i="38"/>
  <c r="K1462" i="38"/>
  <c r="K1466" i="38"/>
  <c r="K1470" i="38"/>
  <c r="K1474" i="38"/>
  <c r="K1478" i="38"/>
  <c r="K1482" i="38"/>
  <c r="K1486" i="38"/>
  <c r="K1490" i="38"/>
  <c r="K1494" i="38"/>
  <c r="K1498" i="38"/>
  <c r="K1502" i="38"/>
  <c r="K1506" i="38"/>
  <c r="K1510" i="38"/>
  <c r="K1514" i="38"/>
  <c r="K1518" i="38"/>
  <c r="K1522" i="38"/>
  <c r="K1526" i="38"/>
  <c r="K1530" i="38"/>
  <c r="K1534" i="38"/>
  <c r="K1538" i="38"/>
  <c r="K1542" i="38"/>
  <c r="K1546" i="38"/>
  <c r="K1550" i="38"/>
  <c r="K1558" i="38"/>
  <c r="K1559" i="38"/>
  <c r="K1749" i="38"/>
  <c r="K1765" i="38"/>
  <c r="K1769" i="38"/>
  <c r="K1773" i="38"/>
  <c r="K1781" i="38"/>
  <c r="K1797" i="38"/>
  <c r="K1813" i="38"/>
  <c r="K1817" i="38"/>
  <c r="K1821" i="38"/>
  <c r="K1863" i="38"/>
  <c r="K1879" i="38"/>
  <c r="K1883" i="38"/>
  <c r="K1887" i="38"/>
  <c r="K1891" i="38"/>
  <c r="K1895" i="38"/>
  <c r="K1899" i="38"/>
  <c r="K1903" i="38"/>
  <c r="K1911" i="38"/>
  <c r="K2096" i="38"/>
  <c r="K2100" i="38"/>
  <c r="K2104" i="38"/>
  <c r="K2112" i="38"/>
  <c r="K2120" i="38"/>
  <c r="K2128" i="38"/>
  <c r="K2136" i="38"/>
  <c r="K2140" i="38"/>
  <c r="K2152" i="38"/>
  <c r="K2156" i="38"/>
  <c r="K2160" i="38"/>
  <c r="K2168" i="38"/>
  <c r="E36" i="8"/>
  <c r="G36" i="8" s="1"/>
  <c r="J9" i="21"/>
  <c r="J13" i="21"/>
  <c r="J17" i="21"/>
  <c r="H33" i="35"/>
  <c r="K942" i="38"/>
  <c r="K963" i="38"/>
  <c r="K987" i="38"/>
  <c r="G64" i="4"/>
  <c r="I64" i="4" s="1"/>
  <c r="G65" i="4"/>
  <c r="I65" i="4" s="1"/>
  <c r="G68" i="4"/>
  <c r="I68" i="4" s="1"/>
  <c r="G69" i="4"/>
  <c r="I69" i="4" s="1"/>
  <c r="E28" i="7"/>
  <c r="G28" i="7" s="1"/>
  <c r="E29" i="7"/>
  <c r="G29" i="7" s="1"/>
  <c r="E31" i="7"/>
  <c r="G31" i="7" s="1"/>
  <c r="E32" i="7"/>
  <c r="G32" i="7" s="1"/>
  <c r="E35" i="7"/>
  <c r="G35" i="7" s="1"/>
  <c r="E38" i="8"/>
  <c r="G38" i="8" s="1"/>
  <c r="E40" i="8"/>
  <c r="G40" i="8" s="1"/>
  <c r="G53" i="8" s="1"/>
  <c r="E32" i="8" s="1"/>
  <c r="H32" i="8" s="1"/>
  <c r="H14" i="8" s="1"/>
  <c r="I14" i="8" s="1"/>
  <c r="J596" i="29"/>
  <c r="H27" i="32"/>
  <c r="K958" i="38"/>
  <c r="K1556" i="38"/>
  <c r="K1767" i="38"/>
  <c r="K1775" i="38"/>
  <c r="K1815" i="38"/>
  <c r="K1823" i="38"/>
  <c r="K1881" i="38"/>
  <c r="K1889" i="38"/>
  <c r="K1893" i="38"/>
  <c r="K1897" i="38"/>
  <c r="K1905" i="38"/>
  <c r="K2094" i="38"/>
  <c r="K2098" i="38"/>
  <c r="K2110" i="38"/>
  <c r="K2114" i="38"/>
  <c r="K2126" i="38"/>
  <c r="K2130" i="38"/>
  <c r="K2134" i="38"/>
  <c r="K2138" i="38"/>
  <c r="K2142" i="38"/>
  <c r="K2154" i="38"/>
  <c r="K2158" i="38"/>
  <c r="K2162" i="38"/>
  <c r="H1290" i="19"/>
  <c r="H1272" i="19" s="1"/>
  <c r="I1272" i="19" s="1"/>
  <c r="H1340" i="19"/>
  <c r="H1322" i="19" s="1"/>
  <c r="I1322" i="19" s="1"/>
  <c r="J31" i="1"/>
  <c r="N31" i="1" s="1"/>
  <c r="G59" i="2"/>
  <c r="E34" i="23"/>
  <c r="E913" i="18"/>
  <c r="E1283" i="19"/>
  <c r="H1283" i="19" s="1"/>
  <c r="H1270" i="19" s="1"/>
  <c r="I1270" i="19" s="1"/>
  <c r="E913" i="19"/>
  <c r="L87" i="2"/>
  <c r="H583" i="31"/>
  <c r="H22" i="33"/>
  <c r="H11" i="33" s="1"/>
  <c r="H25" i="33"/>
  <c r="I21" i="37"/>
  <c r="K915" i="38"/>
  <c r="K917" i="38"/>
  <c r="K922" i="38"/>
  <c r="K931" i="38"/>
  <c r="K933" i="38"/>
  <c r="K936" i="38"/>
  <c r="K938" i="38"/>
  <c r="K943" i="38"/>
  <c r="K976" i="38"/>
  <c r="H1286" i="19"/>
  <c r="H1271" i="19" s="1"/>
  <c r="G55" i="2"/>
  <c r="E1332" i="19"/>
  <c r="H1333" i="19" s="1"/>
  <c r="H1320" i="19" s="1"/>
  <c r="I1320" i="19" s="1"/>
  <c r="H1336" i="19"/>
  <c r="H1321" i="19" s="1"/>
  <c r="I1321" i="19" s="1"/>
  <c r="G28" i="4"/>
  <c r="I28" i="4" s="1"/>
  <c r="G29" i="4"/>
  <c r="I29" i="4" s="1"/>
  <c r="G33" i="4"/>
  <c r="I33" i="4" s="1"/>
  <c r="G35" i="4"/>
  <c r="I35" i="4" s="1"/>
  <c r="G37" i="4"/>
  <c r="I37" i="4" s="1"/>
  <c r="G39" i="4"/>
  <c r="I39" i="4" s="1"/>
  <c r="G40" i="4"/>
  <c r="I40" i="4" s="1"/>
  <c r="G44" i="4"/>
  <c r="I44" i="4" s="1"/>
  <c r="G45" i="4"/>
  <c r="I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I51" i="4" s="1"/>
  <c r="G56" i="4"/>
  <c r="I56" i="4" s="1"/>
  <c r="G58" i="4"/>
  <c r="I58" i="4" s="1"/>
  <c r="G61" i="4"/>
  <c r="I61" i="4" s="1"/>
  <c r="G63" i="4"/>
  <c r="I63" i="4" s="1"/>
  <c r="G72" i="4"/>
  <c r="I72" i="4" s="1"/>
  <c r="G73" i="4"/>
  <c r="I73" i="4" s="1"/>
  <c r="G74" i="4"/>
  <c r="I74" i="4" s="1"/>
  <c r="G75" i="4"/>
  <c r="I75" i="4" s="1"/>
  <c r="G77" i="4"/>
  <c r="I77" i="4" s="1"/>
  <c r="G78" i="4"/>
  <c r="I78" i="4" s="1"/>
  <c r="G80" i="4"/>
  <c r="I80" i="4" s="1"/>
  <c r="G81" i="4"/>
  <c r="I81" i="4" s="1"/>
  <c r="G82" i="4"/>
  <c r="I82" i="4" s="1"/>
  <c r="E26" i="7"/>
  <c r="G26" i="7" s="1"/>
  <c r="E33" i="7"/>
  <c r="G33" i="7" s="1"/>
  <c r="E36" i="7"/>
  <c r="G36" i="7" s="1"/>
  <c r="E35" i="8"/>
  <c r="G35" i="8" s="1"/>
  <c r="E42" i="8"/>
  <c r="G42" i="8" s="1"/>
  <c r="E43" i="8"/>
  <c r="G43" i="8" s="1"/>
  <c r="E47" i="8"/>
  <c r="G47" i="8" s="1"/>
  <c r="E48" i="8"/>
  <c r="G48" i="8" s="1"/>
  <c r="E49" i="8"/>
  <c r="G49" i="8" s="1"/>
  <c r="E50" i="8"/>
  <c r="G50" i="8" s="1"/>
  <c r="E52" i="8"/>
  <c r="G52" i="8" s="1"/>
  <c r="J25" i="21"/>
  <c r="I28" i="26"/>
  <c r="J7" i="29"/>
  <c r="J569" i="29"/>
  <c r="J770" i="29"/>
  <c r="E19" i="37"/>
  <c r="L279" i="38"/>
  <c r="L282" i="38"/>
  <c r="L283" i="38"/>
  <c r="X675" i="38"/>
  <c r="K916" i="38"/>
  <c r="K937" i="38"/>
  <c r="K952" i="38"/>
  <c r="K954" i="38"/>
  <c r="K985" i="38"/>
  <c r="K992" i="38"/>
  <c r="K1012" i="38"/>
  <c r="K1020" i="38"/>
  <c r="K1028" i="38"/>
  <c r="K1036" i="38"/>
  <c r="K1044" i="38"/>
  <c r="K1331" i="38"/>
  <c r="K1414" i="38" s="1"/>
  <c r="K1339" i="38"/>
  <c r="K1343" i="38"/>
  <c r="K1347" i="38"/>
  <c r="K1351" i="38"/>
  <c r="K1355" i="38"/>
  <c r="K1359" i="38"/>
  <c r="K1747" i="38"/>
  <c r="K1751" i="38"/>
  <c r="K1753" i="38"/>
  <c r="K1757" i="38"/>
  <c r="K1759" i="38"/>
  <c r="K1766" i="38"/>
  <c r="K1768" i="38"/>
  <c r="K1770" i="38"/>
  <c r="K1771" i="38"/>
  <c r="K1774" i="38"/>
  <c r="K1776" i="38"/>
  <c r="K1778" i="38"/>
  <c r="K1779" i="38"/>
  <c r="K1783" i="38"/>
  <c r="K1785" i="38"/>
  <c r="K1789" i="38"/>
  <c r="K1791" i="38"/>
  <c r="K1795" i="38"/>
  <c r="K1363" i="38"/>
  <c r="K1367" i="38"/>
  <c r="K1371" i="38"/>
  <c r="K1375" i="38"/>
  <c r="K1379" i="38"/>
  <c r="K1383" i="38"/>
  <c r="K1387" i="38"/>
  <c r="K1391" i="38"/>
  <c r="K1395" i="38"/>
  <c r="K1399" i="38"/>
  <c r="K1403" i="38"/>
  <c r="K1407" i="38"/>
  <c r="K1411" i="38"/>
  <c r="K1448" i="38"/>
  <c r="K1452" i="38"/>
  <c r="K1456" i="38"/>
  <c r="K1460" i="38"/>
  <c r="K1464" i="38"/>
  <c r="K1468" i="38"/>
  <c r="K1472" i="38"/>
  <c r="K1476" i="38"/>
  <c r="K1480" i="38"/>
  <c r="K1484" i="38"/>
  <c r="K1488" i="38"/>
  <c r="K1492" i="38"/>
  <c r="K1496" i="38"/>
  <c r="K1500" i="38"/>
  <c r="K1504" i="38"/>
  <c r="K1508" i="38"/>
  <c r="K1512" i="38"/>
  <c r="K1516" i="38"/>
  <c r="K1520" i="38"/>
  <c r="K1524" i="38"/>
  <c r="K1528" i="38"/>
  <c r="K1532" i="38"/>
  <c r="K1536" i="38"/>
  <c r="K1540" i="38"/>
  <c r="K1544" i="38"/>
  <c r="K1548" i="38"/>
  <c r="K1552" i="38"/>
  <c r="K1555" i="38"/>
  <c r="K1557" i="38"/>
  <c r="K1560" i="38"/>
  <c r="K1561" i="38"/>
  <c r="K1563" i="38"/>
  <c r="K1568" i="38"/>
  <c r="K1793" i="38"/>
  <c r="K1799" i="38"/>
  <c r="K1801" i="38"/>
  <c r="K1805" i="38"/>
  <c r="K1807" i="38"/>
  <c r="K1814" i="38"/>
  <c r="K1816" i="38"/>
  <c r="K1819" i="38"/>
  <c r="K1824" i="38"/>
  <c r="K1826" i="38"/>
  <c r="K1861" i="38"/>
  <c r="K1865" i="38"/>
  <c r="K1867" i="38"/>
  <c r="K1871" i="38"/>
  <c r="K1873" i="38"/>
  <c r="K1880" i="38"/>
  <c r="K1882" i="38"/>
  <c r="K1884" i="38"/>
  <c r="K1885" i="38"/>
  <c r="K1890" i="38"/>
  <c r="K1892" i="38"/>
  <c r="K1896" i="38"/>
  <c r="K1898" i="38"/>
  <c r="K1900" i="38"/>
  <c r="K1901" i="38"/>
  <c r="K1906" i="38"/>
  <c r="K1908" i="38"/>
  <c r="K1909" i="38"/>
  <c r="K1913" i="38"/>
  <c r="K1915" i="38"/>
  <c r="K1917" i="38"/>
  <c r="K1919" i="38"/>
  <c r="K1921" i="38"/>
  <c r="K1923" i="38"/>
  <c r="K1925" i="38"/>
  <c r="K1927" i="38"/>
  <c r="K1929" i="38"/>
  <c r="K1931" i="38"/>
  <c r="K1933" i="38"/>
  <c r="K1935" i="38"/>
  <c r="K1937" i="38"/>
  <c r="K1943" i="38"/>
  <c r="L2079" i="38"/>
  <c r="K2090" i="38"/>
  <c r="K2092" i="38"/>
  <c r="K2102" i="38"/>
  <c r="K2106" i="38"/>
  <c r="K2108" i="38"/>
  <c r="K2118" i="38"/>
  <c r="K2122" i="38"/>
  <c r="K2124" i="38"/>
  <c r="K2137" i="38"/>
  <c r="K2139" i="38"/>
  <c r="K2144" i="38"/>
  <c r="K2146" i="38"/>
  <c r="K2153" i="38"/>
  <c r="K2155" i="38"/>
  <c r="K2166" i="38"/>
  <c r="K2170" i="38"/>
  <c r="K2172" i="38"/>
  <c r="K2174" i="38"/>
  <c r="K2176" i="38"/>
  <c r="K2178" i="38"/>
  <c r="J8" i="1"/>
  <c r="H14" i="1"/>
  <c r="K14" i="1" s="1"/>
  <c r="J25" i="1"/>
  <c r="P3" i="2"/>
  <c r="P39" i="2" s="1"/>
  <c r="N53" i="2"/>
  <c r="E1216" i="19"/>
  <c r="J15" i="6"/>
  <c r="J24" i="1"/>
  <c r="H1212" i="19"/>
  <c r="H1197" i="19" s="1"/>
  <c r="I1197" i="19" s="1"/>
  <c r="H321" i="19"/>
  <c r="H308" i="19" s="1"/>
  <c r="I308" i="19" s="1"/>
  <c r="I317" i="19" s="1"/>
  <c r="P15" i="2"/>
  <c r="F15" i="20" s="1"/>
  <c r="R21" i="2"/>
  <c r="J6" i="1"/>
  <c r="P24" i="2"/>
  <c r="P51" i="2" s="1"/>
  <c r="J14" i="1"/>
  <c r="H6" i="1"/>
  <c r="K6" i="1" s="1"/>
  <c r="G30" i="4"/>
  <c r="I30" i="4" s="1"/>
  <c r="G53" i="4"/>
  <c r="I53" i="4" s="1"/>
  <c r="G55" i="4"/>
  <c r="I55" i="4" s="1"/>
  <c r="E39" i="8"/>
  <c r="G39" i="8" s="1"/>
  <c r="J105" i="29"/>
  <c r="J675" i="29"/>
  <c r="G680" i="29"/>
  <c r="H24" i="1"/>
  <c r="K24" i="1" s="1"/>
  <c r="G32" i="4"/>
  <c r="I32" i="4" s="1"/>
  <c r="G34" i="4"/>
  <c r="I34" i="4" s="1"/>
  <c r="G36" i="4"/>
  <c r="I36" i="4" s="1"/>
  <c r="G38" i="4"/>
  <c r="I38" i="4" s="1"/>
  <c r="G57" i="4"/>
  <c r="I57" i="4" s="1"/>
  <c r="G59" i="4"/>
  <c r="I59" i="4" s="1"/>
  <c r="G66" i="4"/>
  <c r="I66" i="4" s="1"/>
  <c r="G76" i="4"/>
  <c r="I76" i="4" s="1"/>
  <c r="E41" i="8"/>
  <c r="G41" i="8" s="1"/>
  <c r="E46" i="8"/>
  <c r="G46" i="8" s="1"/>
  <c r="J5" i="21"/>
  <c r="P28" i="25"/>
  <c r="J460" i="29"/>
  <c r="P9" i="2"/>
  <c r="F15" i="12" s="1"/>
  <c r="F17" i="4"/>
  <c r="G42" i="4"/>
  <c r="I42" i="4" s="1"/>
  <c r="K930" i="38"/>
  <c r="J21" i="21"/>
  <c r="J73" i="29"/>
  <c r="J149" i="29"/>
  <c r="J200" i="29"/>
  <c r="J785" i="29"/>
  <c r="L168" i="31"/>
  <c r="N168" i="31" s="1"/>
  <c r="H7" i="1"/>
  <c r="K7" i="1" s="1"/>
  <c r="G31" i="4"/>
  <c r="I31" i="4" s="1"/>
  <c r="G52" i="4"/>
  <c r="I52" i="4" s="1"/>
  <c r="G54" i="4"/>
  <c r="I54" i="4" s="1"/>
  <c r="G67" i="4"/>
  <c r="I67" i="4" s="1"/>
  <c r="G70" i="4"/>
  <c r="I70" i="4" s="1"/>
  <c r="J33" i="21"/>
  <c r="J37" i="21"/>
  <c r="P28" i="26"/>
  <c r="P26" i="27"/>
  <c r="J348" i="29"/>
  <c r="H438" i="31"/>
  <c r="H440" i="31" s="1"/>
  <c r="H443" i="31" s="1"/>
  <c r="C21" i="28"/>
  <c r="E23" i="27"/>
  <c r="J490" i="29"/>
  <c r="J620" i="29"/>
  <c r="L101" i="31"/>
  <c r="N101" i="31" s="1"/>
  <c r="K984" i="38"/>
  <c r="G41" i="4"/>
  <c r="I41" i="4" s="1"/>
  <c r="G43" i="4"/>
  <c r="I43" i="4" s="1"/>
  <c r="G60" i="4"/>
  <c r="I60" i="4" s="1"/>
  <c r="G62" i="4"/>
  <c r="I62" i="4" s="1"/>
  <c r="G79" i="4"/>
  <c r="I79" i="4" s="1"/>
  <c r="E34" i="7"/>
  <c r="G34" i="7" s="1"/>
  <c r="J185" i="29"/>
  <c r="J313" i="29"/>
  <c r="J641" i="29"/>
  <c r="K921" i="38"/>
  <c r="K950" i="38"/>
  <c r="J852" i="29"/>
  <c r="L221" i="31"/>
  <c r="L309" i="31"/>
  <c r="H390" i="31"/>
  <c r="H393" i="31" s="1"/>
  <c r="H396" i="31" s="1"/>
  <c r="H133" i="35"/>
  <c r="H136" i="35" s="1"/>
  <c r="L281" i="38"/>
  <c r="K757" i="38"/>
  <c r="K967" i="38"/>
  <c r="K977" i="38"/>
  <c r="J132" i="29"/>
  <c r="J436" i="29"/>
  <c r="J443" i="29"/>
  <c r="J722" i="29"/>
  <c r="J749" i="29"/>
  <c r="J833" i="29"/>
  <c r="F527" i="36"/>
  <c r="K185" i="38"/>
  <c r="K913" i="38"/>
  <c r="K932" i="38"/>
  <c r="K965" i="38"/>
  <c r="K972" i="38"/>
  <c r="K975" i="38"/>
  <c r="K982" i="38"/>
  <c r="K989" i="38"/>
  <c r="K991" i="38"/>
  <c r="K1009" i="38"/>
  <c r="K1017" i="38"/>
  <c r="K1025" i="38"/>
  <c r="K1033" i="38"/>
  <c r="K1041" i="38"/>
  <c r="K1049" i="38"/>
  <c r="K1054" i="38"/>
  <c r="K1057" i="38"/>
  <c r="K1062" i="38"/>
  <c r="K1065" i="38"/>
  <c r="K1070" i="38"/>
  <c r="K1073" i="38"/>
  <c r="K1078" i="38"/>
  <c r="K1081" i="38"/>
  <c r="K1086" i="38"/>
  <c r="K1089" i="38"/>
  <c r="K1094" i="38"/>
  <c r="K1097" i="38"/>
  <c r="K1102" i="38"/>
  <c r="K1105" i="38"/>
  <c r="K1329" i="38"/>
  <c r="K1337" i="38"/>
  <c r="K1345" i="38"/>
  <c r="K1353" i="38"/>
  <c r="K1361" i="38"/>
  <c r="K1369" i="38"/>
  <c r="K1377" i="38"/>
  <c r="K1385" i="38"/>
  <c r="K1393" i="38"/>
  <c r="K1401" i="38"/>
  <c r="K1409" i="38"/>
  <c r="K1809" i="38"/>
  <c r="H1944" i="38"/>
  <c r="K1907" i="38"/>
  <c r="K2148" i="38"/>
  <c r="J522" i="29"/>
  <c r="J534" i="29"/>
  <c r="J542" i="29"/>
  <c r="J702" i="29"/>
  <c r="H630" i="31"/>
  <c r="H633" i="31" s="1"/>
  <c r="K547" i="38"/>
  <c r="K924" i="38"/>
  <c r="K929" i="38"/>
  <c r="K946" i="38"/>
  <c r="K970" i="38"/>
  <c r="K978" i="38"/>
  <c r="K996" i="38"/>
  <c r="K949" i="38"/>
  <c r="K983" i="38"/>
  <c r="K994" i="38"/>
  <c r="K1052" i="38"/>
  <c r="K1060" i="38"/>
  <c r="K1068" i="38"/>
  <c r="K1076" i="38"/>
  <c r="K1084" i="38"/>
  <c r="K1092" i="38"/>
  <c r="K1100" i="38"/>
  <c r="K1327" i="38"/>
  <c r="K1335" i="38"/>
  <c r="H1574" i="38"/>
  <c r="K1444" i="38"/>
  <c r="K1761" i="38"/>
  <c r="K1825" i="38"/>
  <c r="K1939" i="38"/>
  <c r="K2116" i="38"/>
  <c r="K2164" i="38"/>
  <c r="H694" i="31"/>
  <c r="H20" i="32"/>
  <c r="H11" i="32" s="1"/>
  <c r="K909" i="38"/>
  <c r="K959" i="38"/>
  <c r="K968" i="38"/>
  <c r="K980" i="38"/>
  <c r="L277" i="38"/>
  <c r="L280" i="38"/>
  <c r="K912" i="38"/>
  <c r="K914" i="38"/>
  <c r="K971" i="38"/>
  <c r="K990" i="38"/>
  <c r="K1013" i="38"/>
  <c r="K1021" i="38"/>
  <c r="K1029" i="38"/>
  <c r="K1037" i="38"/>
  <c r="K1045" i="38"/>
  <c r="K1053" i="38"/>
  <c r="K1058" i="38"/>
  <c r="K1061" i="38"/>
  <c r="K1066" i="38"/>
  <c r="K1069" i="38"/>
  <c r="K1074" i="38"/>
  <c r="K1077" i="38"/>
  <c r="K1082" i="38"/>
  <c r="K1085" i="38"/>
  <c r="K1090" i="38"/>
  <c r="K1093" i="38"/>
  <c r="K1098" i="38"/>
  <c r="K1101" i="38"/>
  <c r="K1106" i="38"/>
  <c r="K1333" i="38"/>
  <c r="K1341" i="38"/>
  <c r="K1349" i="38"/>
  <c r="K1357" i="38"/>
  <c r="K1572" i="38"/>
  <c r="K1777" i="38"/>
  <c r="K1875" i="38"/>
  <c r="K2180" i="38"/>
  <c r="J323" i="29"/>
  <c r="J413" i="29"/>
  <c r="J651" i="29"/>
  <c r="J737" i="29"/>
  <c r="I23" i="30"/>
  <c r="K274" i="38"/>
  <c r="K403" i="38"/>
  <c r="K925" i="38"/>
  <c r="K945" i="38"/>
  <c r="K953" i="38"/>
  <c r="K969" i="38"/>
  <c r="K979" i="38"/>
  <c r="K997" i="38"/>
  <c r="K1008" i="38"/>
  <c r="K1016" i="38"/>
  <c r="K1024" i="38"/>
  <c r="K1032" i="38"/>
  <c r="K1040" i="38"/>
  <c r="K1048" i="38"/>
  <c r="K1328" i="38"/>
  <c r="K1336" i="38"/>
  <c r="K1344" i="38"/>
  <c r="K1352" i="38"/>
  <c r="K1360" i="38"/>
  <c r="K1368" i="38"/>
  <c r="K1754" i="38"/>
  <c r="K1818" i="38"/>
  <c r="K2132" i="38"/>
  <c r="H2184" i="38"/>
  <c r="K1346" i="38"/>
  <c r="K1354" i="38"/>
  <c r="K1362" i="38"/>
  <c r="K1370" i="38"/>
  <c r="K1378" i="38"/>
  <c r="K1386" i="38"/>
  <c r="K1394" i="38"/>
  <c r="K1402" i="38"/>
  <c r="K1410" i="38"/>
  <c r="K1570" i="38"/>
  <c r="K1573" i="38"/>
  <c r="K1748" i="38"/>
  <c r="K1764" i="38"/>
  <c r="K1780" i="38"/>
  <c r="K1796" i="38"/>
  <c r="K1812" i="38"/>
  <c r="K1862" i="38"/>
  <c r="K1878" i="38"/>
  <c r="K1894" i="38"/>
  <c r="K1910" i="38"/>
  <c r="K1940" i="38"/>
  <c r="K1365" i="38"/>
  <c r="K1373" i="38"/>
  <c r="K1381" i="38"/>
  <c r="K1389" i="38"/>
  <c r="K1397" i="38"/>
  <c r="K1405" i="38"/>
  <c r="K1413" i="38"/>
  <c r="K2101" i="38"/>
  <c r="K2117" i="38"/>
  <c r="K2133" i="38"/>
  <c r="K2149" i="38"/>
  <c r="K2165" i="38"/>
  <c r="K1566" i="38"/>
  <c r="K1564" i="38"/>
  <c r="K1822" i="38"/>
  <c r="K1872" i="38"/>
  <c r="K1888" i="38"/>
  <c r="K1904" i="38"/>
  <c r="K1941" i="38"/>
  <c r="L2065" i="38"/>
  <c r="K1334" i="38"/>
  <c r="K1342" i="38"/>
  <c r="K1350" i="38"/>
  <c r="K1358" i="38"/>
  <c r="K1366" i="38"/>
  <c r="K1374" i="38"/>
  <c r="K1382" i="38"/>
  <c r="K1390" i="38"/>
  <c r="K1398" i="38"/>
  <c r="K1406" i="38"/>
  <c r="K1562" i="38"/>
  <c r="K1756" i="38"/>
  <c r="K1772" i="38"/>
  <c r="K1788" i="38"/>
  <c r="K1804" i="38"/>
  <c r="K1820" i="38"/>
  <c r="K1870" i="38"/>
  <c r="K1886" i="38"/>
  <c r="K1902" i="38"/>
  <c r="K1936" i="38"/>
  <c r="K2095" i="38"/>
  <c r="K2111" i="38"/>
  <c r="K2127" i="38"/>
  <c r="K2143" i="38"/>
  <c r="K2159" i="38"/>
  <c r="K2182" i="38"/>
  <c r="I309" i="19"/>
  <c r="K35" i="2"/>
  <c r="E1064" i="18" s="1"/>
  <c r="G51" i="2"/>
  <c r="E838" i="18"/>
  <c r="I14" i="18"/>
  <c r="H33" i="11"/>
  <c r="H14" i="11" s="1"/>
  <c r="I14" i="11" s="1"/>
  <c r="I4" i="1"/>
  <c r="J4" i="1"/>
  <c r="I16" i="1"/>
  <c r="I23" i="1"/>
  <c r="I72" i="40"/>
  <c r="I172" i="40"/>
  <c r="I122" i="40"/>
  <c r="I222" i="40"/>
  <c r="H328" i="18"/>
  <c r="H310" i="18" s="1"/>
  <c r="I310" i="18" s="1"/>
  <c r="I12" i="18"/>
  <c r="J23" i="1"/>
  <c r="R23" i="2"/>
  <c r="R14" i="2"/>
  <c r="H29" i="11"/>
  <c r="H13" i="11" s="1"/>
  <c r="I13" i="11" s="1"/>
  <c r="R30" i="2"/>
  <c r="I14" i="1"/>
  <c r="R60" i="2"/>
  <c r="N35" i="2"/>
  <c r="R16" i="2"/>
  <c r="J7" i="1"/>
  <c r="I5" i="1"/>
  <c r="I3" i="1"/>
  <c r="N3" i="1" s="1"/>
  <c r="H26" i="11"/>
  <c r="H12" i="11" s="1"/>
  <c r="I12" i="11" s="1"/>
  <c r="J16" i="1"/>
  <c r="I25" i="1"/>
  <c r="H25" i="19"/>
  <c r="H12" i="19" s="1"/>
  <c r="I12" i="19" s="1"/>
  <c r="H32" i="19"/>
  <c r="H14" i="19" s="1"/>
  <c r="I14" i="19" s="1"/>
  <c r="I15" i="1"/>
  <c r="K4" i="1"/>
  <c r="R19" i="2"/>
  <c r="R34" i="2"/>
  <c r="I309" i="18"/>
  <c r="D35" i="2"/>
  <c r="R31" i="2"/>
  <c r="J5" i="1"/>
  <c r="K5" i="1"/>
  <c r="I13" i="1"/>
  <c r="R33" i="2"/>
  <c r="I8" i="1"/>
  <c r="J13" i="1"/>
  <c r="R2" i="2"/>
  <c r="R38" i="2" s="1"/>
  <c r="R13" i="2"/>
  <c r="R20" i="2"/>
  <c r="R29" i="2"/>
  <c r="I24" i="1"/>
  <c r="N30" i="1"/>
  <c r="F35" i="2"/>
  <c r="R18" i="2"/>
  <c r="P25" i="2"/>
  <c r="O53" i="2"/>
  <c r="I7" i="1"/>
  <c r="I6" i="1"/>
  <c r="I22" i="1"/>
  <c r="N22" i="1" s="1"/>
  <c r="R17" i="2"/>
  <c r="R27" i="2"/>
  <c r="R54" i="2" s="1"/>
  <c r="P5" i="2"/>
  <c r="P41" i="2" s="1"/>
  <c r="R26" i="2"/>
  <c r="R53" i="2" s="1"/>
  <c r="H321" i="18"/>
  <c r="H308" i="18" s="1"/>
  <c r="I308" i="18" s="1"/>
  <c r="I317" i="18" s="1"/>
  <c r="I13" i="19"/>
  <c r="R4" i="2"/>
  <c r="R40" i="2" s="1"/>
  <c r="R22" i="2"/>
  <c r="E35" i="2"/>
  <c r="D70" i="2"/>
  <c r="E70" i="2"/>
  <c r="C81" i="19"/>
  <c r="C81" i="18"/>
  <c r="C155" i="19"/>
  <c r="C155" i="18"/>
  <c r="C229" i="19"/>
  <c r="C229" i="18"/>
  <c r="E399" i="19"/>
  <c r="E399" i="18"/>
  <c r="E695" i="19"/>
  <c r="E695" i="18"/>
  <c r="E35" i="28"/>
  <c r="E38" i="27"/>
  <c r="C112" i="23"/>
  <c r="C7" i="24"/>
  <c r="C821" i="19"/>
  <c r="C821" i="18"/>
  <c r="E842" i="19"/>
  <c r="E842" i="18"/>
  <c r="C1117" i="18"/>
  <c r="C1117" i="19"/>
  <c r="E1138" i="19"/>
  <c r="E1138" i="18"/>
  <c r="C1191" i="19"/>
  <c r="C1191" i="18"/>
  <c r="E1212" i="19"/>
  <c r="E1212" i="18"/>
  <c r="E993" i="18"/>
  <c r="E993" i="19"/>
  <c r="D54" i="2"/>
  <c r="D56" i="2" s="1"/>
  <c r="F84" i="4"/>
  <c r="G84" i="4" s="1"/>
  <c r="F18" i="4"/>
  <c r="H18" i="4" s="1"/>
  <c r="I9" i="4" s="1"/>
  <c r="E28" i="15"/>
  <c r="E31" i="16"/>
  <c r="E103" i="18"/>
  <c r="E475" i="18"/>
  <c r="E690" i="18"/>
  <c r="E102" i="19"/>
  <c r="E102" i="18"/>
  <c r="E176" i="19"/>
  <c r="E176" i="18"/>
  <c r="E250" i="19"/>
  <c r="E250" i="18"/>
  <c r="E473" i="19"/>
  <c r="E473" i="18"/>
  <c r="E28" i="14"/>
  <c r="E621" i="18"/>
  <c r="E621" i="19"/>
  <c r="E41" i="25"/>
  <c r="E42" i="23"/>
  <c r="E28" i="20"/>
  <c r="C7" i="26"/>
  <c r="E145" i="23"/>
  <c r="E40" i="24"/>
  <c r="E397" i="19"/>
  <c r="E397" i="18"/>
  <c r="R7" i="2"/>
  <c r="R43" i="2" s="1"/>
  <c r="E471" i="19"/>
  <c r="E471" i="18"/>
  <c r="R8" i="2"/>
  <c r="R44" i="2" s="1"/>
  <c r="E545" i="19"/>
  <c r="E545" i="18"/>
  <c r="E26" i="12"/>
  <c r="E26" i="14"/>
  <c r="E619" i="18"/>
  <c r="R10" i="2"/>
  <c r="R46" i="2" s="1"/>
  <c r="E693" i="19"/>
  <c r="E26" i="15"/>
  <c r="E693" i="18"/>
  <c r="R11" i="2"/>
  <c r="E767" i="19"/>
  <c r="E767" i="18"/>
  <c r="E26" i="13"/>
  <c r="R12" i="2"/>
  <c r="R48" i="2" s="1"/>
  <c r="E26" i="20"/>
  <c r="E40" i="23"/>
  <c r="E39" i="25"/>
  <c r="E919" i="19"/>
  <c r="E919" i="18"/>
  <c r="E987" i="19"/>
  <c r="E987" i="18"/>
  <c r="E994" i="18"/>
  <c r="E994" i="19"/>
  <c r="M38" i="2"/>
  <c r="M44" i="2"/>
  <c r="E54" i="2"/>
  <c r="E56" i="2" s="1"/>
  <c r="M54" i="2"/>
  <c r="M55" i="2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P8" i="9"/>
  <c r="H1212" i="18"/>
  <c r="H1197" i="18" s="1"/>
  <c r="I1197" i="18" s="1"/>
  <c r="C303" i="19"/>
  <c r="C303" i="18"/>
  <c r="E547" i="19"/>
  <c r="E547" i="18"/>
  <c r="E769" i="19"/>
  <c r="E769" i="18"/>
  <c r="E28" i="13"/>
  <c r="C7" i="27"/>
  <c r="C7" i="28"/>
  <c r="E93" i="23"/>
  <c r="E40" i="26"/>
  <c r="E105" i="19"/>
  <c r="E105" i="18"/>
  <c r="E179" i="19"/>
  <c r="E179" i="18"/>
  <c r="H180" i="18" s="1"/>
  <c r="H162" i="18" s="1"/>
  <c r="E253" i="19"/>
  <c r="H254" i="19" s="1"/>
  <c r="H236" i="19" s="1"/>
  <c r="E253" i="18"/>
  <c r="C377" i="19"/>
  <c r="C377" i="18"/>
  <c r="E398" i="19"/>
  <c r="E398" i="18"/>
  <c r="C451" i="19"/>
  <c r="C451" i="18"/>
  <c r="E472" i="18"/>
  <c r="E472" i="19"/>
  <c r="C525" i="18"/>
  <c r="C7" i="12"/>
  <c r="E546" i="19"/>
  <c r="E27" i="12"/>
  <c r="C599" i="19"/>
  <c r="C7" i="14"/>
  <c r="E620" i="19"/>
  <c r="E27" i="14"/>
  <c r="E620" i="18"/>
  <c r="C673" i="19"/>
  <c r="C673" i="18"/>
  <c r="E694" i="18"/>
  <c r="E694" i="19"/>
  <c r="E27" i="15"/>
  <c r="C747" i="18"/>
  <c r="C747" i="19"/>
  <c r="C7" i="13"/>
  <c r="E768" i="19"/>
  <c r="E27" i="13"/>
  <c r="E768" i="18"/>
  <c r="C7" i="25"/>
  <c r="C7" i="20"/>
  <c r="E27" i="20"/>
  <c r="E40" i="25"/>
  <c r="E41" i="23"/>
  <c r="E38" i="28"/>
  <c r="E41" i="27"/>
  <c r="E43" i="26"/>
  <c r="E96" i="23"/>
  <c r="E43" i="24"/>
  <c r="E148" i="23"/>
  <c r="E845" i="19"/>
  <c r="E845" i="18"/>
  <c r="E1141" i="19"/>
  <c r="E1141" i="18"/>
  <c r="E1215" i="18"/>
  <c r="E1215" i="19"/>
  <c r="E25" i="16"/>
  <c r="E920" i="19"/>
  <c r="E920" i="18"/>
  <c r="E32" i="16"/>
  <c r="E986" i="18"/>
  <c r="E986" i="19"/>
  <c r="H990" i="19"/>
  <c r="H975" i="19" s="1"/>
  <c r="H990" i="18"/>
  <c r="H975" i="18" s="1"/>
  <c r="M35" i="2"/>
  <c r="E1067" i="18" s="1"/>
  <c r="F38" i="2"/>
  <c r="N38" i="2"/>
  <c r="N40" i="2"/>
  <c r="N41" i="2"/>
  <c r="F54" i="2"/>
  <c r="N54" i="2"/>
  <c r="F55" i="2"/>
  <c r="N55" i="2"/>
  <c r="H87" i="2"/>
  <c r="E764" i="19"/>
  <c r="E173" i="19"/>
  <c r="E173" i="18"/>
  <c r="E247" i="19"/>
  <c r="H247" i="19" s="1"/>
  <c r="H234" i="19" s="1"/>
  <c r="I234" i="19" s="1"/>
  <c r="E247" i="18"/>
  <c r="E839" i="19"/>
  <c r="E839" i="18"/>
  <c r="E846" i="19"/>
  <c r="E846" i="18"/>
  <c r="E1135" i="18"/>
  <c r="E1135" i="19"/>
  <c r="E1142" i="19"/>
  <c r="E1142" i="18"/>
  <c r="E1209" i="19"/>
  <c r="E1209" i="18"/>
  <c r="E1216" i="18"/>
  <c r="E912" i="19"/>
  <c r="E912" i="18"/>
  <c r="H913" i="18" s="1"/>
  <c r="H900" i="18" s="1"/>
  <c r="I900" i="18" s="1"/>
  <c r="E24" i="16"/>
  <c r="H916" i="19"/>
  <c r="H901" i="19" s="1"/>
  <c r="H901" i="18"/>
  <c r="G38" i="2"/>
  <c r="O38" i="2"/>
  <c r="G41" i="2"/>
  <c r="G47" i="2"/>
  <c r="G54" i="2"/>
  <c r="O54" i="2"/>
  <c r="I59" i="2"/>
  <c r="I70" i="2" s="1"/>
  <c r="Q59" i="2"/>
  <c r="C62" i="2"/>
  <c r="K62" i="2"/>
  <c r="C63" i="2"/>
  <c r="K63" i="2"/>
  <c r="C64" i="2"/>
  <c r="K64" i="2"/>
  <c r="E546" i="18"/>
  <c r="E99" i="19"/>
  <c r="E99" i="18"/>
  <c r="E39" i="28"/>
  <c r="E42" i="27"/>
  <c r="E34" i="24"/>
  <c r="H36" i="24" s="1"/>
  <c r="H14" i="24" s="1"/>
  <c r="E139" i="23"/>
  <c r="H141" i="23" s="1"/>
  <c r="H119" i="23" s="1"/>
  <c r="E98" i="19"/>
  <c r="E98" i="18"/>
  <c r="H102" i="19"/>
  <c r="H87" i="19" s="1"/>
  <c r="I87" i="19" s="1"/>
  <c r="H102" i="18"/>
  <c r="H87" i="18" s="1"/>
  <c r="I87" i="18" s="1"/>
  <c r="E172" i="19"/>
  <c r="E172" i="18"/>
  <c r="H176" i="19"/>
  <c r="H161" i="19" s="1"/>
  <c r="H176" i="18"/>
  <c r="H161" i="18" s="1"/>
  <c r="H250" i="18"/>
  <c r="H235" i="18" s="1"/>
  <c r="H250" i="19"/>
  <c r="H235" i="19" s="1"/>
  <c r="E401" i="19"/>
  <c r="E401" i="18"/>
  <c r="E549" i="19"/>
  <c r="E549" i="18"/>
  <c r="E30" i="12"/>
  <c r="E623" i="18"/>
  <c r="E623" i="19"/>
  <c r="E697" i="19"/>
  <c r="E697" i="18"/>
  <c r="E30" i="15"/>
  <c r="E771" i="19"/>
  <c r="E771" i="18"/>
  <c r="E43" i="25"/>
  <c r="E44" i="23"/>
  <c r="E30" i="20"/>
  <c r="E31" i="27"/>
  <c r="E28" i="28"/>
  <c r="E33" i="26"/>
  <c r="E138" i="23"/>
  <c r="E33" i="24"/>
  <c r="E838" i="19"/>
  <c r="H842" i="18"/>
  <c r="H827" i="18" s="1"/>
  <c r="H842" i="19"/>
  <c r="H827" i="19" s="1"/>
  <c r="I827" i="19" s="1"/>
  <c r="E1134" i="19"/>
  <c r="E1134" i="18"/>
  <c r="H1138" i="19"/>
  <c r="H1123" i="19" s="1"/>
  <c r="I1123" i="19" s="1"/>
  <c r="H1138" i="18"/>
  <c r="H1123" i="18" s="1"/>
  <c r="I1123" i="18" s="1"/>
  <c r="E1208" i="19"/>
  <c r="E1208" i="18"/>
  <c r="E991" i="19"/>
  <c r="E991" i="18"/>
  <c r="R32" i="2"/>
  <c r="R49" i="2" s="1"/>
  <c r="G35" i="2"/>
  <c r="E1060" i="18" s="1"/>
  <c r="P35" i="2"/>
  <c r="P47" i="2"/>
  <c r="J59" i="2"/>
  <c r="J70" i="2" s="1"/>
  <c r="E30" i="7"/>
  <c r="G30" i="7" s="1"/>
  <c r="E175" i="18"/>
  <c r="E180" i="19"/>
  <c r="E395" i="19"/>
  <c r="E395" i="18"/>
  <c r="E402" i="19"/>
  <c r="E402" i="18"/>
  <c r="E469" i="19"/>
  <c r="E469" i="18"/>
  <c r="E476" i="19"/>
  <c r="H476" i="19" s="1"/>
  <c r="H458" i="19" s="1"/>
  <c r="I458" i="19" s="1"/>
  <c r="E476" i="18"/>
  <c r="E543" i="18"/>
  <c r="E24" i="12"/>
  <c r="E543" i="19"/>
  <c r="E550" i="19"/>
  <c r="E550" i="18"/>
  <c r="E31" i="12"/>
  <c r="E617" i="19"/>
  <c r="E24" i="14"/>
  <c r="E624" i="19"/>
  <c r="E624" i="18"/>
  <c r="E31" i="14"/>
  <c r="E691" i="19"/>
  <c r="H691" i="19" s="1"/>
  <c r="H678" i="19" s="1"/>
  <c r="I678" i="19" s="1"/>
  <c r="E24" i="15"/>
  <c r="H24" i="15" s="1"/>
  <c r="H12" i="15" s="1"/>
  <c r="I12" i="15" s="1"/>
  <c r="E691" i="18"/>
  <c r="E698" i="19"/>
  <c r="E698" i="18"/>
  <c r="E31" i="15"/>
  <c r="E765" i="18"/>
  <c r="E765" i="19"/>
  <c r="E24" i="13"/>
  <c r="E772" i="18"/>
  <c r="E772" i="19"/>
  <c r="E31" i="13"/>
  <c r="E35" i="23"/>
  <c r="H38" i="23" s="1"/>
  <c r="H16" i="23" s="1"/>
  <c r="E34" i="25"/>
  <c r="E24" i="20"/>
  <c r="E45" i="23"/>
  <c r="E44" i="25"/>
  <c r="E31" i="20"/>
  <c r="E917" i="19"/>
  <c r="E917" i="18"/>
  <c r="E29" i="16"/>
  <c r="E989" i="19"/>
  <c r="E989" i="18"/>
  <c r="R28" i="2"/>
  <c r="R55" i="2" s="1"/>
  <c r="Q35" i="2"/>
  <c r="I38" i="2"/>
  <c r="Q38" i="2"/>
  <c r="I39" i="2"/>
  <c r="Q39" i="2"/>
  <c r="Q40" i="2"/>
  <c r="Q41" i="2"/>
  <c r="I43" i="2"/>
  <c r="I44" i="2"/>
  <c r="I45" i="2"/>
  <c r="Q45" i="2"/>
  <c r="I46" i="2"/>
  <c r="I47" i="2"/>
  <c r="Q47" i="2"/>
  <c r="I48" i="2"/>
  <c r="Q51" i="2"/>
  <c r="I54" i="2"/>
  <c r="I55" i="2"/>
  <c r="C59" i="2"/>
  <c r="K59" i="2"/>
  <c r="M62" i="2"/>
  <c r="M63" i="2"/>
  <c r="M64" i="2"/>
  <c r="H21" i="4"/>
  <c r="I10" i="4" s="1"/>
  <c r="E106" i="19"/>
  <c r="E106" i="18"/>
  <c r="E29" i="28"/>
  <c r="E32" i="27"/>
  <c r="H34" i="27" s="1"/>
  <c r="H14" i="27" s="1"/>
  <c r="E97" i="23"/>
  <c r="E44" i="26"/>
  <c r="E177" i="19"/>
  <c r="E177" i="18"/>
  <c r="E251" i="19"/>
  <c r="E251" i="18"/>
  <c r="E394" i="19"/>
  <c r="E394" i="18"/>
  <c r="H398" i="19"/>
  <c r="H383" i="19" s="1"/>
  <c r="H398" i="18"/>
  <c r="H383" i="18" s="1"/>
  <c r="E468" i="19"/>
  <c r="E468" i="18"/>
  <c r="H472" i="19"/>
  <c r="H457" i="19" s="1"/>
  <c r="H472" i="18"/>
  <c r="H457" i="18" s="1"/>
  <c r="E542" i="19"/>
  <c r="E542" i="18"/>
  <c r="E23" i="12"/>
  <c r="H546" i="19"/>
  <c r="H531" i="19" s="1"/>
  <c r="H546" i="18"/>
  <c r="H531" i="18" s="1"/>
  <c r="E616" i="19"/>
  <c r="E616" i="18"/>
  <c r="E23" i="14"/>
  <c r="H620" i="19"/>
  <c r="H605" i="19" s="1"/>
  <c r="I605" i="19" s="1"/>
  <c r="H620" i="18"/>
  <c r="H605" i="18" s="1"/>
  <c r="I605" i="18" s="1"/>
  <c r="H694" i="19"/>
  <c r="H679" i="19" s="1"/>
  <c r="H694" i="18"/>
  <c r="H679" i="18" s="1"/>
  <c r="E764" i="18"/>
  <c r="E23" i="13"/>
  <c r="H768" i="19"/>
  <c r="H753" i="19" s="1"/>
  <c r="H768" i="18"/>
  <c r="H753" i="18" s="1"/>
  <c r="E33" i="25"/>
  <c r="E23" i="20"/>
  <c r="E39" i="27"/>
  <c r="E36" i="28"/>
  <c r="E94" i="23"/>
  <c r="E41" i="26"/>
  <c r="E146" i="23"/>
  <c r="E41" i="24"/>
  <c r="E843" i="18"/>
  <c r="E843" i="19"/>
  <c r="E1139" i="19"/>
  <c r="E1139" i="18"/>
  <c r="E1213" i="18"/>
  <c r="E1213" i="19"/>
  <c r="E915" i="18"/>
  <c r="E915" i="19"/>
  <c r="E27" i="16"/>
  <c r="E990" i="19"/>
  <c r="E990" i="18"/>
  <c r="I35" i="2"/>
  <c r="E1065" i="18" s="1"/>
  <c r="J38" i="2"/>
  <c r="J40" i="2"/>
  <c r="J43" i="2"/>
  <c r="J44" i="2"/>
  <c r="J45" i="2"/>
  <c r="J46" i="2"/>
  <c r="J47" i="2"/>
  <c r="J48" i="2"/>
  <c r="J54" i="2"/>
  <c r="J55" i="2"/>
  <c r="F62" i="2"/>
  <c r="N62" i="2"/>
  <c r="N63" i="2"/>
  <c r="F64" i="2"/>
  <c r="E246" i="18"/>
  <c r="C599" i="18"/>
  <c r="E617" i="18"/>
  <c r="C525" i="19"/>
  <c r="E87" i="23"/>
  <c r="E34" i="26"/>
  <c r="H36" i="26" s="1"/>
  <c r="H14" i="26" s="1"/>
  <c r="E149" i="23"/>
  <c r="E44" i="24"/>
  <c r="E101" i="18"/>
  <c r="E101" i="19"/>
  <c r="E249" i="19"/>
  <c r="E249" i="18"/>
  <c r="E37" i="27"/>
  <c r="E34" i="28"/>
  <c r="E92" i="23"/>
  <c r="E39" i="26"/>
  <c r="E39" i="24"/>
  <c r="E144" i="23"/>
  <c r="E841" i="19"/>
  <c r="E841" i="18"/>
  <c r="E1137" i="19"/>
  <c r="E1137" i="18"/>
  <c r="E1211" i="19"/>
  <c r="E1211" i="18"/>
  <c r="E916" i="19"/>
  <c r="E28" i="16"/>
  <c r="E916" i="18"/>
  <c r="J35" i="2"/>
  <c r="E1063" i="18" s="1"/>
  <c r="C38" i="2"/>
  <c r="K38" i="2"/>
  <c r="C39" i="2"/>
  <c r="K39" i="2"/>
  <c r="C40" i="2"/>
  <c r="K40" i="2"/>
  <c r="C41" i="2"/>
  <c r="K41" i="2"/>
  <c r="C42" i="2"/>
  <c r="C43" i="2"/>
  <c r="K43" i="2"/>
  <c r="C44" i="2"/>
  <c r="K44" i="2"/>
  <c r="C45" i="2"/>
  <c r="K45" i="2"/>
  <c r="C46" i="2"/>
  <c r="K46" i="2"/>
  <c r="C47" i="2"/>
  <c r="K47" i="2"/>
  <c r="C48" i="2"/>
  <c r="K48" i="2"/>
  <c r="C51" i="2"/>
  <c r="K51" i="2"/>
  <c r="C52" i="2"/>
  <c r="K52" i="2"/>
  <c r="C53" i="2"/>
  <c r="K53" i="2"/>
  <c r="K54" i="2"/>
  <c r="K55" i="2"/>
  <c r="M59" i="2"/>
  <c r="G62" i="2"/>
  <c r="G63" i="2"/>
  <c r="G64" i="2"/>
  <c r="E28" i="12"/>
  <c r="E30" i="13"/>
  <c r="E30" i="14"/>
  <c r="E254" i="18"/>
  <c r="E619" i="19"/>
  <c r="H328" i="19"/>
  <c r="H310" i="19" s="1"/>
  <c r="I310" i="19" s="1"/>
  <c r="E24" i="26"/>
  <c r="C25" i="27"/>
  <c r="C22" i="28"/>
  <c r="E22" i="25"/>
  <c r="C20" i="28"/>
  <c r="J47" i="29"/>
  <c r="J253" i="29"/>
  <c r="G668" i="29"/>
  <c r="J660" i="29"/>
  <c r="J668" i="29" s="1"/>
  <c r="J680" i="29"/>
  <c r="K663" i="38"/>
  <c r="K874" i="38"/>
  <c r="C24" i="26"/>
  <c r="C22" i="26"/>
  <c r="G228" i="29"/>
  <c r="J369" i="29"/>
  <c r="J424" i="29"/>
  <c r="J476" i="29"/>
  <c r="J810" i="29"/>
  <c r="K923" i="38"/>
  <c r="E24" i="25"/>
  <c r="C22" i="25"/>
  <c r="C25" i="25"/>
  <c r="E23" i="25"/>
  <c r="C23" i="25"/>
  <c r="E25" i="25"/>
  <c r="E24" i="27"/>
  <c r="C22" i="27"/>
  <c r="E25" i="27"/>
  <c r="C24" i="27"/>
  <c r="J176" i="29"/>
  <c r="J268" i="29"/>
  <c r="J387" i="29"/>
  <c r="J584" i="29"/>
  <c r="F52" i="22"/>
  <c r="E22" i="27"/>
  <c r="F22" i="27" s="1"/>
  <c r="I22" i="27" s="1"/>
  <c r="J228" i="29"/>
  <c r="J403" i="29"/>
  <c r="C23" i="26"/>
  <c r="T888" i="38"/>
  <c r="E19" i="28"/>
  <c r="E21" i="28"/>
  <c r="F21" i="28" s="1"/>
  <c r="I21" i="28" s="1"/>
  <c r="E20" i="28"/>
  <c r="E22" i="28"/>
  <c r="F22" i="28" s="1"/>
  <c r="I22" i="28" s="1"/>
  <c r="J217" i="29"/>
  <c r="O221" i="31"/>
  <c r="L268" i="31"/>
  <c r="H529" i="36"/>
  <c r="K944" i="38"/>
  <c r="K973" i="38"/>
  <c r="J41" i="21"/>
  <c r="J45" i="21"/>
  <c r="C24" i="25"/>
  <c r="I28" i="25"/>
  <c r="C23" i="27"/>
  <c r="C19" i="28"/>
  <c r="J506" i="29"/>
  <c r="I887" i="29"/>
  <c r="H748" i="31"/>
  <c r="H751" i="31" s="1"/>
  <c r="H753" i="31" s="1"/>
  <c r="H23" i="32"/>
  <c r="E23" i="26"/>
  <c r="C25" i="26"/>
  <c r="G525" i="36"/>
  <c r="G527" i="36"/>
  <c r="K918" i="38"/>
  <c r="K920" i="38"/>
  <c r="K939" i="38"/>
  <c r="K941" i="38"/>
  <c r="K956" i="38"/>
  <c r="K960" i="38"/>
  <c r="K962" i="38"/>
  <c r="K981" i="38"/>
  <c r="I28" i="24"/>
  <c r="E25" i="26"/>
  <c r="F25" i="26" s="1"/>
  <c r="I25" i="26" s="1"/>
  <c r="H1108" i="38"/>
  <c r="K1014" i="38"/>
  <c r="K1022" i="38"/>
  <c r="K1030" i="38"/>
  <c r="K1038" i="38"/>
  <c r="K1046" i="38"/>
  <c r="H998" i="38"/>
  <c r="K911" i="38"/>
  <c r="K926" i="38"/>
  <c r="K928" i="38"/>
  <c r="K947" i="38"/>
  <c r="H1827" i="38"/>
  <c r="K2057" i="38"/>
  <c r="E22" i="26"/>
  <c r="F526" i="36"/>
  <c r="F528" i="36"/>
  <c r="T556" i="38"/>
  <c r="T557" i="38" s="1"/>
  <c r="U557" i="38" s="1"/>
  <c r="U768" i="38"/>
  <c r="U769" i="38" s="1"/>
  <c r="K974" i="38"/>
  <c r="K988" i="38"/>
  <c r="G526" i="36"/>
  <c r="G528" i="36"/>
  <c r="K919" i="38"/>
  <c r="K934" i="38"/>
  <c r="K940" i="38"/>
  <c r="K955" i="38"/>
  <c r="K986" i="38"/>
  <c r="K961" i="38"/>
  <c r="K1010" i="38"/>
  <c r="K1018" i="38"/>
  <c r="K1026" i="38"/>
  <c r="K1034" i="38"/>
  <c r="K1042" i="38"/>
  <c r="K1050" i="38"/>
  <c r="K910" i="38"/>
  <c r="K927" i="38"/>
  <c r="K948" i="38"/>
  <c r="K1286" i="38"/>
  <c r="K1006" i="38"/>
  <c r="H1286" i="38"/>
  <c r="K2099" i="38"/>
  <c r="K2115" i="38"/>
  <c r="K2131" i="38"/>
  <c r="K2147" i="38"/>
  <c r="K2163" i="38"/>
  <c r="H1414" i="38"/>
  <c r="K2097" i="38"/>
  <c r="K2113" i="38"/>
  <c r="K2129" i="38"/>
  <c r="K2145" i="38"/>
  <c r="K2161" i="38"/>
  <c r="K2093" i="38"/>
  <c r="K2109" i="38"/>
  <c r="K2125" i="38"/>
  <c r="K2141" i="38"/>
  <c r="K2157" i="38"/>
  <c r="K2173" i="38"/>
  <c r="K2309" i="38"/>
  <c r="K1704" i="38"/>
  <c r="K2103" i="38"/>
  <c r="K2119" i="38"/>
  <c r="K2135" i="38"/>
  <c r="K2151" i="38"/>
  <c r="K2167" i="38"/>
  <c r="K2089" i="38"/>
  <c r="N8" i="1" l="1"/>
  <c r="N15" i="1"/>
  <c r="I1271" i="19"/>
  <c r="I1279" i="19" s="1"/>
  <c r="F25" i="27"/>
  <c r="I25" i="27" s="1"/>
  <c r="G37" i="7"/>
  <c r="E23" i="7" s="1"/>
  <c r="H23" i="7" s="1"/>
  <c r="I901" i="18"/>
  <c r="E1064" i="19"/>
  <c r="N33" i="1"/>
  <c r="F22" i="26"/>
  <c r="I22" i="26" s="1"/>
  <c r="I21" i="26" s="1"/>
  <c r="I1329" i="19"/>
  <c r="K998" i="38"/>
  <c r="M1000" i="38" s="1"/>
  <c r="E1061" i="19"/>
  <c r="E1061" i="18"/>
  <c r="E1068" i="19"/>
  <c r="E1068" i="18"/>
  <c r="F25" i="4"/>
  <c r="H25" i="4" s="1"/>
  <c r="I11" i="4" s="1"/>
  <c r="J11" i="4" s="1"/>
  <c r="J15" i="4" s="1"/>
  <c r="F25" i="25"/>
  <c r="I25" i="25" s="1"/>
  <c r="K1944" i="38"/>
  <c r="K1827" i="38"/>
  <c r="I21" i="18"/>
  <c r="I901" i="19"/>
  <c r="H44" i="26"/>
  <c r="H17" i="26" s="1"/>
  <c r="I17" i="26" s="1"/>
  <c r="R3" i="2"/>
  <c r="R39" i="2" s="1"/>
  <c r="I975" i="19"/>
  <c r="I457" i="18"/>
  <c r="I975" i="18"/>
  <c r="I457" i="19"/>
  <c r="R9" i="2"/>
  <c r="R45" i="2" s="1"/>
  <c r="P45" i="2"/>
  <c r="P56" i="2" s="1"/>
  <c r="P59" i="2"/>
  <c r="P70" i="2" s="1"/>
  <c r="H32" i="16"/>
  <c r="H14" i="16" s="1"/>
  <c r="I14" i="16" s="1"/>
  <c r="H88" i="23"/>
  <c r="H66" i="23" s="1"/>
  <c r="N14" i="1"/>
  <c r="I531" i="19"/>
  <c r="R24" i="2"/>
  <c r="R51" i="2" s="1"/>
  <c r="R15" i="2"/>
  <c r="H15" i="20" s="1"/>
  <c r="I679" i="18"/>
  <c r="I679" i="19"/>
  <c r="N16" i="1"/>
  <c r="H35" i="2"/>
  <c r="I161" i="18"/>
  <c r="N23" i="1"/>
  <c r="H1216" i="19"/>
  <c r="H1198" i="19" s="1"/>
  <c r="I1198" i="19" s="1"/>
  <c r="H27" i="13"/>
  <c r="H13" i="13" s="1"/>
  <c r="I13" i="13" s="1"/>
  <c r="I161" i="19"/>
  <c r="H27" i="20"/>
  <c r="H13" i="20" s="1"/>
  <c r="H29" i="28"/>
  <c r="H12" i="28" s="1"/>
  <c r="I12" i="28" s="1"/>
  <c r="N24" i="1"/>
  <c r="I84" i="4"/>
  <c r="K1574" i="38"/>
  <c r="I18" i="28"/>
  <c r="F529" i="36"/>
  <c r="F531" i="36" s="1"/>
  <c r="L475" i="29"/>
  <c r="F24" i="26"/>
  <c r="I24" i="26" s="1"/>
  <c r="H617" i="18"/>
  <c r="H604" i="18" s="1"/>
  <c r="I604" i="18" s="1"/>
  <c r="R35" i="2"/>
  <c r="H44" i="25"/>
  <c r="H17" i="25" s="1"/>
  <c r="I17" i="25" s="1"/>
  <c r="H42" i="27"/>
  <c r="H17" i="27" s="1"/>
  <c r="I17" i="27" s="1"/>
  <c r="N4" i="1"/>
  <c r="H35" i="24"/>
  <c r="H13" i="24" s="1"/>
  <c r="H31" i="12"/>
  <c r="H14" i="12" s="1"/>
  <c r="I14" i="12" s="1"/>
  <c r="K70" i="2"/>
  <c r="E28" i="8" s="1"/>
  <c r="N7" i="1"/>
  <c r="H765" i="19"/>
  <c r="H752" i="19" s="1"/>
  <c r="I752" i="19" s="1"/>
  <c r="H37" i="23"/>
  <c r="H15" i="23" s="1"/>
  <c r="H31" i="20"/>
  <c r="H14" i="20" s="1"/>
  <c r="I235" i="19"/>
  <c r="H476" i="18"/>
  <c r="H458" i="18" s="1"/>
  <c r="I458" i="18" s="1"/>
  <c r="H254" i="18"/>
  <c r="H236" i="18" s="1"/>
  <c r="I236" i="18" s="1"/>
  <c r="H106" i="18"/>
  <c r="H88" i="18" s="1"/>
  <c r="I88" i="18" s="1"/>
  <c r="H994" i="18"/>
  <c r="H976" i="18" s="1"/>
  <c r="I976" i="18" s="1"/>
  <c r="H1142" i="18"/>
  <c r="H1124" i="18" s="1"/>
  <c r="I1124" i="18" s="1"/>
  <c r="F70" i="2"/>
  <c r="E16" i="7" s="1"/>
  <c r="H44" i="24"/>
  <c r="H17" i="24" s="1"/>
  <c r="I17" i="24" s="1"/>
  <c r="I22" i="11"/>
  <c r="H149" i="23"/>
  <c r="H122" i="23" s="1"/>
  <c r="I122" i="23" s="1"/>
  <c r="H698" i="18"/>
  <c r="H680" i="18" s="1"/>
  <c r="I680" i="18" s="1"/>
  <c r="H28" i="16"/>
  <c r="H13" i="16" s="1"/>
  <c r="I13" i="16" s="1"/>
  <c r="H106" i="19"/>
  <c r="H88" i="19" s="1"/>
  <c r="I88" i="19" s="1"/>
  <c r="I531" i="18"/>
  <c r="H550" i="19"/>
  <c r="H532" i="19" s="1"/>
  <c r="I532" i="19" s="1"/>
  <c r="H846" i="19"/>
  <c r="H828" i="19" s="1"/>
  <c r="I828" i="19" s="1"/>
  <c r="H27" i="15"/>
  <c r="H13" i="15" s="1"/>
  <c r="I13" i="15" s="1"/>
  <c r="I383" i="18"/>
  <c r="I236" i="19"/>
  <c r="H90" i="23"/>
  <c r="H68" i="23" s="1"/>
  <c r="H89" i="23"/>
  <c r="H67" i="23" s="1"/>
  <c r="H624" i="18"/>
  <c r="H606" i="18" s="1"/>
  <c r="I606" i="18" s="1"/>
  <c r="H27" i="12"/>
  <c r="H13" i="12" s="1"/>
  <c r="I13" i="12" s="1"/>
  <c r="I21" i="19"/>
  <c r="N6" i="1"/>
  <c r="N5" i="1"/>
  <c r="I753" i="18"/>
  <c r="H698" i="19"/>
  <c r="H680" i="19" s="1"/>
  <c r="I680" i="19" s="1"/>
  <c r="H39" i="28"/>
  <c r="H14" i="28" s="1"/>
  <c r="I14" i="28" s="1"/>
  <c r="H1142" i="19"/>
  <c r="H1124" i="19" s="1"/>
  <c r="I1124" i="19" s="1"/>
  <c r="H920" i="18"/>
  <c r="H902" i="18" s="1"/>
  <c r="I902" i="18" s="1"/>
  <c r="H41" i="23"/>
  <c r="H17" i="23" s="1"/>
  <c r="I17" i="23" s="1"/>
  <c r="H140" i="23"/>
  <c r="H118" i="23" s="1"/>
  <c r="M70" i="2"/>
  <c r="H691" i="18"/>
  <c r="H678" i="18" s="1"/>
  <c r="I678" i="18" s="1"/>
  <c r="H180" i="19"/>
  <c r="H162" i="19" s="1"/>
  <c r="I162" i="19" s="1"/>
  <c r="H142" i="23"/>
  <c r="H120" i="23" s="1"/>
  <c r="H772" i="18"/>
  <c r="H754" i="18" s="1"/>
  <c r="I754" i="18" s="1"/>
  <c r="H550" i="18"/>
  <c r="H532" i="18" s="1"/>
  <c r="I532" i="18" s="1"/>
  <c r="H27" i="14"/>
  <c r="H13" i="14" s="1"/>
  <c r="I13" i="14" s="1"/>
  <c r="I827" i="18"/>
  <c r="H1216" i="18"/>
  <c r="H1198" i="18" s="1"/>
  <c r="I1198" i="18" s="1"/>
  <c r="H994" i="19"/>
  <c r="H976" i="19" s="1"/>
  <c r="I976" i="19" s="1"/>
  <c r="H45" i="23"/>
  <c r="H18" i="23" s="1"/>
  <c r="I18" i="23" s="1"/>
  <c r="I235" i="18"/>
  <c r="H37" i="26"/>
  <c r="H15" i="26" s="1"/>
  <c r="I383" i="19"/>
  <c r="H139" i="23"/>
  <c r="H117" i="23" s="1"/>
  <c r="I119" i="23" s="1"/>
  <c r="N70" i="2"/>
  <c r="H97" i="23"/>
  <c r="H70" i="23" s="1"/>
  <c r="I70" i="23" s="1"/>
  <c r="H624" i="19"/>
  <c r="H606" i="19" s="1"/>
  <c r="I606" i="19" s="1"/>
  <c r="P52" i="2"/>
  <c r="R25" i="2"/>
  <c r="R52" i="2" s="1"/>
  <c r="N56" i="2"/>
  <c r="G70" i="2"/>
  <c r="E24" i="8" s="1"/>
  <c r="C53" i="8" s="1"/>
  <c r="I753" i="19"/>
  <c r="H772" i="19"/>
  <c r="H754" i="19" s="1"/>
  <c r="I754" i="19" s="1"/>
  <c r="H469" i="18"/>
  <c r="H456" i="18" s="1"/>
  <c r="I456" i="18" s="1"/>
  <c r="H99" i="18"/>
  <c r="H86" i="18" s="1"/>
  <c r="I86" i="18" s="1"/>
  <c r="G56" i="2"/>
  <c r="H173" i="18"/>
  <c r="H160" i="18" s="1"/>
  <c r="I160" i="18" s="1"/>
  <c r="F56" i="2"/>
  <c r="H920" i="19"/>
  <c r="H902" i="19" s="1"/>
  <c r="I902" i="19" s="1"/>
  <c r="H40" i="25"/>
  <c r="H16" i="25" s="1"/>
  <c r="I16" i="25" s="1"/>
  <c r="H99" i="19"/>
  <c r="H86" i="19" s="1"/>
  <c r="I86" i="19" s="1"/>
  <c r="R5" i="2"/>
  <c r="R41" i="2" s="1"/>
  <c r="F532" i="36"/>
  <c r="H532" i="36"/>
  <c r="H531" i="36"/>
  <c r="H533" i="36"/>
  <c r="F24" i="25"/>
  <c r="I24" i="25" s="1"/>
  <c r="H34" i="25"/>
  <c r="H35" i="25"/>
  <c r="H13" i="25" s="1"/>
  <c r="H37" i="25"/>
  <c r="H15" i="25" s="1"/>
  <c r="H36" i="25"/>
  <c r="H14" i="25" s="1"/>
  <c r="H31" i="15"/>
  <c r="H14" i="15" s="1"/>
  <c r="I14" i="15" s="1"/>
  <c r="H543" i="18"/>
  <c r="H530" i="18" s="1"/>
  <c r="I530" i="18" s="1"/>
  <c r="H395" i="18"/>
  <c r="H382" i="18" s="1"/>
  <c r="I382" i="18" s="1"/>
  <c r="H37" i="24"/>
  <c r="H15" i="24" s="1"/>
  <c r="H34" i="24"/>
  <c r="H1209" i="19"/>
  <c r="H1196" i="19" s="1"/>
  <c r="I1196" i="19" s="1"/>
  <c r="H839" i="19"/>
  <c r="H826" i="19" s="1"/>
  <c r="I826" i="19" s="1"/>
  <c r="H145" i="23"/>
  <c r="H121" i="23" s="1"/>
  <c r="I121" i="23" s="1"/>
  <c r="K2184" i="38"/>
  <c r="E1063" i="19"/>
  <c r="I162" i="18"/>
  <c r="H32" i="27"/>
  <c r="H35" i="27"/>
  <c r="H15" i="27" s="1"/>
  <c r="H33" i="27"/>
  <c r="H13" i="27" s="1"/>
  <c r="H36" i="23"/>
  <c r="H14" i="23" s="1"/>
  <c r="H35" i="23"/>
  <c r="H24" i="14"/>
  <c r="H12" i="14" s="1"/>
  <c r="I12" i="14" s="1"/>
  <c r="H395" i="19"/>
  <c r="H382" i="19" s="1"/>
  <c r="I382" i="19" s="1"/>
  <c r="H247" i="18"/>
  <c r="H234" i="18" s="1"/>
  <c r="I234" i="18" s="1"/>
  <c r="H987" i="18"/>
  <c r="H974" i="18" s="1"/>
  <c r="I974" i="18" s="1"/>
  <c r="I56" i="2"/>
  <c r="F24" i="27"/>
  <c r="I24" i="27" s="1"/>
  <c r="I21" i="27" s="1"/>
  <c r="Q56" i="2"/>
  <c r="H31" i="13"/>
  <c r="H14" i="13" s="1"/>
  <c r="I14" i="13" s="1"/>
  <c r="H617" i="19"/>
  <c r="H604" i="19" s="1"/>
  <c r="I604" i="19" s="1"/>
  <c r="E1060" i="19"/>
  <c r="H987" i="19"/>
  <c r="H974" i="19" s="1"/>
  <c r="I974" i="19" s="1"/>
  <c r="H38" i="27"/>
  <c r="H16" i="27" s="1"/>
  <c r="I16" i="27" s="1"/>
  <c r="H35" i="28"/>
  <c r="H13" i="28" s="1"/>
  <c r="I13" i="28" s="1"/>
  <c r="H1135" i="19"/>
  <c r="H1122" i="19" s="1"/>
  <c r="I1122" i="19" s="1"/>
  <c r="K1108" i="38"/>
  <c r="H469" i="19"/>
  <c r="H456" i="19" s="1"/>
  <c r="I456" i="19" s="1"/>
  <c r="Q70" i="2"/>
  <c r="H1135" i="18"/>
  <c r="H1122" i="18" s="1"/>
  <c r="I1122" i="18" s="1"/>
  <c r="H173" i="19"/>
  <c r="H160" i="19" s="1"/>
  <c r="I160" i="19" s="1"/>
  <c r="F22" i="25"/>
  <c r="I22" i="25" s="1"/>
  <c r="E1065" i="19"/>
  <c r="H24" i="13"/>
  <c r="H12" i="13" s="1"/>
  <c r="I12" i="13" s="1"/>
  <c r="H402" i="18"/>
  <c r="H384" i="18" s="1"/>
  <c r="I384" i="18" s="1"/>
  <c r="E29" i="8"/>
  <c r="E20" i="7"/>
  <c r="H846" i="18"/>
  <c r="H828" i="18" s="1"/>
  <c r="I828" i="18" s="1"/>
  <c r="E1067" i="19"/>
  <c r="H25" i="16"/>
  <c r="H12" i="16" s="1"/>
  <c r="I12" i="16" s="1"/>
  <c r="H40" i="26"/>
  <c r="H16" i="26" s="1"/>
  <c r="I16" i="26" s="1"/>
  <c r="M56" i="2"/>
  <c r="H15" i="15"/>
  <c r="R47" i="2"/>
  <c r="G529" i="36"/>
  <c r="H31" i="14"/>
  <c r="H14" i="14" s="1"/>
  <c r="I14" i="14" s="1"/>
  <c r="H543" i="19"/>
  <c r="H530" i="19" s="1"/>
  <c r="I530" i="19" s="1"/>
  <c r="H402" i="19"/>
  <c r="H384" i="19" s="1"/>
  <c r="I384" i="19" s="1"/>
  <c r="E18" i="7"/>
  <c r="E27" i="8"/>
  <c r="H913" i="19"/>
  <c r="H900" i="19" s="1"/>
  <c r="I900" i="19" s="1"/>
  <c r="H93" i="23"/>
  <c r="H69" i="23" s="1"/>
  <c r="I69" i="23" s="1"/>
  <c r="L35" i="2"/>
  <c r="H1064" i="19" s="1"/>
  <c r="H1049" i="19" s="1"/>
  <c r="J56" i="2"/>
  <c r="K56" i="2"/>
  <c r="H35" i="26"/>
  <c r="H13" i="26" s="1"/>
  <c r="H34" i="26"/>
  <c r="I14" i="20"/>
  <c r="H24" i="20"/>
  <c r="H12" i="20" s="1"/>
  <c r="I13" i="20"/>
  <c r="I12" i="20"/>
  <c r="H765" i="18"/>
  <c r="H752" i="18" s="1"/>
  <c r="I752" i="18" s="1"/>
  <c r="H24" i="12"/>
  <c r="H12" i="12" s="1"/>
  <c r="I12" i="12" s="1"/>
  <c r="H1209" i="18"/>
  <c r="H1196" i="18" s="1"/>
  <c r="H839" i="18"/>
  <c r="H826" i="18" s="1"/>
  <c r="I826" i="18" s="1"/>
  <c r="H40" i="24"/>
  <c r="H16" i="24" s="1"/>
  <c r="I16" i="24" s="1"/>
  <c r="H1061" i="19" l="1"/>
  <c r="H1048" i="19" s="1"/>
  <c r="I1048" i="19" s="1"/>
  <c r="I1049" i="19"/>
  <c r="I465" i="19"/>
  <c r="I909" i="18"/>
  <c r="H1068" i="19"/>
  <c r="H1050" i="19" s="1"/>
  <c r="I1050" i="19" s="1"/>
  <c r="R56" i="2"/>
  <c r="F533" i="36"/>
  <c r="I21" i="25"/>
  <c r="H15" i="12"/>
  <c r="R59" i="2"/>
  <c r="I66" i="23"/>
  <c r="I67" i="23"/>
  <c r="I68" i="23"/>
  <c r="N17" i="1"/>
  <c r="I613" i="18"/>
  <c r="N26" i="1"/>
  <c r="I687" i="19"/>
  <c r="L70" i="2"/>
  <c r="E19" i="7"/>
  <c r="H19" i="7" s="1"/>
  <c r="H1068" i="18"/>
  <c r="H1050" i="18" s="1"/>
  <c r="I1050" i="18" s="1"/>
  <c r="H1061" i="18"/>
  <c r="H1048" i="18" s="1"/>
  <c r="I1048" i="18" s="1"/>
  <c r="I1205" i="19"/>
  <c r="I761" i="19"/>
  <c r="I539" i="19"/>
  <c r="E25" i="8"/>
  <c r="D53" i="8" s="1"/>
  <c r="E53" i="8" s="1"/>
  <c r="I909" i="19"/>
  <c r="I95" i="19"/>
  <c r="H56" i="2"/>
  <c r="I17" i="16"/>
  <c r="I20" i="12"/>
  <c r="I243" i="19"/>
  <c r="I1131" i="19"/>
  <c r="I613" i="19"/>
  <c r="I20" i="15"/>
  <c r="I465" i="18"/>
  <c r="I983" i="18"/>
  <c r="I169" i="18"/>
  <c r="I687" i="18"/>
  <c r="I95" i="18"/>
  <c r="I761" i="18"/>
  <c r="I1131" i="18"/>
  <c r="I1205" i="18"/>
  <c r="I539" i="18"/>
  <c r="I118" i="23"/>
  <c r="I25" i="28"/>
  <c r="H70" i="2"/>
  <c r="N9" i="1"/>
  <c r="I243" i="18"/>
  <c r="I835" i="19"/>
  <c r="O70" i="2"/>
  <c r="I169" i="19"/>
  <c r="I20" i="13"/>
  <c r="I983" i="19"/>
  <c r="I21" i="16"/>
  <c r="E15" i="7"/>
  <c r="C37" i="7" s="1"/>
  <c r="I835" i="18"/>
  <c r="I15" i="27"/>
  <c r="I14" i="27"/>
  <c r="I13" i="27"/>
  <c r="H12" i="27"/>
  <c r="I14" i="24"/>
  <c r="I15" i="24"/>
  <c r="I13" i="24"/>
  <c r="H12" i="24"/>
  <c r="I14" i="25"/>
  <c r="I13" i="25"/>
  <c r="H12" i="25"/>
  <c r="I15" i="25"/>
  <c r="I20" i="14"/>
  <c r="I15" i="23"/>
  <c r="I120" i="23"/>
  <c r="I14" i="23"/>
  <c r="I16" i="23"/>
  <c r="H13" i="23"/>
  <c r="I391" i="18"/>
  <c r="I391" i="19"/>
  <c r="I20" i="20"/>
  <c r="H12" i="26"/>
  <c r="I13" i="26"/>
  <c r="I15" i="26"/>
  <c r="I14" i="26"/>
  <c r="G532" i="36"/>
  <c r="G531" i="36"/>
  <c r="G533" i="36"/>
  <c r="H28" i="8"/>
  <c r="H13" i="8" s="1"/>
  <c r="L56" i="2"/>
  <c r="D37" i="7"/>
  <c r="I1057" i="19" l="1"/>
  <c r="N39" i="1"/>
  <c r="I1057" i="18"/>
  <c r="H25" i="8"/>
  <c r="H12" i="8" s="1"/>
  <c r="I12" i="8" s="1"/>
  <c r="I21" i="8" s="1"/>
  <c r="E37" i="7"/>
  <c r="H16" i="7"/>
  <c r="I135" i="23"/>
  <c r="I83" i="23"/>
  <c r="I30" i="26"/>
  <c r="I28" i="27"/>
  <c r="I30" i="25"/>
  <c r="I31" i="23"/>
  <c r="I3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</author>
  </authors>
  <commentList>
    <comment ref="B838" authorId="0" shapeId="0" xr:uid="{5393808B-0A10-49BE-9B3C-036EE7E35E1C}">
      <text>
        <r>
          <rPr>
            <b/>
            <sz val="9"/>
            <color indexed="81"/>
            <rFont val="Tahoma"/>
            <charset val="1"/>
          </rPr>
          <t>ol:</t>
        </r>
        <r>
          <rPr>
            <sz val="9"/>
            <color indexed="81"/>
            <rFont val="Tahoma"/>
            <charset val="1"/>
          </rPr>
          <t xml:space="preserve">
COLUMNA CUOTA</t>
        </r>
      </text>
    </comment>
    <comment ref="B839" authorId="0" shapeId="0" xr:uid="{15D528BC-2940-4504-9BEB-08832D6A734A}">
      <text>
        <r>
          <rPr>
            <b/>
            <sz val="9"/>
            <color indexed="81"/>
            <rFont val="Tahoma"/>
            <charset val="1"/>
          </rPr>
          <t>ol:</t>
        </r>
        <r>
          <rPr>
            <sz val="9"/>
            <color indexed="81"/>
            <rFont val="Tahoma"/>
            <charset val="1"/>
          </rPr>
          <t xml:space="preserve">
COLUMNA V.NETA</t>
        </r>
      </text>
    </comment>
    <comment ref="G839" authorId="0" shapeId="0" xr:uid="{290674BD-BD3A-4F92-B6C2-B6D527F388BE}">
      <text>
        <r>
          <rPr>
            <b/>
            <sz val="9"/>
            <color indexed="81"/>
            <rFont val="Tahoma"/>
            <charset val="1"/>
          </rPr>
          <t>ol:</t>
        </r>
        <r>
          <rPr>
            <sz val="9"/>
            <color indexed="81"/>
            <rFont val="Tahoma"/>
            <charset val="1"/>
          </rPr>
          <t xml:space="preserve">
COLUMNA %</t>
        </r>
      </text>
    </comment>
    <comment ref="B841" authorId="0" shapeId="0" xr:uid="{0318973F-F3ED-4F53-A28A-C60338B85BB9}">
      <text>
        <r>
          <rPr>
            <b/>
            <sz val="9"/>
            <color indexed="81"/>
            <rFont val="Tahoma"/>
            <charset val="1"/>
          </rPr>
          <t>ol:</t>
        </r>
        <r>
          <rPr>
            <sz val="9"/>
            <color indexed="81"/>
            <rFont val="Tahoma"/>
            <charset val="1"/>
          </rPr>
          <t xml:space="preserve">
COLUMNA T.XCOBRAR</t>
        </r>
      </text>
    </comment>
    <comment ref="B842" authorId="0" shapeId="0" xr:uid="{AAA2F682-7D14-4EFB-A53C-F03792B1B1BF}">
      <text>
        <r>
          <rPr>
            <b/>
            <sz val="9"/>
            <color indexed="81"/>
            <rFont val="Tahoma"/>
            <charset val="1"/>
          </rPr>
          <t>ol:</t>
        </r>
        <r>
          <rPr>
            <sz val="9"/>
            <color indexed="81"/>
            <rFont val="Tahoma"/>
            <charset val="1"/>
          </rPr>
          <t xml:space="preserve">
COLUMNA MOROSIDAD</t>
        </r>
      </text>
    </comment>
    <comment ref="B843" authorId="0" shapeId="0" xr:uid="{B9030D3F-D8A1-489B-B756-5216DA72F60C}">
      <text>
        <r>
          <rPr>
            <b/>
            <sz val="9"/>
            <color indexed="81"/>
            <rFont val="Tahoma"/>
            <charset val="1"/>
          </rPr>
          <t>ol:</t>
        </r>
        <r>
          <rPr>
            <sz val="9"/>
            <color indexed="81"/>
            <rFont val="Tahoma"/>
            <charset val="1"/>
          </rPr>
          <t xml:space="preserve">
COLUMNA COBRADO</t>
        </r>
      </text>
    </comment>
  </commentList>
</comments>
</file>

<file path=xl/sharedStrings.xml><?xml version="1.0" encoding="utf-8"?>
<sst xmlns="http://schemas.openxmlformats.org/spreadsheetml/2006/main" count="13245" uniqueCount="829">
  <si>
    <t>Arequipa - Farma</t>
  </si>
  <si>
    <t>Porcentajes</t>
  </si>
  <si>
    <t>Comisiones</t>
  </si>
  <si>
    <t>Apoyo</t>
  </si>
  <si>
    <t>ZONA</t>
  </si>
  <si>
    <t>VENDEDOR</t>
  </si>
  <si>
    <t>Basico y Mov</t>
  </si>
  <si>
    <t>V.NETA</t>
  </si>
  <si>
    <t>CUOTA</t>
  </si>
  <si>
    <t>VENTAS</t>
  </si>
  <si>
    <t>MOROSIDAD(%)</t>
  </si>
  <si>
    <t>COBERTURA</t>
  </si>
  <si>
    <t>COBERTURA(%)</t>
  </si>
  <si>
    <t>Motivo</t>
  </si>
  <si>
    <t>Importe</t>
  </si>
  <si>
    <t>Total comisiones</t>
  </si>
  <si>
    <t xml:space="preserve">002 </t>
  </si>
  <si>
    <t xml:space="preserve">004 </t>
  </si>
  <si>
    <t xml:space="preserve">005 </t>
  </si>
  <si>
    <t>0.25% DE LA VENTA</t>
  </si>
  <si>
    <t xml:space="preserve">006 </t>
  </si>
  <si>
    <t xml:space="preserve">007 </t>
  </si>
  <si>
    <t xml:space="preserve">008 </t>
  </si>
  <si>
    <t>Moquegua-Puno-Tacna</t>
  </si>
  <si>
    <t xml:space="preserve">030 </t>
  </si>
  <si>
    <t xml:space="preserve">031 </t>
  </si>
  <si>
    <t>0.5% DE LA VENTA</t>
  </si>
  <si>
    <t xml:space="preserve">032 </t>
  </si>
  <si>
    <t xml:space="preserve">033 </t>
  </si>
  <si>
    <t>Cusco-Abancay-Puerto Maldonado</t>
  </si>
  <si>
    <t xml:space="preserve">041 </t>
  </si>
  <si>
    <t xml:space="preserve">043 </t>
  </si>
  <si>
    <t xml:space="preserve">045 </t>
  </si>
  <si>
    <t>0.5% DE LA VENTA ,MAS 300 DE MOVILIDAD</t>
  </si>
  <si>
    <t xml:space="preserve">048 </t>
  </si>
  <si>
    <t xml:space="preserve">042 </t>
  </si>
  <si>
    <t>Arequipa - Consumo</t>
  </si>
  <si>
    <t xml:space="preserve">053 </t>
  </si>
  <si>
    <t xml:space="preserve">054 </t>
  </si>
  <si>
    <t xml:space="preserve">056 </t>
  </si>
  <si>
    <t>Melvin Gonzales -Supervisor</t>
  </si>
  <si>
    <t>El apoyo es por la emision de notas de credito que se autorizo a algunos clientes ,</t>
  </si>
  <si>
    <t>David Valasquez</t>
  </si>
  <si>
    <t>,cierto rebate se dio en la linea de medifarma, y por estar cerca de la cuota</t>
  </si>
  <si>
    <t>Total</t>
  </si>
  <si>
    <t>item</t>
  </si>
  <si>
    <t>V.BRUTA</t>
  </si>
  <si>
    <t>N.CREDITO</t>
  </si>
  <si>
    <t>%</t>
  </si>
  <si>
    <t>COBRADO</t>
  </si>
  <si>
    <t>T.XCOBRAR</t>
  </si>
  <si>
    <t>MOROSO</t>
  </si>
  <si>
    <t>T.CLIENTES</t>
  </si>
  <si>
    <t>Lineas</t>
  </si>
  <si>
    <t>conbertura</t>
  </si>
  <si>
    <t xml:space="preserve">003 </t>
  </si>
  <si>
    <t xml:space="preserve">001 </t>
  </si>
  <si>
    <t xml:space="preserve">020 </t>
  </si>
  <si>
    <t xml:space="preserve">055 </t>
  </si>
  <si>
    <t xml:space="preserve">051 </t>
  </si>
  <si>
    <t xml:space="preserve">057 </t>
  </si>
  <si>
    <t xml:space="preserve">052 </t>
  </si>
  <si>
    <t xml:space="preserve">050 </t>
  </si>
  <si>
    <t xml:space="preserve">044 </t>
  </si>
  <si>
    <t>LOPEZ WASHINGTON  - CUSCO</t>
  </si>
  <si>
    <t>LOPEZ WASHINGTON - PUERTO MALDONADO</t>
  </si>
  <si>
    <t xml:space="preserve">021 </t>
  </si>
  <si>
    <t xml:space="preserve">058 </t>
  </si>
  <si>
    <t xml:space="preserve">090 </t>
  </si>
  <si>
    <t>009</t>
  </si>
  <si>
    <t>MOLLO LLOQUE SAUL</t>
  </si>
  <si>
    <t xml:space="preserve">022 </t>
  </si>
  <si>
    <t>CESAR OVIEDO CARAZAS</t>
  </si>
  <si>
    <t>x</t>
  </si>
  <si>
    <t xml:space="preserve">023 </t>
  </si>
  <si>
    <t xml:space="preserve">059 </t>
  </si>
  <si>
    <t>LOPEZ WASHINGTON -  TOTAL</t>
  </si>
  <si>
    <t>cod</t>
  </si>
  <si>
    <t xml:space="preserve">009 </t>
  </si>
  <si>
    <t xml:space="preserve">060 </t>
  </si>
  <si>
    <t>GAONA JUSCAMAYTA DAVID ELVIS</t>
  </si>
  <si>
    <t>GONZALES ROSELLO MELVIN HERNAN</t>
  </si>
  <si>
    <t>GARCIA GARCIA ROXANA</t>
  </si>
  <si>
    <t>MIRANDA CCOILA PATRICIA</t>
  </si>
  <si>
    <t>MIGUEL ANGEL CHACON ALVAREZ</t>
  </si>
  <si>
    <t>SANTOS TORRES OSCAR LUIS</t>
  </si>
  <si>
    <t>OVIEDO CARAZAS CESAR</t>
  </si>
  <si>
    <t>JUAREZ ZEGARRA MILDRE</t>
  </si>
  <si>
    <t>JALANOCA RAMIREZ ANA MARIA</t>
  </si>
  <si>
    <t>URDAY CHAVEZ  KATELIN</t>
  </si>
  <si>
    <t>DOCUMENTO PROBLEMA</t>
  </si>
  <si>
    <t>OFICINA FARMA</t>
  </si>
  <si>
    <t>OFICINA INSITUCIONES</t>
  </si>
  <si>
    <t>LICITACION INSTITUCIONES</t>
  </si>
  <si>
    <t>VELASQUEZ ALFARO DAVID TEOFILO</t>
  </si>
  <si>
    <t xml:space="preserve">024 </t>
  </si>
  <si>
    <t>CERRO VERDE</t>
  </si>
  <si>
    <t xml:space="preserve">025 </t>
  </si>
  <si>
    <t xml:space="preserve">KIMBERLY CLARCK </t>
  </si>
  <si>
    <t>APAZA YANA SANDRA</t>
  </si>
  <si>
    <t>FLORES GARCIA DIEGO</t>
  </si>
  <si>
    <t>ESPEJO RODRIGUEZ GABRIEL</t>
  </si>
  <si>
    <t>LOPEZ WASHINGTON</t>
  </si>
  <si>
    <t>DOLMOS PACHECO CARMEN ROSA</t>
  </si>
  <si>
    <t>OFICINA PERSONAL</t>
  </si>
  <si>
    <t>COTACALLAPA JOVE ROBERTO</t>
  </si>
  <si>
    <t>CHICATA APAZA JOSE LUIS</t>
  </si>
  <si>
    <t>RAMOS CHACON CARMEN ROSA</t>
  </si>
  <si>
    <t>INANCTIVO MAMANI LIPA CLEMENTE</t>
  </si>
  <si>
    <t>OFICINA CONSUMO</t>
  </si>
  <si>
    <t>OFICINA TRANSPORTE</t>
  </si>
  <si>
    <t>SOSA CECILIA</t>
  </si>
  <si>
    <t>M&amp;M PRODUCTOS MEDICOS Y FARMACEUTICOS E.I.R.L.</t>
  </si>
  <si>
    <t>AV PARRA 365 PJE BISHOP # 5</t>
  </si>
  <si>
    <t>RUC : 20370715107</t>
  </si>
  <si>
    <t>COMISIONES DE VENTAS</t>
  </si>
  <si>
    <t>NOMBRE :</t>
  </si>
  <si>
    <t>Cesar Velarde -Zona Sur</t>
  </si>
  <si>
    <t>TOTALES</t>
  </si>
  <si>
    <t>BASICO</t>
  </si>
  <si>
    <t>MOVILIDAD</t>
  </si>
  <si>
    <t>COMIS</t>
  </si>
  <si>
    <t>Parametros</t>
  </si>
  <si>
    <t>% Alcanzado</t>
  </si>
  <si>
    <t>COM VENTA ( AL 85% CUMPLIDO)</t>
  </si>
  <si>
    <t>COM MOROSIDAD (AL 5% )</t>
  </si>
  <si>
    <t>COM COBERTURA LINEAS (90% CUMPLIDO)</t>
  </si>
  <si>
    <t>BONIFICACION</t>
  </si>
  <si>
    <t>DESCUENTOS</t>
  </si>
  <si>
    <t>T O T A L   S U E L D O</t>
  </si>
  <si>
    <t>OBSERVACIONES</t>
  </si>
  <si>
    <t>CUOTA VENTA</t>
  </si>
  <si>
    <t>VENTA REALIZADA</t>
  </si>
  <si>
    <t>% VTA</t>
  </si>
  <si>
    <t>TOTAL POR COBRAR</t>
  </si>
  <si>
    <t>TOTAL MOROSIDAD</t>
  </si>
  <si>
    <t>% MOR</t>
  </si>
  <si>
    <t>TOTAL COBRANZA</t>
  </si>
  <si>
    <t>TOTAL LINEAS</t>
  </si>
  <si>
    <t>LINEAS COBERTURADAS</t>
  </si>
  <si>
    <t>% COB</t>
  </si>
  <si>
    <t>Cod</t>
  </si>
  <si>
    <t>LINEA</t>
  </si>
  <si>
    <t>AVANCE</t>
  </si>
  <si>
    <t>OBJ</t>
  </si>
  <si>
    <t>linea</t>
  </si>
  <si>
    <t>realizado</t>
  </si>
  <si>
    <t>cuota</t>
  </si>
  <si>
    <t>ABBA</t>
  </si>
  <si>
    <t>ALGOTEC</t>
  </si>
  <si>
    <t>APROPO</t>
  </si>
  <si>
    <t>AXON PHARMA</t>
  </si>
  <si>
    <t>B. BRAUN INST</t>
  </si>
  <si>
    <t>B. BRAUN MEDICAL</t>
  </si>
  <si>
    <t>BAGO DEL PERU SA.</t>
  </si>
  <si>
    <t>BEIERSDORF</t>
  </si>
  <si>
    <t>CASSARA</t>
  </si>
  <si>
    <t>DISTRIBUIDORA DANY</t>
  </si>
  <si>
    <t>DROKASA</t>
  </si>
  <si>
    <t>EGO</t>
  </si>
  <si>
    <t>EUROFARMA</t>
  </si>
  <si>
    <t>GEDEON</t>
  </si>
  <si>
    <t>GENOMMA LAB</t>
  </si>
  <si>
    <t xml:space="preserve">GRUNENTHAL </t>
  </si>
  <si>
    <t>GRUPOFARMA</t>
  </si>
  <si>
    <t>GSK - GLAXOSMITHKLINE</t>
  </si>
  <si>
    <t>IMPORT</t>
  </si>
  <si>
    <t>INDUQUIMICA</t>
  </si>
  <si>
    <t>INTI</t>
  </si>
  <si>
    <t>IQMEDIC</t>
  </si>
  <si>
    <t>ISDIN</t>
  </si>
  <si>
    <t>LABORATORIOS SOPHIA-PERU</t>
  </si>
  <si>
    <t xml:space="preserve">LABOT </t>
  </si>
  <si>
    <t>LANSIER</t>
  </si>
  <si>
    <t>LAPE S.A.</t>
  </si>
  <si>
    <t>LUKOLL</t>
  </si>
  <si>
    <t>MEDIFARMA AKORN</t>
  </si>
  <si>
    <t>MEDIFARMA ATRAL</t>
  </si>
  <si>
    <t>MEDIFARMA CONSUMO</t>
  </si>
  <si>
    <t>MEDIFARMA FARPASA</t>
  </si>
  <si>
    <t>MEDIFARMA MEDIF</t>
  </si>
  <si>
    <t>MEDIFARMA TRIFARMA</t>
  </si>
  <si>
    <t>MEDIFARMA ZAIDMAN</t>
  </si>
  <si>
    <t>NESTLE</t>
  </si>
  <si>
    <t>NIPRO</t>
  </si>
  <si>
    <t>NORDIC</t>
  </si>
  <si>
    <t>NOVARTIS</t>
  </si>
  <si>
    <t>OPHTHA</t>
  </si>
  <si>
    <t>PANDITAS</t>
  </si>
  <si>
    <t>PORTUGAL</t>
  </si>
  <si>
    <t>ROXFARMA</t>
  </si>
  <si>
    <t>SANCELA - TENA</t>
  </si>
  <si>
    <t>SANCELA-NOSOTRAS</t>
  </si>
  <si>
    <t>SANDERSON</t>
  </si>
  <si>
    <t>SAVITAL</t>
  </si>
  <si>
    <t>SCHICK &amp; ENERGIZER</t>
  </si>
  <si>
    <t>SIEGFRIED</t>
  </si>
  <si>
    <t>TERBOL</t>
  </si>
  <si>
    <t>TEVA</t>
  </si>
  <si>
    <t>UNILEVER</t>
  </si>
  <si>
    <t>UNIMED DEL PERU</t>
  </si>
  <si>
    <t>VITAL CARE</t>
  </si>
  <si>
    <t>VITALIS PERU</t>
  </si>
  <si>
    <t>ZENNIT</t>
  </si>
  <si>
    <t>TOTAL</t>
  </si>
  <si>
    <t>ALDO ROJAS</t>
  </si>
  <si>
    <t>Melvin Gonzales</t>
  </si>
  <si>
    <t>Susana Pacheco</t>
  </si>
  <si>
    <t>Venta Extraordinaria</t>
  </si>
  <si>
    <t>- Productos Familia</t>
  </si>
  <si>
    <t>Cuota</t>
  </si>
  <si>
    <t>Proveedores</t>
  </si>
  <si>
    <t>Realizado</t>
  </si>
  <si>
    <t>Porcentaje</t>
  </si>
  <si>
    <t>HAWAIIAN TROPIC</t>
  </si>
  <si>
    <t>IACSA</t>
  </si>
  <si>
    <t>RECKITT BENCKISER</t>
  </si>
  <si>
    <t>Oficina Consumo</t>
  </si>
  <si>
    <t>ALTOMAYO</t>
  </si>
  <si>
    <t>MONSTER</t>
  </si>
  <si>
    <t>MONTEALTO</t>
  </si>
  <si>
    <t>PRODUCTOS FAMILIA</t>
  </si>
  <si>
    <t>VIÑA VIEJA</t>
  </si>
  <si>
    <t>Estructura de Comisiones 2015-Instituciones</t>
  </si>
  <si>
    <t>MOR(%)</t>
  </si>
  <si>
    <t>Sr: Roberto Sosa Martinez</t>
  </si>
  <si>
    <t>Cuota Mensual</t>
  </si>
  <si>
    <t>(Crecimiento 15%)</t>
  </si>
  <si>
    <t>Venta de cerro verde no esta incluida en la cuota mas no se debe dejar de atender</t>
  </si>
  <si>
    <t>A.-</t>
  </si>
  <si>
    <t>Procedimiento Normal</t>
  </si>
  <si>
    <t>1.-</t>
  </si>
  <si>
    <t>Basico</t>
  </si>
  <si>
    <t>La morosidad influye sobreel calculo de comisiones de la siguiente forma</t>
  </si>
  <si>
    <t>-</t>
  </si>
  <si>
    <t>si la morosidad es mayor que el 10% el porcentaje de comision es 0.45%</t>
  </si>
  <si>
    <t>si la morosidad es menor que el 10% el porcentaje de comision es 0.5%</t>
  </si>
  <si>
    <t>si la morosidad es menor que el    7% el porcentaje de comision es 0.6%</t>
  </si>
  <si>
    <t>si la morosidad es menor que el   5% el porcentaje de comision es 0.7%</t>
  </si>
  <si>
    <t>Para el calculo de comisiones</t>
  </si>
  <si>
    <t>Importe total de la cobranza del mes</t>
  </si>
  <si>
    <t>Porcentaje de la escala de morosidades,05%,06% ó 07%</t>
  </si>
  <si>
    <t>X</t>
  </si>
  <si>
    <t>El importe total de la comision es producto de la suma del importe "basico"</t>
  </si>
  <si>
    <t>mas el importe obtenido en el calculo de comisiones</t>
  </si>
  <si>
    <t>B.-</t>
  </si>
  <si>
    <t>Procesos extraordinarios a nivel Nacional con expedientes</t>
  </si>
  <si>
    <t xml:space="preserve"> publicados en SEASE</t>
  </si>
  <si>
    <t>Utilidad de la Empresa</t>
  </si>
  <si>
    <t>Procentaje de comision</t>
  </si>
  <si>
    <t>Mas de 50000,00</t>
  </si>
  <si>
    <t>Menos de 20%</t>
  </si>
  <si>
    <t>Entre 20% y 39%</t>
  </si>
  <si>
    <t>Entre 40% y 59%</t>
  </si>
  <si>
    <t>60% a mas</t>
  </si>
  <si>
    <t>Nota:</t>
  </si>
  <si>
    <t>Las multas seran asumidas por el area institucional,</t>
  </si>
  <si>
    <t>salvo casos excepsionales con previa autorizacion.</t>
  </si>
  <si>
    <t>16</t>
  </si>
  <si>
    <t>030</t>
  </si>
  <si>
    <t>indiquimica</t>
  </si>
  <si>
    <t>27</t>
  </si>
  <si>
    <t>braun</t>
  </si>
  <si>
    <t>F4</t>
  </si>
  <si>
    <t>abl</t>
  </si>
  <si>
    <t>IN</t>
  </si>
  <si>
    <t>infarmasa</t>
  </si>
  <si>
    <t>ME</t>
  </si>
  <si>
    <t>medifarma</t>
  </si>
  <si>
    <t>220</t>
  </si>
  <si>
    <t>Unimed</t>
  </si>
  <si>
    <t>Tevas-infarmasa</t>
  </si>
  <si>
    <t>% comis</t>
  </si>
  <si>
    <t>COM COBERTURA (85% CUMPLIDO)</t>
  </si>
  <si>
    <t>BONIFICACION POR SUPERAR LA CUOTA</t>
  </si>
  <si>
    <t>100%  - 105%</t>
  </si>
  <si>
    <t>}</t>
  </si>
  <si>
    <t>106%  -  114%</t>
  </si>
  <si>
    <t>115%  -  120%</t>
  </si>
  <si>
    <t>121%  A MAS.</t>
  </si>
  <si>
    <t>TOTAL CLIENTES</t>
  </si>
  <si>
    <t>CLIENTES COBERTURADOS</t>
  </si>
  <si>
    <t>COMISIONES DE VENTAS(2 Zonas)</t>
  </si>
  <si>
    <t>-TOTAL</t>
  </si>
  <si>
    <t>COBERTURA DE LINEAS</t>
  </si>
  <si>
    <t>BONOFICACION</t>
  </si>
  <si>
    <t>COM MOROSIDAD (AL 10% )</t>
  </si>
  <si>
    <t>TACNA-MOQUEGUA(ERIKA)</t>
  </si>
  <si>
    <t>VERONICA MARTINEZ CONDORI - -  TOTAL</t>
  </si>
  <si>
    <t>FF06</t>
  </si>
  <si>
    <t>HORACIO LANDEO</t>
  </si>
  <si>
    <t>COM. VENTA ( AL 85% CUMPLIDO)</t>
  </si>
  <si>
    <t>COM. COBERTURA (85% CUMPLIDO)</t>
  </si>
  <si>
    <t>BASICO (VOLANTE)</t>
  </si>
  <si>
    <t>MOVILIDAD (VOLANTE)</t>
  </si>
  <si>
    <t>45</t>
  </si>
  <si>
    <t>080</t>
  </si>
  <si>
    <t>83</t>
  </si>
  <si>
    <t>ISA</t>
  </si>
  <si>
    <t>150</t>
  </si>
  <si>
    <t>250</t>
  </si>
  <si>
    <t>370</t>
  </si>
  <si>
    <t>390</t>
  </si>
  <si>
    <t>430</t>
  </si>
  <si>
    <t>apaza juan</t>
  </si>
  <si>
    <t>051</t>
  </si>
  <si>
    <t>CLEMENTE</t>
  </si>
  <si>
    <t>057</t>
  </si>
  <si>
    <t>CHICATA</t>
  </si>
  <si>
    <t>054</t>
  </si>
  <si>
    <t>RAMOS MEZA DANIEL</t>
  </si>
  <si>
    <t>053</t>
  </si>
  <si>
    <t>cotacallap</t>
  </si>
  <si>
    <t>056</t>
  </si>
  <si>
    <t>Zona</t>
  </si>
  <si>
    <t>C/Entrega</t>
  </si>
  <si>
    <t>Credito</t>
  </si>
  <si>
    <t>Letra</t>
  </si>
  <si>
    <t>050 - OFICINA CONSUMO</t>
  </si>
  <si>
    <t>051 - APAZA VEGA JUAN</t>
  </si>
  <si>
    <t>052 - OLAECHEA LOZANO DANNY MANUEL</t>
  </si>
  <si>
    <t>053 - COTACALLAPA JOVE ROBERTO</t>
  </si>
  <si>
    <t>054 - CHICATA APAZA JOSE LUIS</t>
  </si>
  <si>
    <t>056 - RAMOS CHACON CARMEN ROSA</t>
  </si>
  <si>
    <t>057 - MAMANI LIPA CLEMENTE</t>
  </si>
  <si>
    <t>058 - OFICINA CONSUMO PERSONAL</t>
  </si>
  <si>
    <t>059 - ZAMBRANA SUPO KAREN EUGENIA</t>
  </si>
  <si>
    <t>Vendedor</t>
  </si>
  <si>
    <t>VentaNeta</t>
  </si>
  <si>
    <t>Part(%)</t>
  </si>
  <si>
    <t>Cobertura</t>
  </si>
  <si>
    <t>050  - OFICINA CONSUMO</t>
  </si>
  <si>
    <t>054  - CHICATA APAZA JOSE LUIS</t>
  </si>
  <si>
    <t>057  - MAMANI LIPA CLEMENTE</t>
  </si>
  <si>
    <t>053  - RAMOS MEZA DANIEL</t>
  </si>
  <si>
    <t>058 - OFICINA CONSUMO PROV</t>
  </si>
  <si>
    <t>053 - RAMOS MEZA DANIEL</t>
  </si>
  <si>
    <t>050 - OFICINA PERSONAL 6956.40 100.00 0.00 0.00 0.00 0.00 6956.40</t>
  </si>
  <si>
    <t>052 - OLAECHEA LOZANO DANNY MANUEL 0.00 0.00 0.00 0.00 0.00 0.00 0.00</t>
  </si>
  <si>
    <t>053 - COTACALLAPA JOVE ROBERTO 66221.06 63.71 11114.77 10.69 26609.07 25.60 103944.90</t>
  </si>
  <si>
    <t>054 - CHICATA APAZA JOSE LUIS 49761.23 50.98 47849.62 49.02 0.00 0.00 97610.85</t>
  </si>
  <si>
    <t>056 - RAMOS CHACON CARMEN ROSA 24879.37 50.48 24402.51 49.52 0.00 0.00 49281.88</t>
  </si>
  <si>
    <t>057 - MAMANI LIPA CLEMENTE 0.00 0.00 0.00 0.00 0.00 0.00 0.00</t>
  </si>
  <si>
    <t>058 - OFICINA CONSUMO PROV 0.00 0.00 0.00 0.00 0.00 0.00 0.00</t>
  </si>
  <si>
    <t>060 - OFICINA CONSUMO 51528.37 40.11 0.00 0.00 76934.49 59.89 128462.86</t>
  </si>
  <si>
    <t>050 - OFICINA CONSUMO 66309.23 31.26 0.00 0.00 145824.75 68.74 212133.98</t>
  </si>
  <si>
    <t>Total General 199,346.43 51.61 83,366.90 21.58 103,543.56 26.81 386,256.89</t>
  </si>
  <si>
    <t>053 - RAMOS MEZA DANIEL 5935.46 26.53 6982.64 31.21 9458.14 42.27 22376.24</t>
  </si>
  <si>
    <t>054 - CHICATA APAZA JOSE LUIS 126136.66 62.15 76825.83 37.85 0.00 0.00 202962.49</t>
  </si>
  <si>
    <t>056 - RAMOS CHACON CARMEN ROSA 37908.61 41.46 53516.87 58.54 0.00 0.00 91425.48</t>
  </si>
  <si>
    <t>057 - MAMANI LIPA CLEMENTE 22430.17 69.60 9799.30 30.40 0.00 0.00 32229.47</t>
  </si>
  <si>
    <t>Total General 258,720.13 46.11 147,124.64 26.22 155,282.89 27.67 561,127.</t>
  </si>
  <si>
    <t>Venta Credito</t>
  </si>
  <si>
    <t>Venta Contraentrega</t>
  </si>
  <si>
    <t>Venta Letra</t>
  </si>
  <si>
    <t>% VTA TOTAL</t>
  </si>
  <si>
    <t>COM MOROSIDAD (AL 8% )</t>
  </si>
  <si>
    <t>289</t>
  </si>
  <si>
    <t>VENTA</t>
  </si>
  <si>
    <t>% HECHO</t>
  </si>
  <si>
    <t>- Medifarma</t>
  </si>
  <si>
    <t>056 - COTACALLAPA JOVE ROBERTO</t>
  </si>
  <si>
    <t>- Productos Tisue</t>
  </si>
  <si>
    <t>-EGO</t>
  </si>
  <si>
    <t>- IACSA</t>
  </si>
  <si>
    <t>056  - COTACALLAPA JOVE ROBERTO</t>
  </si>
  <si>
    <t>01/0/2016</t>
  </si>
  <si>
    <t>David Velasquez</t>
  </si>
  <si>
    <t>Octubre 2014</t>
  </si>
  <si>
    <t>serie</t>
  </si>
  <si>
    <t>Numero</t>
  </si>
  <si>
    <t>Cliente</t>
  </si>
  <si>
    <t>Departamento</t>
  </si>
  <si>
    <t>Fecha Emi</t>
  </si>
  <si>
    <t>Fecha Venc</t>
  </si>
  <si>
    <t>importe Tot</t>
  </si>
  <si>
    <t>Not Cred</t>
  </si>
  <si>
    <t>% Com</t>
  </si>
  <si>
    <t>Import</t>
  </si>
  <si>
    <t>REGION TACNA HOSP.DE APOYO H.UNANUE</t>
  </si>
  <si>
    <t xml:space="preserve">TACNA   </t>
  </si>
  <si>
    <t>SEGURO SOCIAL DE SALUD -ESSALUD</t>
  </si>
  <si>
    <t xml:space="preserve">LIMA    </t>
  </si>
  <si>
    <t>Comision</t>
  </si>
  <si>
    <t>ventas</t>
  </si>
  <si>
    <t>Serie</t>
  </si>
  <si>
    <t>Fecha</t>
  </si>
  <si>
    <t>documentos cancelados noviemnre</t>
  </si>
  <si>
    <t>Noviembre 2014</t>
  </si>
  <si>
    <t>ventas en el mes de noviembre</t>
  </si>
  <si>
    <t>Diciembre 2014</t>
  </si>
  <si>
    <t>Enero 2015</t>
  </si>
  <si>
    <t>Febrero 2015</t>
  </si>
  <si>
    <t>Fecha Cancelacion</t>
  </si>
  <si>
    <t>Ventas</t>
  </si>
  <si>
    <t>Marzo 2015</t>
  </si>
  <si>
    <t>feccan</t>
  </si>
  <si>
    <t>Nota cred</t>
  </si>
  <si>
    <t>Com</t>
  </si>
  <si>
    <t>Importe Com</t>
  </si>
  <si>
    <t>CENT.RIÑON-HEMODIALISIS EIRL</t>
  </si>
  <si>
    <t>DIRECCION REGIONAL DE SALUD TACNA</t>
  </si>
  <si>
    <t>TASAYCO GOGIN VICTOR HUGO</t>
  </si>
  <si>
    <t>Cobranza</t>
  </si>
  <si>
    <t>Abril 2015</t>
  </si>
  <si>
    <t>Junio 2015</t>
  </si>
  <si>
    <t>Julio 2015</t>
  </si>
  <si>
    <t>Agosto 2015</t>
  </si>
  <si>
    <t>setiembre 2015</t>
  </si>
  <si>
    <t>Octubre 2015</t>
  </si>
  <si>
    <t>Noviembre 2015</t>
  </si>
  <si>
    <t>DIAS</t>
  </si>
  <si>
    <t xml:space="preserve"> Año 2015 del Seguro</t>
  </si>
  <si>
    <t>Diciembre 2015</t>
  </si>
  <si>
    <t>Enero 2016</t>
  </si>
  <si>
    <t>Febrero 2016</t>
  </si>
  <si>
    <t>Marzo 2016</t>
  </si>
  <si>
    <t>SERVICIOS MEDICOS INTEGRALES INMACULADA SCRL</t>
  </si>
  <si>
    <t>Abril 2016</t>
  </si>
  <si>
    <t>Mayo 2016</t>
  </si>
  <si>
    <t>Junio 2016</t>
  </si>
  <si>
    <t>Julio 2016</t>
  </si>
  <si>
    <t>Agosto 2016</t>
  </si>
  <si>
    <t>Setiembre 2016</t>
  </si>
  <si>
    <t>Noviembre 2016</t>
  </si>
  <si>
    <t>Diciembre 2016</t>
  </si>
  <si>
    <t>Enero 2017</t>
  </si>
  <si>
    <t>FF04</t>
  </si>
  <si>
    <t>Febrero 2017</t>
  </si>
  <si>
    <t>Marzo 2017</t>
  </si>
  <si>
    <t>Abril 2017</t>
  </si>
  <si>
    <t>Observacion-dias</t>
  </si>
  <si>
    <t>Mayo 2017</t>
  </si>
  <si>
    <t>001</t>
  </si>
  <si>
    <t>CENT.RIÃ‘ON-HEMODIALISIS EIRL</t>
  </si>
  <si>
    <t>Junio 2017</t>
  </si>
  <si>
    <t>Julio 2017</t>
  </si>
  <si>
    <t>Agosto 2017</t>
  </si>
  <si>
    <t>Setiembre 2017</t>
  </si>
  <si>
    <t>Octubre 2017</t>
  </si>
  <si>
    <t>Noviembre 2017</t>
  </si>
  <si>
    <t>Diciembre 2017</t>
  </si>
  <si>
    <t>Cobranza:        David Velasquez</t>
  </si>
  <si>
    <t>Julio 2018</t>
  </si>
  <si>
    <t>FF07</t>
  </si>
  <si>
    <t>inafecto</t>
  </si>
  <si>
    <t>igv</t>
  </si>
  <si>
    <t>SOUTHERN PERU COPPER CORPORATION</t>
  </si>
  <si>
    <t>AREQUIPA</t>
  </si>
  <si>
    <t>DIRECCION REGIONAL DE SALUD CUSCO</t>
  </si>
  <si>
    <t xml:space="preserve">CUSCO   </t>
  </si>
  <si>
    <t>DIRECCION REGIONAL SALUD MOQUEGUA</t>
  </si>
  <si>
    <t>MOQUEGUA</t>
  </si>
  <si>
    <t>G.R.A.RED SALUD N 1 CAMANA CARAVELI</t>
  </si>
  <si>
    <t>SOCIEDAD MINERA CERRO VERDE S.A.A.</t>
  </si>
  <si>
    <t>HOSPITAL REGIONAL CUSCO</t>
  </si>
  <si>
    <t>DIRECCION REGIONAL DE SALUD PUNO</t>
  </si>
  <si>
    <t xml:space="preserve">PUNO    </t>
  </si>
  <si>
    <t>G.R.A. HOSPITAL III REG. H. DELGADO</t>
  </si>
  <si>
    <t>RED ASISTENCIAL ALMENARA</t>
  </si>
  <si>
    <t>G.R.A. SALUD APLAO</t>
  </si>
  <si>
    <t>INPE-ORS AREQUIPA</t>
  </si>
  <si>
    <t>HOSPITAL REGIONAL DE MOQUEGUA</t>
  </si>
  <si>
    <t>Roberto Sosa Octubre 2014</t>
  </si>
  <si>
    <t>Importe Total</t>
  </si>
  <si>
    <t>canceladas noviembre 2014</t>
  </si>
  <si>
    <t>SEGURO SOCIAL DE SALUD -ESSALUD ILO</t>
  </si>
  <si>
    <t>G.R.A. HOSPITAL GOYENECHE</t>
  </si>
  <si>
    <t>SEGURO SOCIAL DE SALUD - ESSALUD</t>
  </si>
  <si>
    <t>Roberto Sosa Diciembre 2014</t>
  </si>
  <si>
    <t>Fecha de cancelacion</t>
  </si>
  <si>
    <t>SEGURO SOCIAL DE SALUD -ESSALUD JU</t>
  </si>
  <si>
    <t>REDESS  SAN ROMAN</t>
  </si>
  <si>
    <t>DIRECCION REGIONAL DE SALUD ANCASH</t>
  </si>
  <si>
    <t xml:space="preserve">ANCASH  </t>
  </si>
  <si>
    <t>Roberto Sosa Enero 2015</t>
  </si>
  <si>
    <t>Cobranza Roberto Sosa Febrero 2015</t>
  </si>
  <si>
    <t>Comision 0.5%</t>
  </si>
  <si>
    <t>Ventas Febrero 2015-Roberto Sosa</t>
  </si>
  <si>
    <t>Numdoc</t>
  </si>
  <si>
    <t>Ciudad</t>
  </si>
  <si>
    <t>junio</t>
  </si>
  <si>
    <t>Cerro Verde</t>
  </si>
  <si>
    <t xml:space="preserve">Total </t>
  </si>
  <si>
    <t>Avance %</t>
  </si>
  <si>
    <t>Descuento 7 dias</t>
  </si>
  <si>
    <t>Ventas Marzo 2015-Roberto Sosa</t>
  </si>
  <si>
    <t>*</t>
  </si>
  <si>
    <t>UNIDAD EJEC. HOSP. ANTONIO LORENA</t>
  </si>
  <si>
    <t>Cobranza Roberto Sosa Marzo 2015</t>
  </si>
  <si>
    <t>SALUD ILO</t>
  </si>
  <si>
    <t>INSTITUCIONES</t>
  </si>
  <si>
    <t>COMISIONES</t>
  </si>
  <si>
    <t>TOTAL COBRANZA DEL MES</t>
  </si>
  <si>
    <t>consultas</t>
  </si>
  <si>
    <t>roberto sosa</t>
  </si>
  <si>
    <t xml:space="preserve">select ce.cserie,ce.cnumero,c.cnomcli,u.cnomdepartamento,ce.dfecemi,ce.dfeccan,ce.nafecto,ce.ninafecto,ce.nigv,ce.nimporte,ce.nnotabo from comprobante_emitido ce,cliente c ,ubigeo u </t>
  </si>
  <si>
    <t>where ce.idcliente=c.idcliente and c.idubigeo=u.idubigeo and c.idtipocliente in (5,6,17)  and ce.dfeccan between '2014-03-01' and '2014-03-31'</t>
  </si>
  <si>
    <t>oscar santos</t>
  </si>
  <si>
    <t xml:space="preserve">select ce.cserie,ce.cnumero,c.cnomcli,u.cnomdepartamento,ce.dfecemi,ce.dfeccan,ce.nafecto,ce.ninafecto,ce.nigv,ce.nimporte,ce.nnotabo,1,(ce.nimporte-ce.nnotabo)*0.01 from comprobante_emitido ce,cliente c ,ubigeo u </t>
  </si>
  <si>
    <t>where ce.idcliente=c.idcliente and c.idubigeo=u.idubigeo and (ce.idzona=51 or ce.idzona=16)  and ce.dfeccan between '2015-07-01' and '2015-07-31'</t>
  </si>
  <si>
    <t>select ce.cserie,ce.cnumero,c.cnomcli,u.cnomdepartamento,ce.dfecemi,ce.dfeccan,ce.nafecto,ce.ninafecto,ce.nigv,ce.nimporte,ce.nnotabo,</t>
  </si>
  <si>
    <t>1,(ce.nimporte-ce.nnotabo)*0.01,m.idproducto,m.idregsalida from comprobante_emitido ce,cliente c ,ubigeo u ,movimiento m</t>
  </si>
  <si>
    <t xml:space="preserve">where ce.idregsalida=m.idregsalida and ce.idcliente=c.idcliente and c.idubigeo=u.idubigeo and (ce.idzona=51 or ce.idzona=16) </t>
  </si>
  <si>
    <t xml:space="preserve"> and ce.dfeccan between '2015-07-01' and '2015-07-31' and (m.idproducto='12520' or</t>
  </si>
  <si>
    <t xml:space="preserve"> m.idproducto='12519')</t>
  </si>
  <si>
    <t>david velazquesz</t>
  </si>
  <si>
    <t>DOCUMENTOS CANCELADOS</t>
  </si>
  <si>
    <t>where ce.idzona=4 and ce.idcliente=c.idcliente and c.idubigeo=u.idubigeo and c.idtipocliente in (5,6,17)  and ce.dfeccan between '2014-03-01' and '2014-03-31'</t>
  </si>
  <si>
    <t xml:space="preserve">VENTAS </t>
  </si>
  <si>
    <t>select ce.csergui,ce.cnumgui,c.cnomcli,u.cnomdepartamento,ce.dfecha,'' as dfeccan,ce.nafecto,ce.ninafecto,ce.nigv,ce.nimporte</t>
  </si>
  <si>
    <t xml:space="preserve">from registro_salida  ce,cliente c ,ubigeo u </t>
  </si>
  <si>
    <t>where ce.idzona=4 and ce.idcliente=c.idcliente and c.idubigeo=u.idubigeo and c.idcliente in (1471,2031)  and ce.dfecha between '2014-03-01' and '2014-03-31' and ce.idmotivo=1</t>
  </si>
  <si>
    <t>vanesa</t>
  </si>
  <si>
    <t xml:space="preserve">select a.idregsalida,a.idvendedor,b.cnomvendedor,a.idcliente,c.cnomcli,a.dfecemi,a.cserie,cnumero,e.idsublinea,d.idproducto,e.cnomproducto,d.ncantidad,d.nsubtot,a.nafecto,a.ninafecto,a.nigv,a.nimporte,a.idzona </t>
  </si>
  <si>
    <t>from comprobante_emitido a,vendedor b,cliente c,movimiento d,producto e where d.idproducto=e.idproducto and a.idregsalida=d.idregsalida and a.idcliente=c.idcliente and a.idvendedor=b.idvendedor and a.idvendedor=67 and idperiodo=203</t>
  </si>
  <si>
    <t>david velazques</t>
  </si>
  <si>
    <t>where  ce.idcliente=c.idcliente and c.idubigeo=u.idubigeo and c.idcliente in ('15392','2092','1489','2121','1471','15674',02031')  and ce.dfeccan between '2015-06-01' and '2015-06-30'</t>
  </si>
  <si>
    <t>where ce.idcliente=c.idcliente and c.idubigeo=u.idubigeo and c.idcliente in ('15392','2092','1489','2121','1471','15674','2031','17790'  )  and ce.dfeccan between '2016-04-01' and '2016-04-30'</t>
  </si>
  <si>
    <t>select</t>
  </si>
  <si>
    <t>ce.cserie,ce.cnumero,c.cnomcli,u.cnomdepartamento,ce.dfecemi,ce.dfeccan,ce.nafecto,ce.ninafecto,ce.nigv,ce.nimporte,ce.nnotabo</t>
  </si>
  <si>
    <t>from</t>
  </si>
  <si>
    <t>comprobante_emitido</t>
  </si>
  <si>
    <t>ce,cliente</t>
  </si>
  <si>
    <t>c</t>
  </si>
  <si>
    <t>,ubigeo</t>
  </si>
  <si>
    <t>u</t>
  </si>
  <si>
    <t>where</t>
  </si>
  <si>
    <t>ce.idcliente=c.idcliente</t>
  </si>
  <si>
    <t>and</t>
  </si>
  <si>
    <t>c.idubigeo=u.idubigeo</t>
  </si>
  <si>
    <t>c.idcliente</t>
  </si>
  <si>
    <t>in</t>
  </si>
  <si>
    <t>('15392','2092','1489','2121','1471','15674','2031','15674','2092','8243','17790')</t>
  </si>
  <si>
    <t>ce.dfeccan</t>
  </si>
  <si>
    <t>between</t>
  </si>
  <si>
    <t>'2016-06-01'</t>
  </si>
  <si>
    <t>'2016-06-30'</t>
  </si>
  <si>
    <t>ce.cserie,ce.cnumero,ce.csergui,ce.cnumgui,c.cnomcli,u.cnomdepartamento,ce.dfecha,''</t>
  </si>
  <si>
    <t>as</t>
  </si>
  <si>
    <t>dfeccan,ce.nafecto,ce.ninafecto,ce.nigv,ce.nimporte</t>
  </si>
  <si>
    <t>registro_salida</t>
  </si>
  <si>
    <t>ce.idzona</t>
  </si>
  <si>
    <t>in(16,51)</t>
  </si>
  <si>
    <t>ce.dfecha</t>
  </si>
  <si>
    <t>ce.idmotivo=1</t>
  </si>
  <si>
    <t>sdgsdfgfg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</si>
  <si>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</si>
  <si>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</si>
  <si>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</si>
  <si>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</si>
  <si>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</si>
  <si>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</si>
  <si>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</si>
  <si>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</si>
  <si>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</si>
  <si>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</si>
  <si>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</si>
  <si>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SOCIEDAD DE BENEF PUBLICA DE CUSCO</t>
  </si>
  <si>
    <t>instituciones</t>
  </si>
  <si>
    <t>Licitaciones</t>
  </si>
  <si>
    <t>Oscar Santos</t>
  </si>
  <si>
    <t>David velazquez</t>
  </si>
  <si>
    <t>Vanessa Vargas</t>
  </si>
  <si>
    <t>Factura</t>
  </si>
  <si>
    <t>Tipo</t>
  </si>
  <si>
    <t>Plazo</t>
  </si>
  <si>
    <t xml:space="preserve">Fec Ven </t>
  </si>
  <si>
    <t>IdVendedor</t>
  </si>
  <si>
    <t>valor venta</t>
  </si>
  <si>
    <t>Inafecto</t>
  </si>
  <si>
    <t>IGV</t>
  </si>
  <si>
    <t>val venta</t>
  </si>
  <si>
    <t>Movilidad</t>
  </si>
  <si>
    <t>operación</t>
  </si>
  <si>
    <t>idvendedor</t>
  </si>
  <si>
    <t>vendedor</t>
  </si>
  <si>
    <t>cod cliente</t>
  </si>
  <si>
    <t>cliente</t>
  </si>
  <si>
    <t>fecha</t>
  </si>
  <si>
    <t>factura</t>
  </si>
  <si>
    <t>sublinea</t>
  </si>
  <si>
    <t>cod producto</t>
  </si>
  <si>
    <t>pdrodcurto</t>
  </si>
  <si>
    <t>cantidad</t>
  </si>
  <si>
    <t>subtotal</t>
  </si>
  <si>
    <t>valven</t>
  </si>
  <si>
    <t>valven inafecto</t>
  </si>
  <si>
    <t>igvven</t>
  </si>
  <si>
    <t>importe</t>
  </si>
  <si>
    <t>zona</t>
  </si>
  <si>
    <t>VARGAS RECHARTE VANESSA</t>
  </si>
  <si>
    <t>FARMACIA GAMA S.R.L.</t>
  </si>
  <si>
    <t>CELECOXIB 200MG X 100TAB</t>
  </si>
  <si>
    <t>CETIRIZINA 10MG X 100TAB</t>
  </si>
  <si>
    <t>CIPROFLOXACINO 500MG X 100TAB</t>
  </si>
  <si>
    <t>CLARITROMICINA 500MG X 50TAB</t>
  </si>
  <si>
    <t>DEXAMETASONA 0,5MG X 100TAB</t>
  </si>
  <si>
    <t xml:space="preserve">DEXAMETASONA 4 MG X 100 TAB </t>
  </si>
  <si>
    <t>KETOROLACO 10MG X 100TAB</t>
  </si>
  <si>
    <t>LOSARTAN POTASICO 50 MG  X100</t>
  </si>
  <si>
    <t>METFORMINA 850MG X 100 TAB</t>
  </si>
  <si>
    <t>PIROXICAM 20MG X 100TAB</t>
  </si>
  <si>
    <t>PREDNISONA 20MG X 100TAB</t>
  </si>
  <si>
    <t>TERBINAFINA 250 MG X 30 TABLETAS</t>
  </si>
  <si>
    <t>AQP PHARMA S.R.L.</t>
  </si>
  <si>
    <t>LACTULOSA 3,3 G / 5 ML X 100 ML</t>
  </si>
  <si>
    <t>TERAZOSINA 5MG TAB X 100</t>
  </si>
  <si>
    <t>CAMAPAZA BARRIGA JAIME WILLIAM</t>
  </si>
  <si>
    <t>MOD FARMACIA NACIONAL E.I.R.L.</t>
  </si>
  <si>
    <t>CETIRIZINA 5 MG/5 ML X 60ML X 1 FCO</t>
  </si>
  <si>
    <t>ENALAPRIL 10MG X 100TABS</t>
  </si>
  <si>
    <t>ENALAPRIL 20MG X 100TABS</t>
  </si>
  <si>
    <t>IBUPROFENO 600MG X 100TAB</t>
  </si>
  <si>
    <t>IBUPROFENO 800MG X 50TAB</t>
  </si>
  <si>
    <t>METOTREXATO 2.5 MG X 100 TAB</t>
  </si>
  <si>
    <t>TAMOXIFENO 20 MG  X 30 TABLETAS</t>
  </si>
  <si>
    <t>CARRILLO PERALTA MONICA PATRICIA</t>
  </si>
  <si>
    <t>SANTIVAÑEZ SANABRIA AIDE MILAGRO</t>
  </si>
  <si>
    <t>PREDNISONA 5MG/5ML JBE.X 120ML</t>
  </si>
  <si>
    <t>NAVARRO ZAPATA SHIRLEY YALOHA LYA</t>
  </si>
  <si>
    <t>VILLALTA PINEDA BRIHAN</t>
  </si>
  <si>
    <t>TEJADA ESCOBEDO LILIANA RUBI</t>
  </si>
  <si>
    <t>LEON CUNO JESUS ALBERTO</t>
  </si>
  <si>
    <t>CLORFENAMINA MALEATO 4MG X 100TAB</t>
  </si>
  <si>
    <t>METRONIDAZOL 500MG X 100TAB</t>
  </si>
  <si>
    <t>OMEPRAZOL 20MG X 100CAP</t>
  </si>
  <si>
    <t>SULFAM 200M/TRIM 40/GUAIFN 50X60ML</t>
  </si>
  <si>
    <t>NAPROXENO SODICO 550MG X 100TAB</t>
  </si>
  <si>
    <t>SALAS MONTEROLA NANCY GIOVANNA</t>
  </si>
  <si>
    <t>PARACETAMOL 500MG X 100TAB</t>
  </si>
  <si>
    <t>REPRESENTACIONES FENIX S.A.C.</t>
  </si>
  <si>
    <t>CARMEN ARROYO JUDITH OLINDA</t>
  </si>
  <si>
    <t>BARREDA RAMOS BEATRIZ MARITZA</t>
  </si>
  <si>
    <t>FERNANDEZ DE HERRERA YUDY MARIELA</t>
  </si>
  <si>
    <t>VALDIVIA RODRIGUEZ DIEGO JULIO</t>
  </si>
  <si>
    <t>LAZO TORRES JORGE HERADIO</t>
  </si>
  <si>
    <t>GALUAL SRL</t>
  </si>
  <si>
    <t>CENTELLAS SANCHEZ JANELLE MAYTS</t>
  </si>
  <si>
    <t>CARBAMAZEPINA 200MG X 100TAB</t>
  </si>
  <si>
    <t>FLUCONAZOL 150 MG X 2 CAPSULAS</t>
  </si>
  <si>
    <t>PREDNISONA 50MG X 100TAB</t>
  </si>
  <si>
    <t>SANDY'S NEGOCIOS E.I.R.L.</t>
  </si>
  <si>
    <t>SULFAM 200MG/TRIMET 40MG X 60ML</t>
  </si>
  <si>
    <t>ACICLOVIR 200MG X 100TAB</t>
  </si>
  <si>
    <t>DEXAMETASONA 1MG X 100TAB</t>
  </si>
  <si>
    <t>DIMENHIDRINATO 50MG X 100 TAB</t>
  </si>
  <si>
    <t>IBUPROFENO 400 MG X 100 TAB</t>
  </si>
  <si>
    <t>LOPERAMIDA 2MG X 100TAB</t>
  </si>
  <si>
    <t>HUILLCA DIAZ LEONOR</t>
  </si>
  <si>
    <t>HUAMAN MAYHUA SABINA</t>
  </si>
  <si>
    <t>AZITROMICINA 500 MG X 30TAB</t>
  </si>
  <si>
    <t>FARMACIAS SMARTFARMA S.A.C.</t>
  </si>
  <si>
    <t>FURAZOLIDONA 100MG X 100TAB</t>
  </si>
  <si>
    <t>TETRACICLINA 500MG X 100CAP</t>
  </si>
  <si>
    <t>ROQUE QUISPE ISIDORO</t>
  </si>
  <si>
    <t>FARMACIA CATEDRAL E.I.R.L.</t>
  </si>
  <si>
    <t>BOTICA F&amp;L EIRL</t>
  </si>
  <si>
    <t>COAGUILA VELEZ NESTOR</t>
  </si>
  <si>
    <t>QUISPE PERALTA MARIA ROSARIO</t>
  </si>
  <si>
    <t>ROLDAN AGRAMONTE WILSON JULIO</t>
  </si>
  <si>
    <t>GUILLEN ROJAS HIPOLITO CELESTINO</t>
  </si>
  <si>
    <t>CAPTOPRIL 25MG X 100TAB</t>
  </si>
  <si>
    <t>CLARITROMICINA 250MG/5ML SUSP EXT.</t>
  </si>
  <si>
    <t>KETOCONAZOL 200 MG X 100 TAB</t>
  </si>
  <si>
    <t>ESCARCENA DE FUENTES JESUS ESTELA</t>
  </si>
  <si>
    <t>Total INDUQUIMICA</t>
  </si>
  <si>
    <t>ATROPINA 1% GOTAS X 5ML</t>
  </si>
  <si>
    <t>BI-ORBI X 15ML</t>
  </si>
  <si>
    <t>BIOTEARS</t>
  </si>
  <si>
    <t>FLORIL COLIRIO X 8ML (NAFAZOL 0.3%)</t>
  </si>
  <si>
    <t>FRAMIDEX N.F. SOL.OFT.(FRAMIC+DEXA)</t>
  </si>
  <si>
    <t>HUMED GOTAS X 15ML (HIPROMEL 0.3%)</t>
  </si>
  <si>
    <t>HUMEDBIO 0.3% X 15ML</t>
  </si>
  <si>
    <t>LAGRIMAS ISOTONICAS X 15 ML</t>
  </si>
  <si>
    <t>LANCIPROX GOTAS X 5ML (CIPROFLAXIN)</t>
  </si>
  <si>
    <t>MEGATOB SOLC.OFT. X 5ML</t>
  </si>
  <si>
    <t>PATADINE PLUS 0.2% SOL. OFT X 5ML</t>
  </si>
  <si>
    <t>REFRESKAN-T  PLUS X 15ML</t>
  </si>
  <si>
    <t>XALOPTIC-T X 2.5ML GTAS</t>
  </si>
  <si>
    <t>TERRAMISOL-A UNGTO X 6GR</t>
  </si>
  <si>
    <t>CARDENAS HUAHUACHAMBI YAQUELINE YARA</t>
  </si>
  <si>
    <t>OTIDOL GOTAS X 5ML (POLIM+NEOM+FUR)</t>
  </si>
  <si>
    <t>LINARES PORTILLA ROSMERI LOLA</t>
  </si>
  <si>
    <t>TERRACORSOL UNGTO.OFT. X 3.5GR</t>
  </si>
  <si>
    <t>CHALCO GUTIERREZ LUZ MARINA</t>
  </si>
  <si>
    <t>PREDSO 1% GOTAS X 5 ML (PREDNISOL 1%)</t>
  </si>
  <si>
    <t>TETRALAN UNG TO X 6GR(TETRACIC. 1%)</t>
  </si>
  <si>
    <t>PROVIDENCIA E.I.R.L .</t>
  </si>
  <si>
    <t>TAMO QUISPE GENOVEVA TERESA</t>
  </si>
  <si>
    <t>GENTAMICINA VITALINE 0.3% OFT</t>
  </si>
  <si>
    <t>HUARACHI CONDORI ROXANA FRANCISCA</t>
  </si>
  <si>
    <t>LANCIPROX-DX X 5ML (CIPROFLOX+DEXA)</t>
  </si>
  <si>
    <t>SANGA QUENAYA EDITH MABEL</t>
  </si>
  <si>
    <t>MONTESINOS HILLPA ROSA MARIA</t>
  </si>
  <si>
    <t>CAHUAYA CHOQUE MARTHA</t>
  </si>
  <si>
    <t>SIMON CAYO EVA MARIA</t>
  </si>
  <si>
    <t>BENITO ICHOCAN WILBER CARLOS</t>
  </si>
  <si>
    <t>LA TORRE VILLALBA LISSETH PAOLA</t>
  </si>
  <si>
    <t>COAGUILA FLORES JOHN JULIO</t>
  </si>
  <si>
    <t>PAUCCARA HILARIO TANIA VERONICA</t>
  </si>
  <si>
    <t>PAREDES ADRIANZEN JOSE SALOMON</t>
  </si>
  <si>
    <t>CASTRO BARRIOS JUDITH MARILU</t>
  </si>
  <si>
    <t>RODRIGUEZ CAMARGO JOSE LUIS</t>
  </si>
  <si>
    <t>LAZO COAGUILA NEMY GIOVANNA</t>
  </si>
  <si>
    <t>TUME IQUIRA GIOVANNI</t>
  </si>
  <si>
    <t>BOTICAS AQP S.R.L.</t>
  </si>
  <si>
    <t>ANGYMARC ASOCIADOS S.R.L.</t>
  </si>
  <si>
    <t>CLORINCORT-P UNGTO 3.5GR</t>
  </si>
  <si>
    <t>NEOTROL GOTAS X 5ML (NEOM+DEXA+POL)</t>
  </si>
  <si>
    <t>TOBRAZOL DX X 5 ML (TOBRAMIC+DEXAM)</t>
  </si>
  <si>
    <t>Total LANSIER</t>
  </si>
  <si>
    <t>MICOMISIL CREMA X15GR(TERBINAFIN</t>
  </si>
  <si>
    <t>MUCOTRIM PLUS JBE X120ML</t>
  </si>
  <si>
    <t>MUCOTRIM DILAT GTS.X15ML</t>
  </si>
  <si>
    <t>NISTALIZOL OVULOS VAGINALES X 60</t>
  </si>
  <si>
    <t>AEROX PLUS 80 MG/MLX15ML</t>
  </si>
  <si>
    <t>DEXAFLAM 0,5MG/ML X100ML ELIX(DEXA)</t>
  </si>
  <si>
    <t>ROXTIL X 10 GR (CLOTRI+GENTA+DEXA)</t>
  </si>
  <si>
    <t>CIPROCALMEX COMP.  X 100 UND.</t>
  </si>
  <si>
    <t>ROXTRIM FORTE TAB. X 100 UND.</t>
  </si>
  <si>
    <t>DOLOCORT CREMA TOPICA X 30G</t>
  </si>
  <si>
    <t>LAXOLAX GTS.10MG/ML X10ML(PICOSULF)</t>
  </si>
  <si>
    <t>MAGNEZIN POLVO ORAL 33 SOBRES</t>
  </si>
  <si>
    <t>NOPRAXIN POLVO/SUSP X 60 ML</t>
  </si>
  <si>
    <t>ZITOMINA TAB. RECUB. X 3 UND.</t>
  </si>
  <si>
    <t>FARMACIA EL SAGRARIO E.I.R.L.</t>
  </si>
  <si>
    <t>DEXAFLAM 2MG/ML X100ML ELIXIR(DEXA)</t>
  </si>
  <si>
    <t>NOTFEBRIL JARABE X 60 ML</t>
  </si>
  <si>
    <t>ROXTRIM FORTE  X 60ML</t>
  </si>
  <si>
    <t>VOMIXTAL X 100 COMPRIMIDOS</t>
  </si>
  <si>
    <t>Total ROXFARMA</t>
  </si>
  <si>
    <t>FITOMENADIONA 10MG /1ML</t>
  </si>
  <si>
    <t>CLORURO DE SODIO 20% /20ML APIRO</t>
  </si>
  <si>
    <t>KETOPROFENO 100 MG X 2 ML</t>
  </si>
  <si>
    <t>METAMIZOL SODICO 1GR/2ML</t>
  </si>
  <si>
    <t>FUROSEMIDA 20 MG X 2 ML</t>
  </si>
  <si>
    <t>DIAZEPAN 5 MG/ML INY 2 ML</t>
  </si>
  <si>
    <t>DIAZEPAN 10MG X 2ML</t>
  </si>
  <si>
    <t>Total SANDERSON</t>
  </si>
  <si>
    <t>Total general</t>
  </si>
  <si>
    <t>feberero</t>
  </si>
  <si>
    <t>EJEMPLO</t>
  </si>
  <si>
    <t>CUOTA APROX ZONA</t>
  </si>
  <si>
    <t>% aproximado x promotor 50% cuota</t>
  </si>
  <si>
    <t>TOTAL COMISIONES</t>
  </si>
  <si>
    <t>TOTAL MAS BONO</t>
  </si>
  <si>
    <t>BONO 1 ESCALA</t>
  </si>
  <si>
    <t>BONO 2 ESCALA</t>
  </si>
  <si>
    <t>BONO 3 ESCALA</t>
  </si>
  <si>
    <t>* Solamente se esta considerando la zona de Arequipa y sus provincias</t>
  </si>
  <si>
    <t>* Adicionalmente deberá considerarse la movilidad de S/.300.00</t>
  </si>
  <si>
    <t>Vanesa Vargas</t>
  </si>
  <si>
    <t>Cobertura de clientes</t>
  </si>
  <si>
    <t>LINEAS</t>
  </si>
  <si>
    <t>REALIZADO</t>
  </si>
  <si>
    <t>Oscar santos 2014   Octubre 2014</t>
  </si>
  <si>
    <t>CENTRO MEDICO MONTE CARMELO S.C.R.L.</t>
  </si>
  <si>
    <t>CLINICA AREQUIPA S.A.</t>
  </si>
  <si>
    <t>HOGAR CLINICA SAN JUAN DE DIOS</t>
  </si>
  <si>
    <t>CLINICA J.PRADO SANTA MARIA E.I.R.L</t>
  </si>
  <si>
    <t>CLERDISUR S.A.C.</t>
  </si>
  <si>
    <t>OCHOA TEJEDA WILFREDO EDUARDO</t>
  </si>
  <si>
    <t>MEDI.LAB S.R.L.</t>
  </si>
  <si>
    <t>CENTRO NEFROLOGICO AREQUIPA S.A.C.</t>
  </si>
  <si>
    <t>importe Total</t>
  </si>
  <si>
    <t>CARITAS DIOCESANA AREQUIPA</t>
  </si>
  <si>
    <t>CLINICA SAN MIGUEL S.A.C.</t>
  </si>
  <si>
    <t>CLINICA SAN PABLO DE LA SALLE S.A.</t>
  </si>
  <si>
    <t>GALENO I.E.M. S.A.C.</t>
  </si>
  <si>
    <t>Oscar santos 2014   Enero 2015</t>
  </si>
  <si>
    <t>dias</t>
  </si>
  <si>
    <t>SERV MEDICOS Y DIALISIS DEL SUR VIRGEN DE LA CANDELARIA</t>
  </si>
  <si>
    <t>ss</t>
  </si>
  <si>
    <t>ssss</t>
  </si>
  <si>
    <t>sssssss</t>
  </si>
  <si>
    <t>sssss</t>
  </si>
  <si>
    <t>s</t>
  </si>
  <si>
    <t>a</t>
  </si>
  <si>
    <t>b</t>
  </si>
  <si>
    <t>Oscar santos 2014   Marzo 2015</t>
  </si>
  <si>
    <t>Oscar santos 2014   Abril 2015</t>
  </si>
  <si>
    <t>doc</t>
  </si>
  <si>
    <t>departaemtno</t>
  </si>
  <si>
    <t>fecan</t>
  </si>
  <si>
    <t>bc</t>
  </si>
  <si>
    <t>cccc</t>
  </si>
  <si>
    <t>ddd</t>
  </si>
  <si>
    <t>eee</t>
  </si>
  <si>
    <t>rrr</t>
  </si>
  <si>
    <t>rrrr</t>
  </si>
  <si>
    <t>Oscar santos Mayo 2015</t>
  </si>
  <si>
    <t>Oscar santos Junio 2015</t>
  </si>
  <si>
    <t>Oscar santos Julio 2015</t>
  </si>
  <si>
    <t>Oscar Santos Agosto 2015</t>
  </si>
  <si>
    <t>Oscar Santos Setiembre 2015</t>
  </si>
  <si>
    <t>Oscar Santos Octubre 2015</t>
  </si>
  <si>
    <t>Oscar Santos Noviembre 2015</t>
  </si>
  <si>
    <t>POLICLINICO QUINTA TRISTAN E.I.R.L.</t>
  </si>
  <si>
    <t>Oscar Santos Diciembre 2015</t>
  </si>
  <si>
    <t>CLINICA VALLESUR S.A.</t>
  </si>
  <si>
    <t>Oscar Santos Enero  2016</t>
  </si>
  <si>
    <t>SISTEMAS DE ADMINISTRACION HOSPITALARIA S.A.C.</t>
  </si>
  <si>
    <t>Oscar Santos Febrero  2016</t>
  </si>
  <si>
    <t>Oscar Santos Marzo  2016</t>
  </si>
  <si>
    <t>ESTABLECIMIENTO DE SALUD MUNICIPAL - ESAMU</t>
  </si>
  <si>
    <t>Oscar Santos Abril  2016</t>
  </si>
  <si>
    <t>VASQUEZ SUMARIA RAUL CESAR</t>
  </si>
  <si>
    <t xml:space="preserve">        </t>
  </si>
  <si>
    <t>C.ATENC AMB PAC RENAL VGN DEL CARMEN EIR</t>
  </si>
  <si>
    <t>FLORES PALOMINO JIM</t>
  </si>
  <si>
    <t>No trabaja</t>
  </si>
  <si>
    <t>LOPEZ WASHINGTON – PUERTO MALDONADO</t>
  </si>
  <si>
    <t>LOPEZ WASHINGTON – CUSCO</t>
  </si>
  <si>
    <t>041</t>
  </si>
  <si>
    <t>LOPEZ WASHINGTON – ABANCAY</t>
  </si>
  <si>
    <t>LOPEZ WASHINGTON TRES (PM + C + SUMA)</t>
  </si>
  <si>
    <t>LOPEZ WASHINGTON – TOTAL</t>
  </si>
  <si>
    <t>LOPEZ WASHINGTON SUMA 2</t>
  </si>
  <si>
    <t>SUPERVISOR CONSUMO</t>
  </si>
  <si>
    <t>URDAY CHAVEZ KATELIN</t>
  </si>
  <si>
    <t>TORRES LEVANO PATRICIA</t>
  </si>
  <si>
    <t>SALAZAR VALLENAS JULIO</t>
  </si>
  <si>
    <t>HUERTAS BRIONES RICARDO</t>
  </si>
  <si>
    <t xml:space="preserve"> MILLA CHAMBI MARIA ELENA</t>
  </si>
  <si>
    <t>no imprimir</t>
  </si>
  <si>
    <t>QUISPE GARCIA JACKELINE</t>
  </si>
  <si>
    <t>OLAECHEA LOZANO DANNY MANUEL</t>
  </si>
  <si>
    <t>ESCOBEDO DUANI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</si>
</sst>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\ %"/>
    <numFmt numFmtId="166" formatCode="0.00\ %"/>
    <numFmt numFmtId="167" formatCode="0.000"/>
    <numFmt numFmtId="168" formatCode="0.0%"/>
    <numFmt numFmtId="169" formatCode="mmm&quot; - &quot;yyyy"/>
    <numFmt numFmtId="170" formatCode="mmmm\-yy"/>
  </numFmts>
  <fonts count="68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name val="Abadi MT Condensed Light"/>
      <charset val="1"/>
    </font>
    <font>
      <sz val="8"/>
      <name val="Abadi MT Condensed Light"/>
      <charset val="1"/>
    </font>
    <font>
      <sz val="7"/>
      <name val="Abadi MT Condensed Light"/>
      <charset val="1"/>
    </font>
    <font>
      <sz val="10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2"/>
      <charset val="1"/>
    </font>
    <font>
      <b/>
      <sz val="7"/>
      <name val="Abadi MT Condensed Light"/>
      <charset val="1"/>
    </font>
    <font>
      <sz val="7"/>
      <name val="Abadi MT Condensed Light"/>
      <family val="2"/>
      <charset val="1"/>
    </font>
    <font>
      <b/>
      <sz val="7"/>
      <name val="Abadi MT Condensed Light"/>
      <family val="2"/>
      <charset val="1"/>
    </font>
    <font>
      <b/>
      <sz val="7"/>
      <color rgb="FF000000"/>
      <name val="Calibri"/>
      <family val="2"/>
      <charset val="1"/>
    </font>
    <font>
      <sz val="11"/>
      <name val="Abadi MT Condensed Light"/>
      <charset val="1"/>
    </font>
    <font>
      <u/>
      <sz val="7"/>
      <name val="Calibri"/>
      <family val="2"/>
      <charset val="1"/>
    </font>
    <font>
      <b/>
      <sz val="7"/>
      <color rgb="FFFFFFFF"/>
      <name val="Abadi MT Condensed Light"/>
      <charset val="1"/>
    </font>
    <font>
      <b/>
      <sz val="7"/>
      <name val="Arial"/>
      <family val="2"/>
      <charset val="1"/>
    </font>
    <font>
      <sz val="7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b/>
      <sz val="7"/>
      <name val="Arial"/>
      <family val="2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rgb="FF363636"/>
      <name val="Arial"/>
      <family val="2"/>
      <charset val="1"/>
    </font>
    <font>
      <sz val="7"/>
      <name val="Cambria"/>
      <family val="1"/>
      <charset val="1"/>
    </font>
    <font>
      <sz val="6"/>
      <name val="Arial"/>
      <family val="2"/>
      <charset val="1"/>
    </font>
    <font>
      <b/>
      <sz val="6"/>
      <name val="Calibri"/>
      <family val="2"/>
      <charset val="1"/>
    </font>
    <font>
      <sz val="6"/>
      <color rgb="FF000000"/>
      <name val="Calibri"/>
      <family val="2"/>
      <charset val="1"/>
    </font>
    <font>
      <b/>
      <sz val="8"/>
      <name val="Calibri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name val="Times New Roman"/>
      <family val="1"/>
      <charset val="1"/>
    </font>
    <font>
      <sz val="8"/>
      <name val="Abadi MT Condensed Light"/>
      <family val="2"/>
      <charset val="1"/>
    </font>
    <font>
      <sz val="7"/>
      <color rgb="FFFFFFFF"/>
      <name val="Arial"/>
      <family val="2"/>
      <charset val="1"/>
    </font>
    <font>
      <sz val="60"/>
      <name val="Arial"/>
      <family val="2"/>
      <charset val="1"/>
    </font>
    <font>
      <b/>
      <sz val="12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60"/>
      <color rgb="FFFFFFFF"/>
      <name val="Arial"/>
      <family val="2"/>
      <charset val="1"/>
    </font>
    <font>
      <sz val="7"/>
      <color rgb="FF363636"/>
      <name val="Arial"/>
      <family val="2"/>
      <charset val="1"/>
    </font>
    <font>
      <sz val="7"/>
      <color rgb="FF000000"/>
      <name val="AbadiMT-CondensedLight"/>
      <charset val="1"/>
    </font>
    <font>
      <sz val="8"/>
      <color rgb="FFFFFFFF"/>
      <name val="Arial"/>
      <family val="2"/>
      <charset val="1"/>
    </font>
    <font>
      <b/>
      <sz val="8"/>
      <color rgb="FFFFFFFF"/>
      <name val="Arial"/>
      <family val="2"/>
      <charset val="1"/>
    </font>
    <font>
      <sz val="9"/>
      <color rgb="FF000000"/>
      <name val="AbadiMT-CondensedLight"/>
      <charset val="1"/>
    </font>
    <font>
      <sz val="9"/>
      <name val="Arial"/>
      <family val="2"/>
      <charset val="1"/>
    </font>
    <font>
      <b/>
      <sz val="11"/>
      <name val="Abadi MT Condensed Light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badi MT Condensed Light"/>
    </font>
    <font>
      <b/>
      <sz val="7"/>
      <color theme="1"/>
      <name val="Abadi MT Condensed Light"/>
    </font>
    <font>
      <sz val="11"/>
      <color theme="1"/>
      <name val="Abadi MT Condensed Light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badi MT Condensed Light"/>
    </font>
    <font>
      <sz val="7"/>
      <color theme="1"/>
      <name val="Arial"/>
      <family val="2"/>
    </font>
    <font>
      <sz val="10"/>
      <color rgb="FFFFFFFF"/>
      <name val="Arial"/>
      <family val="2"/>
    </font>
    <font>
      <sz val="60"/>
      <color rgb="FFFFFFFF"/>
      <name val="Arial"/>
      <family val="2"/>
    </font>
    <font>
      <sz val="7"/>
      <color rgb="FFFFFFFF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3CDDD"/>
        <bgColor rgb="FF8EB4E3"/>
      </patternFill>
    </fill>
    <fill>
      <patternFill patternType="solid">
        <fgColor rgb="FFD9D9D9"/>
        <bgColor rgb="FFD7E4BD"/>
      </patternFill>
    </fill>
    <fill>
      <patternFill patternType="solid">
        <fgColor rgb="FFB3A2C7"/>
        <bgColor rgb="FFBFBFBF"/>
      </patternFill>
    </fill>
    <fill>
      <patternFill patternType="solid">
        <fgColor rgb="FFFFFFFF"/>
        <bgColor rgb="FFDCE6F2"/>
      </patternFill>
    </fill>
    <fill>
      <patternFill patternType="solid">
        <fgColor rgb="FF8EB4E3"/>
        <bgColor rgb="FF93CDDD"/>
      </patternFill>
    </fill>
    <fill>
      <patternFill patternType="solid">
        <fgColor rgb="FFD99694"/>
        <bgColor rgb="FFFF99CC"/>
      </patternFill>
    </fill>
    <fill>
      <patternFill patternType="solid">
        <fgColor rgb="FF77933C"/>
        <bgColor rgb="FF339966"/>
      </patternFill>
    </fill>
    <fill>
      <patternFill patternType="solid">
        <fgColor rgb="FF0070C0"/>
        <bgColor rgb="FF008080"/>
      </patternFill>
    </fill>
    <fill>
      <patternFill patternType="solid">
        <fgColor rgb="FFB9CDE5"/>
        <bgColor rgb="FFB7DEE8"/>
      </patternFill>
    </fill>
    <fill>
      <patternFill patternType="solid">
        <fgColor rgb="FF92D050"/>
        <bgColor rgb="FFC3D69B"/>
      </patternFill>
    </fill>
    <fill>
      <patternFill patternType="solid">
        <fgColor rgb="FFDCE6F2"/>
        <bgColor rgb="FFD9D9D9"/>
      </patternFill>
    </fill>
    <fill>
      <patternFill patternType="solid">
        <fgColor rgb="FF558ED5"/>
        <bgColor rgb="FF3366FF"/>
      </patternFill>
    </fill>
    <fill>
      <patternFill patternType="solid">
        <fgColor rgb="FF953735"/>
        <bgColor rgb="FF993366"/>
      </patternFill>
    </fill>
    <fill>
      <patternFill patternType="solid">
        <fgColor rgb="FFB7DEE8"/>
        <bgColor rgb="FFB9CDE5"/>
      </patternFill>
    </fill>
    <fill>
      <patternFill patternType="solid">
        <fgColor rgb="FFBFBFBF"/>
        <bgColor rgb="FFB9CDE5"/>
      </patternFill>
    </fill>
    <fill>
      <patternFill patternType="solid">
        <fgColor rgb="FF00B0F0"/>
        <bgColor rgb="FF33CCCC"/>
      </patternFill>
    </fill>
    <fill>
      <patternFill patternType="solid">
        <fgColor rgb="FFD7E4BD"/>
        <bgColor rgb="FFD9D9D9"/>
      </patternFill>
    </fill>
    <fill>
      <patternFill patternType="solid">
        <fgColor rgb="FF376092"/>
        <bgColor rgb="FF333399"/>
      </patternFill>
    </fill>
    <fill>
      <patternFill patternType="solid">
        <fgColor rgb="FFC3D69B"/>
        <bgColor rgb="FFD7E4BD"/>
      </patternFill>
    </fill>
    <fill>
      <patternFill patternType="solid">
        <fgColor rgb="FFFFFF99"/>
        <bgColor rgb="FFD7E4BD"/>
      </patternFill>
    </fill>
    <fill>
      <patternFill patternType="solid">
        <fgColor indexed="31"/>
      </patternFill>
    </fill>
    <fill>
      <patternFill patternType="solid">
        <fgColor rgb="FF92D050"/>
        <bgColor rgb="FF92D050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53" fillId="0" borderId="0" applyBorder="0" applyProtection="0"/>
  </cellStyleXfs>
  <cellXfs count="382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3" borderId="1" xfId="0" applyFont="1" applyFill="1" applyBorder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2" fillId="4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0" fontId="4" fillId="5" borderId="1" xfId="0" applyFont="1" applyFill="1" applyBorder="1"/>
    <xf numFmtId="0" fontId="5" fillId="5" borderId="1" xfId="0" applyFont="1" applyFill="1" applyBorder="1"/>
    <xf numFmtId="2" fontId="4" fillId="5" borderId="1" xfId="0" applyNumberFormat="1" applyFont="1" applyFill="1" applyBorder="1"/>
    <xf numFmtId="2" fontId="1" fillId="5" borderId="1" xfId="0" applyNumberFormat="1" applyFont="1" applyFill="1" applyBorder="1"/>
    <xf numFmtId="0" fontId="1" fillId="5" borderId="1" xfId="0" applyFont="1" applyFill="1" applyBorder="1"/>
    <xf numFmtId="2" fontId="1" fillId="4" borderId="1" xfId="0" applyNumberFormat="1" applyFont="1" applyFill="1" applyBorder="1" applyAlignment="1">
      <alignment horizontal="right"/>
    </xf>
    <xf numFmtId="0" fontId="6" fillId="0" borderId="0" xfId="0" applyFont="1"/>
    <xf numFmtId="0" fontId="1" fillId="3" borderId="0" xfId="0" applyFont="1" applyFill="1" applyAlignment="1">
      <alignment horizontal="right"/>
    </xf>
    <xf numFmtId="0" fontId="6" fillId="4" borderId="1" xfId="0" applyFont="1" applyFill="1" applyBorder="1"/>
    <xf numFmtId="0" fontId="7" fillId="0" borderId="0" xfId="0" applyFont="1"/>
    <xf numFmtId="0" fontId="8" fillId="2" borderId="0" xfId="0" applyFont="1" applyFill="1"/>
    <xf numFmtId="0" fontId="9" fillId="2" borderId="1" xfId="0" applyFont="1" applyFill="1" applyBorder="1"/>
    <xf numFmtId="0" fontId="9" fillId="2" borderId="4" xfId="0" applyFont="1" applyFill="1" applyBorder="1"/>
    <xf numFmtId="0" fontId="7" fillId="2" borderId="0" xfId="0" applyFont="1" applyFill="1"/>
    <xf numFmtId="0" fontId="8" fillId="0" borderId="0" xfId="0" applyFont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2" fontId="8" fillId="8" borderId="1" xfId="0" applyNumberFormat="1" applyFont="1" applyFill="1" applyBorder="1"/>
    <xf numFmtId="164" fontId="8" fillId="0" borderId="0" xfId="0" applyNumberFormat="1" applyFont="1" applyAlignment="1">
      <alignment horizontal="right"/>
    </xf>
    <xf numFmtId="0" fontId="5" fillId="9" borderId="1" xfId="0" applyFont="1" applyFill="1" applyBorder="1"/>
    <xf numFmtId="0" fontId="8" fillId="0" borderId="0" xfId="0" applyFont="1" applyAlignment="1">
      <alignment horizontal="right"/>
    </xf>
    <xf numFmtId="0" fontId="10" fillId="9" borderId="1" xfId="0" applyFont="1" applyFill="1" applyBorder="1"/>
    <xf numFmtId="0" fontId="5" fillId="10" borderId="1" xfId="0" applyFont="1" applyFill="1" applyBorder="1"/>
    <xf numFmtId="0" fontId="5" fillId="2" borderId="1" xfId="0" applyFont="1" applyFill="1" applyBorder="1"/>
    <xf numFmtId="0" fontId="8" fillId="9" borderId="0" xfId="0" applyFont="1" applyFill="1"/>
    <xf numFmtId="164" fontId="8" fillId="9" borderId="0" xfId="0" applyNumberFormat="1" applyFont="1" applyFill="1" applyAlignment="1">
      <alignment horizontal="right"/>
    </xf>
    <xf numFmtId="166" fontId="5" fillId="0" borderId="1" xfId="1" applyNumberFormat="1" applyFont="1" applyBorder="1"/>
    <xf numFmtId="2" fontId="10" fillId="0" borderId="1" xfId="0" applyNumberFormat="1" applyFont="1" applyBorder="1"/>
    <xf numFmtId="0" fontId="8" fillId="0" borderId="0" xfId="0" applyFont="1" applyAlignment="1">
      <alignment horizont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0" fillId="0" borderId="1" xfId="0" applyFont="1" applyBorder="1"/>
    <xf numFmtId="2" fontId="8" fillId="0" borderId="0" xfId="0" applyNumberFormat="1" applyFont="1"/>
    <xf numFmtId="0" fontId="5" fillId="11" borderId="1" xfId="0" applyFont="1" applyFill="1" applyBorder="1"/>
    <xf numFmtId="2" fontId="5" fillId="0" borderId="1" xfId="0" applyNumberFormat="1" applyFont="1" applyBorder="1"/>
    <xf numFmtId="1" fontId="5" fillId="0" borderId="1" xfId="0" applyNumberFormat="1" applyFont="1" applyBorder="1"/>
    <xf numFmtId="167" fontId="5" fillId="0" borderId="1" xfId="0" applyNumberFormat="1" applyFont="1" applyBorder="1"/>
    <xf numFmtId="0" fontId="12" fillId="0" borderId="0" xfId="0" applyFont="1"/>
    <xf numFmtId="2" fontId="12" fillId="0" borderId="0" xfId="0" applyNumberFormat="1" applyFont="1"/>
    <xf numFmtId="0" fontId="5" fillId="12" borderId="1" xfId="0" applyFont="1" applyFill="1" applyBorder="1"/>
    <xf numFmtId="2" fontId="5" fillId="7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0" fillId="0" borderId="0" xfId="0" applyAlignment="1">
      <alignment horizontal="right"/>
    </xf>
    <xf numFmtId="0" fontId="0" fillId="13" borderId="0" xfId="0" applyFill="1"/>
    <xf numFmtId="0" fontId="9" fillId="13" borderId="1" xfId="0" applyFont="1" applyFill="1" applyBorder="1"/>
    <xf numFmtId="0" fontId="9" fillId="7" borderId="1" xfId="0" applyFont="1" applyFill="1" applyBorder="1"/>
    <xf numFmtId="0" fontId="13" fillId="0" borderId="1" xfId="0" applyFont="1" applyBorder="1"/>
    <xf numFmtId="166" fontId="8" fillId="0" borderId="0" xfId="0" applyNumberFormat="1" applyFont="1"/>
    <xf numFmtId="2" fontId="8" fillId="14" borderId="0" xfId="0" applyNumberFormat="1" applyFont="1" applyFill="1"/>
    <xf numFmtId="0" fontId="8" fillId="14" borderId="0" xfId="0" applyFont="1" applyFill="1"/>
    <xf numFmtId="0" fontId="5" fillId="14" borderId="1" xfId="0" applyFont="1" applyFill="1" applyBorder="1"/>
    <xf numFmtId="0" fontId="0" fillId="14" borderId="0" xfId="0" applyFill="1"/>
    <xf numFmtId="2" fontId="14" fillId="0" borderId="0" xfId="0" applyNumberFormat="1" applyFont="1"/>
    <xf numFmtId="0" fontId="5" fillId="0" borderId="0" xfId="0" applyFont="1"/>
    <xf numFmtId="0" fontId="15" fillId="13" borderId="0" xfId="0" applyFont="1" applyFill="1"/>
    <xf numFmtId="0" fontId="5" fillId="4" borderId="0" xfId="0" applyFont="1" applyFill="1"/>
    <xf numFmtId="0" fontId="8" fillId="13" borderId="0" xfId="0" applyFont="1" applyFill="1"/>
    <xf numFmtId="0" fontId="16" fillId="0" borderId="0" xfId="0" applyFont="1"/>
    <xf numFmtId="0" fontId="17" fillId="0" borderId="0" xfId="0" applyFont="1"/>
    <xf numFmtId="2" fontId="17" fillId="0" borderId="0" xfId="0" applyNumberFormat="1" applyFont="1"/>
    <xf numFmtId="17" fontId="16" fillId="0" borderId="0" xfId="0" applyNumberFormat="1" applyFont="1"/>
    <xf numFmtId="0" fontId="18" fillId="0" borderId="0" xfId="0" applyFont="1"/>
    <xf numFmtId="2" fontId="16" fillId="0" borderId="0" xfId="0" applyNumberFormat="1" applyFont="1"/>
    <xf numFmtId="0" fontId="17" fillId="0" borderId="0" xfId="0" applyFont="1" applyAlignment="1">
      <alignment horizontal="center" wrapText="1"/>
    </xf>
    <xf numFmtId="0" fontId="16" fillId="0" borderId="6" xfId="0" applyFont="1" applyBorder="1"/>
    <xf numFmtId="0" fontId="16" fillId="0" borderId="7" xfId="0" applyFont="1" applyBorder="1"/>
    <xf numFmtId="2" fontId="16" fillId="0" borderId="7" xfId="0" applyNumberFormat="1" applyFont="1" applyBorder="1"/>
    <xf numFmtId="2" fontId="16" fillId="0" borderId="8" xfId="0" applyNumberFormat="1" applyFont="1" applyBorder="1"/>
    <xf numFmtId="0" fontId="17" fillId="0" borderId="0" xfId="0" applyFont="1" applyAlignment="1">
      <alignment horizontal="right"/>
    </xf>
    <xf numFmtId="0" fontId="16" fillId="0" borderId="9" xfId="0" applyFont="1" applyBorder="1" applyAlignment="1">
      <alignment horizontal="left"/>
    </xf>
    <xf numFmtId="0" fontId="16" fillId="0" borderId="10" xfId="0" applyFont="1" applyBorder="1"/>
    <xf numFmtId="2" fontId="16" fillId="0" borderId="9" xfId="0" applyNumberFormat="1" applyFont="1" applyBorder="1"/>
    <xf numFmtId="0" fontId="16" fillId="0" borderId="12" xfId="0" applyFont="1" applyBorder="1"/>
    <xf numFmtId="0" fontId="19" fillId="0" borderId="0" xfId="0" applyFont="1" applyAlignment="1">
      <alignment horizontal="left" vertical="top" wrapText="1"/>
    </xf>
    <xf numFmtId="0" fontId="4" fillId="7" borderId="5" xfId="0" applyFont="1" applyFill="1" applyBorder="1" applyAlignment="1">
      <alignment horizontal="center" vertical="top" wrapText="1"/>
    </xf>
    <xf numFmtId="0" fontId="7" fillId="0" borderId="13" xfId="0" applyFont="1" applyBorder="1"/>
    <xf numFmtId="0" fontId="7" fillId="0" borderId="14" xfId="0" applyFont="1" applyBorder="1"/>
    <xf numFmtId="2" fontId="7" fillId="0" borderId="15" xfId="0" applyNumberFormat="1" applyFont="1" applyBorder="1"/>
    <xf numFmtId="0" fontId="7" fillId="0" borderId="16" xfId="0" applyFont="1" applyBorder="1"/>
    <xf numFmtId="0" fontId="7" fillId="0" borderId="17" xfId="0" applyFont="1" applyBorder="1"/>
    <xf numFmtId="0" fontId="4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7" fillId="0" borderId="18" xfId="0" applyFont="1" applyBorder="1"/>
    <xf numFmtId="0" fontId="7" fillId="0" borderId="2" xfId="0" applyFont="1" applyBorder="1"/>
    <xf numFmtId="2" fontId="7" fillId="0" borderId="19" xfId="0" applyNumberFormat="1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1" xfId="0" applyFont="1" applyBorder="1"/>
    <xf numFmtId="2" fontId="7" fillId="0" borderId="6" xfId="0" applyNumberFormat="1" applyFont="1" applyBorder="1"/>
    <xf numFmtId="0" fontId="7" fillId="0" borderId="8" xfId="0" applyFont="1" applyBorder="1"/>
    <xf numFmtId="0" fontId="12" fillId="0" borderId="9" xfId="0" applyFont="1" applyBorder="1"/>
    <xf numFmtId="0" fontId="12" fillId="0" borderId="23" xfId="0" applyFont="1" applyBorder="1"/>
    <xf numFmtId="2" fontId="12" fillId="0" borderId="10" xfId="0" applyNumberFormat="1" applyFont="1" applyBorder="1"/>
    <xf numFmtId="0" fontId="12" fillId="0" borderId="12" xfId="0" applyFont="1" applyBorder="1"/>
    <xf numFmtId="2" fontId="20" fillId="0" borderId="0" xfId="0" applyNumberFormat="1" applyFont="1"/>
    <xf numFmtId="14" fontId="17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65" fontId="17" fillId="0" borderId="0" xfId="0" applyNumberFormat="1" applyFont="1"/>
    <xf numFmtId="1" fontId="17" fillId="0" borderId="0" xfId="0" applyNumberFormat="1" applyFont="1"/>
    <xf numFmtId="0" fontId="16" fillId="0" borderId="25" xfId="0" applyFont="1" applyBorder="1" applyAlignment="1">
      <alignment horizontal="center"/>
    </xf>
    <xf numFmtId="0" fontId="16" fillId="0" borderId="26" xfId="0" applyFont="1" applyBorder="1"/>
    <xf numFmtId="2" fontId="16" fillId="0" borderId="25" xfId="0" applyNumberFormat="1" applyFont="1" applyBorder="1"/>
    <xf numFmtId="0" fontId="4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2" fontId="24" fillId="0" borderId="1" xfId="0" applyNumberFormat="1" applyFont="1" applyBorder="1"/>
    <xf numFmtId="0" fontId="25" fillId="0" borderId="1" xfId="0" applyFont="1" applyBorder="1"/>
    <xf numFmtId="0" fontId="26" fillId="0" borderId="1" xfId="0" applyFont="1" applyBorder="1" applyAlignment="1">
      <alignment horizontal="left"/>
    </xf>
    <xf numFmtId="2" fontId="17" fillId="0" borderId="1" xfId="0" applyNumberFormat="1" applyFont="1" applyBorder="1"/>
    <xf numFmtId="0" fontId="17" fillId="0" borderId="1" xfId="0" applyFont="1" applyBorder="1"/>
    <xf numFmtId="0" fontId="27" fillId="0" borderId="0" xfId="0" applyFont="1"/>
    <xf numFmtId="0" fontId="28" fillId="0" borderId="1" xfId="0" applyFont="1" applyBorder="1" applyAlignment="1">
      <alignment horizontal="left"/>
    </xf>
    <xf numFmtId="2" fontId="2" fillId="0" borderId="1" xfId="0" applyNumberFormat="1" applyFont="1" applyBorder="1"/>
    <xf numFmtId="0" fontId="2" fillId="0" borderId="0" xfId="0" applyFont="1"/>
    <xf numFmtId="0" fontId="29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top" wrapText="1"/>
    </xf>
    <xf numFmtId="0" fontId="4" fillId="7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0" fillId="0" borderId="0" xfId="0" applyFont="1"/>
    <xf numFmtId="0" fontId="11" fillId="0" borderId="1" xfId="0" applyFont="1" applyBorder="1"/>
    <xf numFmtId="2" fontId="0" fillId="0" borderId="0" xfId="0" applyNumberFormat="1"/>
    <xf numFmtId="2" fontId="7" fillId="0" borderId="0" xfId="0" applyNumberFormat="1" applyFont="1"/>
    <xf numFmtId="0" fontId="31" fillId="0" borderId="0" xfId="0" applyFont="1" applyAlignment="1">
      <alignment horizontal="right"/>
    </xf>
    <xf numFmtId="0" fontId="32" fillId="0" borderId="0" xfId="0" applyFont="1"/>
    <xf numFmtId="166" fontId="0" fillId="0" borderId="0" xfId="0" applyNumberFormat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2" fillId="0" borderId="0" xfId="0" applyFont="1" applyAlignment="1">
      <alignment horizontal="right"/>
    </xf>
    <xf numFmtId="0" fontId="30" fillId="0" borderId="1" xfId="0" applyFont="1" applyBorder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7" fillId="2" borderId="0" xfId="0" applyFont="1" applyFill="1"/>
    <xf numFmtId="0" fontId="0" fillId="2" borderId="0" xfId="0" applyFill="1"/>
    <xf numFmtId="4" fontId="34" fillId="2" borderId="1" xfId="0" applyNumberFormat="1" applyFont="1" applyFill="1" applyBorder="1"/>
    <xf numFmtId="2" fontId="17" fillId="2" borderId="0" xfId="0" applyNumberFormat="1" applyFont="1" applyFill="1"/>
    <xf numFmtId="4" fontId="34" fillId="2" borderId="2" xfId="0" applyNumberFormat="1" applyFont="1" applyFill="1" applyBorder="1"/>
    <xf numFmtId="0" fontId="17" fillId="15" borderId="0" xfId="0" applyFont="1" applyFill="1"/>
    <xf numFmtId="0" fontId="0" fillId="15" borderId="0" xfId="0" applyFill="1"/>
    <xf numFmtId="4" fontId="34" fillId="15" borderId="1" xfId="0" applyNumberFormat="1" applyFont="1" applyFill="1" applyBorder="1"/>
    <xf numFmtId="2" fontId="17" fillId="15" borderId="0" xfId="0" applyNumberFormat="1" applyFont="1" applyFill="1"/>
    <xf numFmtId="4" fontId="34" fillId="15" borderId="2" xfId="0" applyNumberFormat="1" applyFont="1" applyFill="1" applyBorder="1"/>
    <xf numFmtId="0" fontId="35" fillId="0" borderId="1" xfId="0" applyFont="1" applyBorder="1" applyAlignment="1">
      <alignment horizontal="right" vertical="center" wrapText="1"/>
    </xf>
    <xf numFmtId="0" fontId="35" fillId="8" borderId="1" xfId="0" applyFont="1" applyFill="1" applyBorder="1" applyAlignment="1">
      <alignment horizontal="right" vertical="center" wrapText="1"/>
    </xf>
    <xf numFmtId="0" fontId="17" fillId="16" borderId="0" xfId="0" applyFont="1" applyFill="1"/>
    <xf numFmtId="0" fontId="0" fillId="16" borderId="0" xfId="0" applyFill="1"/>
    <xf numFmtId="2" fontId="17" fillId="16" borderId="0" xfId="0" applyNumberFormat="1" applyFont="1" applyFill="1"/>
    <xf numFmtId="0" fontId="17" fillId="17" borderId="0" xfId="0" applyFont="1" applyFill="1"/>
    <xf numFmtId="0" fontId="0" fillId="17" borderId="0" xfId="0" applyFill="1"/>
    <xf numFmtId="0" fontId="35" fillId="12" borderId="1" xfId="0" applyFont="1" applyFill="1" applyBorder="1" applyAlignment="1">
      <alignment horizontal="right" vertical="center" wrapText="1"/>
    </xf>
    <xf numFmtId="2" fontId="17" fillId="12" borderId="0" xfId="0" applyNumberFormat="1" applyFont="1" applyFill="1"/>
    <xf numFmtId="0" fontId="4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6" fillId="7" borderId="0" xfId="0" applyFont="1" applyFill="1"/>
    <xf numFmtId="0" fontId="17" fillId="18" borderId="0" xfId="0" applyFont="1" applyFill="1"/>
    <xf numFmtId="2" fontId="18" fillId="0" borderId="0" xfId="0" applyNumberFormat="1" applyFont="1"/>
    <xf numFmtId="2" fontId="21" fillId="0" borderId="0" xfId="0" applyNumberFormat="1" applyFont="1"/>
    <xf numFmtId="1" fontId="18" fillId="0" borderId="0" xfId="0" applyNumberFormat="1" applyFont="1"/>
    <xf numFmtId="0" fontId="38" fillId="0" borderId="6" xfId="0" applyFont="1" applyBorder="1"/>
    <xf numFmtId="0" fontId="38" fillId="0" borderId="7" xfId="0" applyFont="1" applyBorder="1"/>
    <xf numFmtId="2" fontId="38" fillId="0" borderId="8" xfId="0" applyNumberFormat="1" applyFont="1" applyBorder="1"/>
    <xf numFmtId="2" fontId="22" fillId="0" borderId="0" xfId="0" applyNumberFormat="1" applyFont="1"/>
    <xf numFmtId="0" fontId="22" fillId="0" borderId="0" xfId="0" applyFont="1" applyAlignment="1">
      <alignment horizontal="right"/>
    </xf>
    <xf numFmtId="0" fontId="39" fillId="0" borderId="0" xfId="0" applyFont="1"/>
    <xf numFmtId="165" fontId="0" fillId="0" borderId="0" xfId="0" applyNumberFormat="1"/>
    <xf numFmtId="0" fontId="17" fillId="5" borderId="0" xfId="0" applyFont="1" applyFill="1"/>
    <xf numFmtId="2" fontId="39" fillId="0" borderId="0" xfId="0" applyNumberFormat="1" applyFont="1"/>
    <xf numFmtId="2" fontId="40" fillId="0" borderId="0" xfId="0" applyNumberFormat="1" applyFont="1"/>
    <xf numFmtId="4" fontId="0" fillId="0" borderId="0" xfId="0" applyNumberFormat="1"/>
    <xf numFmtId="0" fontId="41" fillId="0" borderId="0" xfId="0" applyFont="1"/>
    <xf numFmtId="164" fontId="18" fillId="0" borderId="0" xfId="0" applyNumberFormat="1" applyFont="1"/>
    <xf numFmtId="0" fontId="36" fillId="0" borderId="0" xfId="0" applyFont="1"/>
    <xf numFmtId="2" fontId="36" fillId="0" borderId="0" xfId="0" applyNumberFormat="1" applyFont="1"/>
    <xf numFmtId="166" fontId="41" fillId="0" borderId="0" xfId="0" applyNumberFormat="1" applyFont="1"/>
    <xf numFmtId="165" fontId="41" fillId="0" borderId="0" xfId="0" applyNumberFormat="1" applyFont="1"/>
    <xf numFmtId="2" fontId="41" fillId="0" borderId="0" xfId="0" applyNumberFormat="1" applyFont="1"/>
    <xf numFmtId="0" fontId="17" fillId="8" borderId="0" xfId="0" applyFont="1" applyFill="1"/>
    <xf numFmtId="2" fontId="17" fillId="8" borderId="0" xfId="0" applyNumberFormat="1" applyFont="1" applyFill="1"/>
    <xf numFmtId="0" fontId="17" fillId="19" borderId="0" xfId="0" applyFont="1" applyFill="1"/>
    <xf numFmtId="2" fontId="17" fillId="19" borderId="0" xfId="0" applyNumberFormat="1" applyFont="1" applyFill="1"/>
    <xf numFmtId="0" fontId="17" fillId="9" borderId="0" xfId="0" applyFont="1" applyFill="1"/>
    <xf numFmtId="2" fontId="17" fillId="9" borderId="0" xfId="0" applyNumberFormat="1" applyFont="1" applyFill="1"/>
    <xf numFmtId="0" fontId="17" fillId="10" borderId="0" xfId="0" applyFont="1" applyFill="1"/>
    <xf numFmtId="2" fontId="17" fillId="10" borderId="0" xfId="0" applyNumberFormat="1" applyFont="1" applyFill="1"/>
    <xf numFmtId="0" fontId="17" fillId="20" borderId="0" xfId="0" applyFont="1" applyFill="1"/>
    <xf numFmtId="2" fontId="17" fillId="20" borderId="0" xfId="0" applyNumberFormat="1" applyFont="1" applyFill="1"/>
    <xf numFmtId="0" fontId="10" fillId="0" borderId="1" xfId="0" applyFont="1" applyBorder="1" applyAlignment="1">
      <alignment horizontal="right" vertical="center" wrapText="1"/>
    </xf>
    <xf numFmtId="0" fontId="7" fillId="16" borderId="0" xfId="0" applyFont="1" applyFill="1"/>
    <xf numFmtId="0" fontId="0" fillId="2" borderId="1" xfId="0" applyFill="1" applyBorder="1"/>
    <xf numFmtId="0" fontId="17" fillId="21" borderId="0" xfId="0" applyFont="1" applyFill="1"/>
    <xf numFmtId="2" fontId="17" fillId="21" borderId="0" xfId="0" applyNumberFormat="1" applyFont="1" applyFill="1"/>
    <xf numFmtId="0" fontId="11" fillId="22" borderId="1" xfId="0" applyFont="1" applyFill="1" applyBorder="1" applyAlignment="1">
      <alignment horizontal="right" vertical="center" wrapText="1"/>
    </xf>
    <xf numFmtId="0" fontId="9" fillId="7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43" fillId="0" borderId="0" xfId="0" applyFont="1"/>
    <xf numFmtId="0" fontId="44" fillId="0" borderId="0" xfId="0" applyFont="1"/>
    <xf numFmtId="0" fontId="17" fillId="0" borderId="0" xfId="0" applyFont="1" applyAlignment="1">
      <alignment horizontal="center"/>
    </xf>
    <xf numFmtId="0" fontId="45" fillId="0" borderId="0" xfId="0" applyFont="1"/>
    <xf numFmtId="0" fontId="46" fillId="0" borderId="0" xfId="0" applyFont="1"/>
    <xf numFmtId="2" fontId="45" fillId="0" borderId="0" xfId="0" applyNumberFormat="1" applyFont="1"/>
    <xf numFmtId="1" fontId="36" fillId="0" borderId="0" xfId="0" applyNumberFormat="1" applyFont="1"/>
    <xf numFmtId="165" fontId="39" fillId="0" borderId="0" xfId="0" applyNumberFormat="1" applyFont="1"/>
    <xf numFmtId="2" fontId="29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right"/>
    </xf>
    <xf numFmtId="165" fontId="21" fillId="0" borderId="0" xfId="0" applyNumberFormat="1" applyFont="1"/>
    <xf numFmtId="0" fontId="47" fillId="0" borderId="1" xfId="0" applyFont="1" applyBorder="1"/>
    <xf numFmtId="0" fontId="5" fillId="0" borderId="0" xfId="0" applyFont="1" applyAlignment="1">
      <alignment horizontal="right"/>
    </xf>
    <xf numFmtId="0" fontId="48" fillId="0" borderId="0" xfId="0" applyFont="1"/>
    <xf numFmtId="0" fontId="49" fillId="7" borderId="1" xfId="0" applyFont="1" applyFill="1" applyBorder="1"/>
    <xf numFmtId="0" fontId="49" fillId="7" borderId="1" xfId="0" applyFont="1" applyFill="1" applyBorder="1" applyAlignment="1">
      <alignment horizontal="right"/>
    </xf>
    <xf numFmtId="0" fontId="47" fillId="0" borderId="0" xfId="0" applyFont="1"/>
    <xf numFmtId="17" fontId="1" fillId="0" borderId="0" xfId="0" applyNumberFormat="1" applyFont="1"/>
    <xf numFmtId="14" fontId="1" fillId="0" borderId="1" xfId="0" applyNumberFormat="1" applyFont="1" applyBorder="1"/>
    <xf numFmtId="0" fontId="2" fillId="0" borderId="1" xfId="0" applyFont="1" applyBorder="1"/>
    <xf numFmtId="14" fontId="1" fillId="0" borderId="0" xfId="0" applyNumberFormat="1" applyFont="1"/>
    <xf numFmtId="17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2" fontId="2" fillId="0" borderId="2" xfId="0" applyNumberFormat="1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2" fontId="2" fillId="0" borderId="0" xfId="0" applyNumberFormat="1" applyFont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0" fontId="1" fillId="2" borderId="1" xfId="0" applyFont="1" applyFill="1" applyBorder="1"/>
    <xf numFmtId="14" fontId="1" fillId="2" borderId="1" xfId="0" applyNumberFormat="1" applyFont="1" applyFill="1" applyBorder="1"/>
    <xf numFmtId="2" fontId="1" fillId="2" borderId="1" xfId="0" applyNumberFormat="1" applyFont="1" applyFill="1" applyBorder="1"/>
    <xf numFmtId="2" fontId="2" fillId="2" borderId="0" xfId="0" applyNumberFormat="1" applyFont="1" applyFill="1"/>
    <xf numFmtId="0" fontId="2" fillId="0" borderId="1" xfId="0" applyFont="1" applyBorder="1" applyAlignment="1">
      <alignment horizontal="left"/>
    </xf>
    <xf numFmtId="0" fontId="50" fillId="0" borderId="1" xfId="0" applyFont="1" applyBorder="1"/>
    <xf numFmtId="14" fontId="51" fillId="0" borderId="1" xfId="0" applyNumberFormat="1" applyFont="1" applyBorder="1"/>
    <xf numFmtId="0" fontId="50" fillId="0" borderId="2" xfId="0" applyFont="1" applyBorder="1"/>
    <xf numFmtId="49" fontId="1" fillId="0" borderId="1" xfId="0" applyNumberFormat="1" applyFont="1" applyBorder="1"/>
    <xf numFmtId="14" fontId="0" fillId="0" borderId="0" xfId="0" applyNumberFormat="1"/>
    <xf numFmtId="14" fontId="7" fillId="0" borderId="0" xfId="0" applyNumberFormat="1" applyFont="1"/>
    <xf numFmtId="0" fontId="12" fillId="0" borderId="1" xfId="0" applyFont="1" applyBorder="1"/>
    <xf numFmtId="14" fontId="7" fillId="0" borderId="1" xfId="0" applyNumberFormat="1" applyFont="1" applyBorder="1"/>
    <xf numFmtId="2" fontId="7" fillId="0" borderId="1" xfId="0" applyNumberFormat="1" applyFont="1" applyBorder="1"/>
    <xf numFmtId="2" fontId="12" fillId="0" borderId="1" xfId="0" applyNumberFormat="1" applyFont="1" applyBorder="1"/>
    <xf numFmtId="0" fontId="12" fillId="0" borderId="2" xfId="0" applyFont="1" applyBorder="1"/>
    <xf numFmtId="2" fontId="12" fillId="0" borderId="2" xfId="0" applyNumberFormat="1" applyFont="1" applyBorder="1"/>
    <xf numFmtId="0" fontId="7" fillId="2" borderId="1" xfId="0" applyFont="1" applyFill="1" applyBorder="1"/>
    <xf numFmtId="14" fontId="7" fillId="2" borderId="1" xfId="0" applyNumberFormat="1" applyFont="1" applyFill="1" applyBorder="1"/>
    <xf numFmtId="2" fontId="7" fillId="2" borderId="1" xfId="0" applyNumberFormat="1" applyFont="1" applyFill="1" applyBorder="1"/>
    <xf numFmtId="0" fontId="12" fillId="0" borderId="1" xfId="0" applyFont="1" applyBorder="1" applyAlignment="1">
      <alignment horizontal="right"/>
    </xf>
    <xf numFmtId="0" fontId="7" fillId="8" borderId="0" xfId="0" applyFont="1" applyFill="1"/>
    <xf numFmtId="166" fontId="1" fillId="0" borderId="0" xfId="0" applyNumberFormat="1" applyFont="1" applyAlignment="1">
      <alignment horizontal="left"/>
    </xf>
    <xf numFmtId="2" fontId="1" fillId="0" borderId="27" xfId="0" applyNumberFormat="1" applyFont="1" applyBorder="1"/>
    <xf numFmtId="2" fontId="1" fillId="2" borderId="0" xfId="0" applyNumberFormat="1" applyFont="1" applyFill="1"/>
    <xf numFmtId="17" fontId="21" fillId="0" borderId="0" xfId="0" applyNumberFormat="1" applyFont="1"/>
    <xf numFmtId="1" fontId="22" fillId="0" borderId="0" xfId="0" applyNumberFormat="1" applyFont="1"/>
    <xf numFmtId="14" fontId="7" fillId="2" borderId="0" xfId="0" applyNumberFormat="1" applyFont="1" applyFill="1"/>
    <xf numFmtId="0" fontId="12" fillId="0" borderId="1" xfId="0" applyFont="1" applyBorder="1" applyAlignment="1">
      <alignment horizontal="center"/>
    </xf>
    <xf numFmtId="168" fontId="30" fillId="0" borderId="0" xfId="0" applyNumberFormat="1" applyFont="1"/>
    <xf numFmtId="0" fontId="30" fillId="23" borderId="10" xfId="0" applyFont="1" applyFill="1" applyBorder="1"/>
    <xf numFmtId="0" fontId="0" fillId="23" borderId="23" xfId="0" applyFill="1" applyBorder="1"/>
    <xf numFmtId="4" fontId="30" fillId="23" borderId="23" xfId="0" applyNumberFormat="1" applyFont="1" applyFill="1" applyBorder="1"/>
    <xf numFmtId="4" fontId="30" fillId="23" borderId="12" xfId="0" applyNumberFormat="1" applyFont="1" applyFill="1" applyBorder="1"/>
    <xf numFmtId="4" fontId="30" fillId="0" borderId="0" xfId="0" applyNumberFormat="1" applyFont="1"/>
    <xf numFmtId="0" fontId="18" fillId="0" borderId="0" xfId="0" applyFont="1" applyAlignment="1">
      <alignment horizontal="center"/>
    </xf>
    <xf numFmtId="4" fontId="52" fillId="0" borderId="0" xfId="0" applyNumberFormat="1" applyFont="1"/>
    <xf numFmtId="0" fontId="52" fillId="0" borderId="0" xfId="0" applyFont="1"/>
    <xf numFmtId="2" fontId="52" fillId="0" borderId="0" xfId="0" applyNumberFormat="1" applyFont="1"/>
    <xf numFmtId="164" fontId="7" fillId="0" borderId="0" xfId="0" applyNumberFormat="1" applyFont="1"/>
    <xf numFmtId="164" fontId="12" fillId="0" borderId="0" xfId="0" applyNumberFormat="1" applyFont="1"/>
    <xf numFmtId="164" fontId="12" fillId="0" borderId="1" xfId="0" applyNumberFormat="1" applyFont="1" applyBorder="1"/>
    <xf numFmtId="164" fontId="7" fillId="0" borderId="1" xfId="0" applyNumberFormat="1" applyFont="1" applyBorder="1"/>
    <xf numFmtId="164" fontId="7" fillId="2" borderId="1" xfId="0" applyNumberFormat="1" applyFont="1" applyFill="1" applyBorder="1"/>
    <xf numFmtId="0" fontId="7" fillId="15" borderId="1" xfId="0" applyFont="1" applyFill="1" applyBorder="1"/>
    <xf numFmtId="0" fontId="7" fillId="15" borderId="0" xfId="0" applyFont="1" applyFill="1"/>
    <xf numFmtId="14" fontId="7" fillId="15" borderId="0" xfId="0" applyNumberFormat="1" applyFont="1" applyFill="1"/>
    <xf numFmtId="164" fontId="7" fillId="15" borderId="0" xfId="0" applyNumberFormat="1" applyFont="1" applyFill="1"/>
    <xf numFmtId="164" fontId="7" fillId="2" borderId="0" xfId="0" applyNumberFormat="1" applyFont="1" applyFill="1"/>
    <xf numFmtId="14" fontId="7" fillId="8" borderId="0" xfId="0" applyNumberFormat="1" applyFont="1" applyFill="1"/>
    <xf numFmtId="164" fontId="7" fillId="8" borderId="0" xfId="0" applyNumberFormat="1" applyFont="1" applyFill="1"/>
    <xf numFmtId="2" fontId="7" fillId="2" borderId="2" xfId="0" applyNumberFormat="1" applyFont="1" applyFill="1" applyBorder="1"/>
    <xf numFmtId="164" fontId="7" fillId="0" borderId="2" xfId="0" applyNumberFormat="1" applyFont="1" applyBorder="1"/>
    <xf numFmtId="0" fontId="12" fillId="2" borderId="1" xfId="0" applyFont="1" applyFill="1" applyBorder="1"/>
    <xf numFmtId="14" fontId="12" fillId="2" borderId="1" xfId="0" applyNumberFormat="1" applyFont="1" applyFill="1" applyBorder="1"/>
    <xf numFmtId="2" fontId="12" fillId="2" borderId="1" xfId="0" applyNumberFormat="1" applyFont="1" applyFill="1" applyBorder="1"/>
    <xf numFmtId="164" fontId="12" fillId="2" borderId="1" xfId="0" applyNumberFormat="1" applyFont="1" applyFill="1" applyBorder="1"/>
    <xf numFmtId="2" fontId="12" fillId="2" borderId="2" xfId="0" applyNumberFormat="1" applyFont="1" applyFill="1" applyBorder="1"/>
    <xf numFmtId="164" fontId="12" fillId="0" borderId="2" xfId="0" applyNumberFormat="1" applyFont="1" applyBorder="1"/>
    <xf numFmtId="1" fontId="7" fillId="0" borderId="0" xfId="0" applyNumberFormat="1" applyFont="1"/>
    <xf numFmtId="0" fontId="7" fillId="6" borderId="0" xfId="0" applyFont="1" applyFill="1"/>
    <xf numFmtId="0" fontId="7" fillId="10" borderId="0" xfId="0" applyFont="1" applyFill="1"/>
    <xf numFmtId="0" fontId="54" fillId="0" borderId="1" xfId="0" applyFont="1" applyBorder="1"/>
    <xf numFmtId="0" fontId="54" fillId="24" borderId="1" xfId="0" applyFont="1" applyFill="1" applyBorder="1"/>
    <xf numFmtId="0" fontId="54" fillId="0" borderId="1" xfId="0" applyFont="1" applyBorder="1" applyAlignment="1">
      <alignment horizontal="right"/>
    </xf>
    <xf numFmtId="0" fontId="55" fillId="25" borderId="28" xfId="0" applyFont="1" applyFill="1" applyBorder="1"/>
    <xf numFmtId="0" fontId="56" fillId="0" borderId="28" xfId="0" applyFont="1" applyBorder="1"/>
    <xf numFmtId="4" fontId="56" fillId="0" borderId="28" xfId="0" applyNumberFormat="1" applyFont="1" applyBorder="1"/>
    <xf numFmtId="4" fontId="56" fillId="26" borderId="28" xfId="0" applyNumberFormat="1" applyFont="1" applyFill="1" applyBorder="1"/>
    <xf numFmtId="2" fontId="57" fillId="0" borderId="0" xfId="0" applyNumberFormat="1" applyFont="1"/>
    <xf numFmtId="0" fontId="58" fillId="0" borderId="0" xfId="0" applyFont="1"/>
    <xf numFmtId="0" fontId="59" fillId="0" borderId="0" xfId="0" applyFont="1"/>
    <xf numFmtId="169" fontId="59" fillId="0" borderId="0" xfId="0" applyNumberFormat="1" applyFont="1"/>
    <xf numFmtId="0" fontId="60" fillId="0" borderId="0" xfId="0" applyFont="1"/>
    <xf numFmtId="0" fontId="61" fillId="0" borderId="0" xfId="0" applyFont="1" applyAlignment="1">
      <alignment horizontal="center" wrapText="1"/>
    </xf>
    <xf numFmtId="2" fontId="59" fillId="0" borderId="0" xfId="0" applyNumberFormat="1" applyFont="1"/>
    <xf numFmtId="0" fontId="62" fillId="0" borderId="0" xfId="0" applyFont="1"/>
    <xf numFmtId="0" fontId="64" fillId="0" borderId="0" xfId="0" applyFont="1"/>
    <xf numFmtId="0" fontId="65" fillId="0" borderId="29" xfId="0" applyFont="1" applyBorder="1"/>
    <xf numFmtId="0" fontId="65" fillId="0" borderId="30" xfId="0" applyFont="1" applyBorder="1"/>
    <xf numFmtId="4" fontId="0" fillId="0" borderId="31" xfId="0" applyNumberFormat="1" applyBorder="1"/>
    <xf numFmtId="0" fontId="57" fillId="0" borderId="0" xfId="0" applyFont="1"/>
    <xf numFmtId="0" fontId="57" fillId="0" borderId="0" xfId="0" applyFont="1" applyAlignment="1">
      <alignment horizontal="right"/>
    </xf>
    <xf numFmtId="169" fontId="0" fillId="0" borderId="0" xfId="0" applyNumberFormat="1"/>
    <xf numFmtId="0" fontId="56" fillId="0" borderId="0" xfId="0" applyFont="1"/>
    <xf numFmtId="2" fontId="65" fillId="0" borderId="30" xfId="0" applyNumberFormat="1" applyFont="1" applyBorder="1"/>
    <xf numFmtId="2" fontId="13" fillId="0" borderId="1" xfId="0" applyNumberFormat="1" applyFont="1" applyBorder="1"/>
    <xf numFmtId="2" fontId="13" fillId="13" borderId="1" xfId="0" applyNumberFormat="1" applyFont="1" applyFill="1" applyBorder="1"/>
    <xf numFmtId="2" fontId="54" fillId="0" borderId="1" xfId="0" applyNumberFormat="1" applyFont="1" applyBorder="1"/>
    <xf numFmtId="2" fontId="54" fillId="24" borderId="1" xfId="0" applyNumberFormat="1" applyFont="1" applyFill="1" applyBorder="1"/>
    <xf numFmtId="2" fontId="15" fillId="13" borderId="1" xfId="0" applyNumberFormat="1" applyFont="1" applyFill="1" applyBorder="1"/>
    <xf numFmtId="2" fontId="5" fillId="4" borderId="1" xfId="0" applyNumberFormat="1" applyFont="1" applyFill="1" applyBorder="1"/>
    <xf numFmtId="17" fontId="41" fillId="0" borderId="0" xfId="0" applyNumberFormat="1" applyFont="1"/>
    <xf numFmtId="170" fontId="41" fillId="0" borderId="0" xfId="0" applyNumberFormat="1" applyFont="1"/>
    <xf numFmtId="2" fontId="8" fillId="27" borderId="0" xfId="0" applyNumberFormat="1" applyFont="1" applyFill="1"/>
    <xf numFmtId="0" fontId="8" fillId="27" borderId="0" xfId="0" applyFont="1" applyFill="1"/>
    <xf numFmtId="0" fontId="5" fillId="27" borderId="1" xfId="0" applyFont="1" applyFill="1" applyBorder="1"/>
    <xf numFmtId="0" fontId="0" fillId="27" borderId="0" xfId="0" applyFill="1"/>
    <xf numFmtId="2" fontId="8" fillId="28" borderId="0" xfId="0" applyNumberFormat="1" applyFont="1" applyFill="1"/>
    <xf numFmtId="0" fontId="8" fillId="28" borderId="0" xfId="0" applyFont="1" applyFill="1"/>
    <xf numFmtId="0" fontId="5" fillId="28" borderId="1" xfId="0" applyFont="1" applyFill="1" applyBorder="1"/>
    <xf numFmtId="0" fontId="0" fillId="28" borderId="0" xfId="0" applyFill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right"/>
    </xf>
    <xf numFmtId="0" fontId="16" fillId="0" borderId="9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3" fillId="0" borderId="9" xfId="0" applyFont="1" applyBorder="1" applyAlignment="1">
      <alignment horizontal="center" vertical="distributed" wrapText="1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2" fontId="2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2" fontId="3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17" fontId="31" fillId="0" borderId="0" xfId="0" applyNumberFormat="1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30" fillId="0" borderId="0" xfId="0" applyFont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558ED5"/>
      <rgbColor rgb="FF8EB4E3"/>
      <rgbColor rgb="FF953735"/>
      <rgbColor rgb="FFC3D69B"/>
      <rgbColor rgb="FFDCE6F2"/>
      <rgbColor rgb="FF660066"/>
      <rgbColor rgb="FFD99694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D7E4BD"/>
      <rgbColor rgb="FFFFFF99"/>
      <rgbColor rgb="FF93CDDD"/>
      <rgbColor rgb="FFFF99CC"/>
      <rgbColor rgb="FFB3A2C7"/>
      <rgbColor rgb="FFD9D9D9"/>
      <rgbColor rgb="FF3366FF"/>
      <rgbColor rgb="FF33CCCC"/>
      <rgbColor rgb="FF92D050"/>
      <rgbColor rgb="FFFFCC00"/>
      <rgbColor rgb="FFFF9900"/>
      <rgbColor rgb="FFFF6600"/>
      <rgbColor rgb="FF376092"/>
      <rgbColor rgb="FFB9CDE5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46080</xdr:colOff>
      <xdr:row>8</xdr:row>
      <xdr:rowOff>0</xdr:rowOff>
    </xdr:from>
    <xdr:to>
      <xdr:col>7</xdr:col>
      <xdr:colOff>178200</xdr:colOff>
      <xdr:row>8</xdr:row>
      <xdr:rowOff>360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369040" y="1102680"/>
          <a:ext cx="132120" cy="360"/>
        </a:xfrm>
        <a:prstGeom prst="rightBrace">
          <a:avLst>
            <a:gd name="adj1" fmla="val -2147483648"/>
            <a:gd name="adj2" fmla="val 50000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46080</xdr:colOff>
      <xdr:row>15</xdr:row>
      <xdr:rowOff>133560</xdr:rowOff>
    </xdr:from>
    <xdr:to>
      <xdr:col>7</xdr:col>
      <xdr:colOff>178200</xdr:colOff>
      <xdr:row>15</xdr:row>
      <xdr:rowOff>133920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962320" y="2179440"/>
          <a:ext cx="132120" cy="360"/>
        </a:xfrm>
        <a:prstGeom prst="rightBrace">
          <a:avLst>
            <a:gd name="adj1" fmla="val -2147483648"/>
            <a:gd name="adj2" fmla="val 50000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39"/>
  <sheetViews>
    <sheetView zoomScale="120" zoomScaleNormal="120" workbookViewId="0">
      <selection activeCell="E38" sqref="E38"/>
    </sheetView>
  </sheetViews>
  <sheetFormatPr baseColWidth="10" defaultColWidth="8.85546875" defaultRowHeight="15"/>
  <cols>
    <col min="1" max="1" width="5.5703125" style="3" customWidth="1"/>
    <col min="2" max="2" width="37.5703125" style="4" customWidth="1"/>
    <col min="3" max="3" width="6.140625" style="4" customWidth="1"/>
    <col min="4" max="5" width="9" style="4" customWidth="1"/>
    <col min="6" max="6" width="6.7109375" style="4" customWidth="1"/>
    <col min="7" max="7" width="8" style="4" customWidth="1"/>
    <col min="8" max="8" width="7.7109375" style="4" customWidth="1"/>
    <col min="9" max="9" width="9" style="4" customWidth="1"/>
    <col min="10" max="10" width="9.7109375" style="4" customWidth="1"/>
    <col min="11" max="11" width="7.7109375" style="4" customWidth="1"/>
    <col min="12" max="12" width="24.85546875" style="4" customWidth="1"/>
    <col min="13" max="13" width="7.42578125" style="4" customWidth="1"/>
    <col min="14" max="14" width="14" style="4" customWidth="1"/>
    <col min="15" max="1025" width="11.5703125" style="4" customWidth="1"/>
  </cols>
  <sheetData>
    <row r="1" spans="1:14">
      <c r="B1" s="5" t="s">
        <v>0</v>
      </c>
      <c r="C1" s="6"/>
      <c r="D1" s="6"/>
      <c r="F1" s="355" t="s">
        <v>1</v>
      </c>
      <c r="G1" s="355"/>
      <c r="H1" s="355"/>
      <c r="I1" s="356" t="s">
        <v>2</v>
      </c>
      <c r="J1" s="356"/>
      <c r="K1" s="356"/>
      <c r="L1" s="356" t="s">
        <v>3</v>
      </c>
      <c r="M1" s="356"/>
    </row>
    <row r="2" spans="1:14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8" t="s">
        <v>9</v>
      </c>
      <c r="J2" s="8" t="s">
        <v>10</v>
      </c>
      <c r="K2" s="8" t="s">
        <v>12</v>
      </c>
      <c r="L2" s="8" t="s">
        <v>13</v>
      </c>
      <c r="M2" s="8" t="s">
        <v>14</v>
      </c>
      <c r="N2" s="7" t="s">
        <v>15</v>
      </c>
    </row>
    <row r="3" spans="1:14">
      <c r="A3" s="9" t="s">
        <v>16</v>
      </c>
      <c r="B3" s="10" t="str">
        <f>VLOOKUP(A3,exportado!$A$2:$N$36,2,0)</f>
        <v>ESCOBEDO DUANI</v>
      </c>
      <c r="C3" s="9">
        <v>1250</v>
      </c>
      <c r="D3" s="9">
        <f>VLOOKUP(A3,exportado!$A$2:$N$36,5,0)</f>
        <v>140626.47</v>
      </c>
      <c r="E3" s="9">
        <f>VLOOKUP(A3,exportado!$A$2:$N$36,6,0)</f>
        <v>160927.46</v>
      </c>
      <c r="F3" s="9">
        <f>VLOOKUP(A3,exportado!$A$2:$N$36,7,0)</f>
        <v>87.39</v>
      </c>
      <c r="G3" s="9">
        <f>VLOOKUP(A3,exportado!$A$2:$N$36,12,0)</f>
        <v>23.87</v>
      </c>
      <c r="H3" s="11">
        <f>VLOOKUP(A3,exportado!$A$2:$N$36,14,0)</f>
        <v>54.285714285714285</v>
      </c>
      <c r="I3" s="12">
        <f t="shared" ref="I3:I8" si="0">IF(F3&gt;84.99,(D3*0.5%),0)</f>
        <v>703.13234999999997</v>
      </c>
      <c r="J3" s="12">
        <f t="shared" ref="J3:J8" si="1">IF(G3&lt;5.0000001,(D3*0.3%),0)</f>
        <v>0</v>
      </c>
      <c r="K3" s="12">
        <f>IF(H3&gt;84.99,(D3*0.2%),0)</f>
        <v>0</v>
      </c>
      <c r="L3" s="13"/>
      <c r="M3" s="13"/>
      <c r="N3" s="12">
        <f t="shared" ref="N3:N8" si="2">C3+I3+J3+K3+M3</f>
        <v>1953.1323499999999</v>
      </c>
    </row>
    <row r="4" spans="1:14">
      <c r="A4" s="9" t="s">
        <v>17</v>
      </c>
      <c r="B4" s="10" t="str">
        <f>VLOOKUP(A4,exportado!$A$2:$N$36,2,0)</f>
        <v>MIRANDA CCOILA PATRICIA</v>
      </c>
      <c r="C4" s="9">
        <v>1250</v>
      </c>
      <c r="D4" s="9">
        <f>VLOOKUP(A4,exportado!$A$2:$N$36,5,0)</f>
        <v>155010.25</v>
      </c>
      <c r="E4" s="9">
        <f>VLOOKUP(A4,exportado!$A$2:$N$36,6,0)</f>
        <v>206510.12</v>
      </c>
      <c r="F4" s="9">
        <f>VLOOKUP(A4,exportado!$A$2:$N$36,7,0)</f>
        <v>75.06</v>
      </c>
      <c r="G4" s="9">
        <f>VLOOKUP(A4,exportado!$A$2:$N$36,12,0)</f>
        <v>4.4400000000000004</v>
      </c>
      <c r="H4" s="11">
        <f>VLOOKUP(A4,exportado!$A$2:$N$36,14,0)</f>
        <v>69.230769230769226</v>
      </c>
      <c r="I4" s="12">
        <f t="shared" si="0"/>
        <v>0</v>
      </c>
      <c r="J4" s="12">
        <f t="shared" si="1"/>
        <v>465.03075000000001</v>
      </c>
      <c r="K4" s="12">
        <f>IF(H4&gt;84.99,(D4*0.2%),0)</f>
        <v>0</v>
      </c>
      <c r="L4" s="13"/>
      <c r="M4" s="13"/>
      <c r="N4" s="12">
        <f t="shared" si="2"/>
        <v>1715.0307499999999</v>
      </c>
    </row>
    <row r="5" spans="1:14">
      <c r="A5" s="9" t="s">
        <v>18</v>
      </c>
      <c r="B5" s="10" t="str">
        <f>VLOOKUP(A5,exportado!$A$2:$N$36,2,0)</f>
        <v>GAONA JUSCAMAYTA DAVID ELVIS</v>
      </c>
      <c r="C5" s="9">
        <v>1250</v>
      </c>
      <c r="D5" s="9">
        <f>VLOOKUP(A5,exportado!$A$2:$N$36,5,0)</f>
        <v>165571.26</v>
      </c>
      <c r="E5" s="9">
        <f>VLOOKUP(A5,exportado!$A$2:$N$36,6,0)</f>
        <v>171400.75</v>
      </c>
      <c r="F5" s="9">
        <f>VLOOKUP(A5,exportado!$A$2:$N$36,7,0)</f>
        <v>96.6</v>
      </c>
      <c r="G5" s="9">
        <f>VLOOKUP(A5,exportado!$A$2:$N$36,12,0)</f>
        <v>4.6500000000000004</v>
      </c>
      <c r="H5" s="11">
        <f>VLOOKUP(A5,exportado!$A$2:$N$36,14,0)</f>
        <v>88.297872340425528</v>
      </c>
      <c r="I5" s="12">
        <f t="shared" si="0"/>
        <v>827.85630000000003</v>
      </c>
      <c r="J5" s="12">
        <f t="shared" si="1"/>
        <v>496.71378000000004</v>
      </c>
      <c r="K5" s="12">
        <f>IF(H5&gt;84.99,(D5*0.2%),0)</f>
        <v>331.14252000000005</v>
      </c>
      <c r="L5" s="14" t="s">
        <v>19</v>
      </c>
      <c r="M5" s="12">
        <f>D5*0.25%</f>
        <v>413.92815000000002</v>
      </c>
      <c r="N5" s="12">
        <f t="shared" si="2"/>
        <v>3319.64075</v>
      </c>
    </row>
    <row r="6" spans="1:14">
      <c r="A6" s="9" t="s">
        <v>20</v>
      </c>
      <c r="B6" s="10" t="str">
        <f>VLOOKUP(A6,exportado!$A$2:$N$36,2,0)</f>
        <v>GARCIA GARCIA ROXANA</v>
      </c>
      <c r="C6" s="9">
        <v>1250</v>
      </c>
      <c r="D6" s="9">
        <f>VLOOKUP(A6,exportado!$A$2:$N$36,5,0)</f>
        <v>280644.67</v>
      </c>
      <c r="E6" s="9">
        <f>VLOOKUP(A6,exportado!$A$2:$N$36,6,0)</f>
        <v>443336.18</v>
      </c>
      <c r="F6" s="9">
        <f>VLOOKUP(A6,exportado!$A$2:$N$36,7,0)</f>
        <v>63.3</v>
      </c>
      <c r="G6" s="9">
        <f>VLOOKUP(A6,exportado!$A$2:$N$36,12,0)</f>
        <v>4</v>
      </c>
      <c r="H6" s="11">
        <f>VLOOKUP(A6,exportado!$A$2:$N$36,14,0)</f>
        <v>93.333333333333329</v>
      </c>
      <c r="I6" s="12">
        <f t="shared" si="0"/>
        <v>0</v>
      </c>
      <c r="J6" s="12">
        <f t="shared" si="1"/>
        <v>841.93400999999994</v>
      </c>
      <c r="K6" s="12">
        <f>IF(H6&gt;84.99,(D6*0.1%),0)</f>
        <v>280.64466999999996</v>
      </c>
      <c r="L6" s="13"/>
      <c r="M6" s="13"/>
      <c r="N6" s="12">
        <f t="shared" si="2"/>
        <v>2372.5786800000001</v>
      </c>
    </row>
    <row r="7" spans="1:14">
      <c r="A7" s="9" t="s">
        <v>21</v>
      </c>
      <c r="B7" s="10" t="str">
        <f>VLOOKUP(A7,exportado!$A$2:$N$36,2,0)</f>
        <v>SANTOS TORRES OSCAR LUIS</v>
      </c>
      <c r="C7" s="9">
        <v>1250</v>
      </c>
      <c r="D7" s="9">
        <f>VLOOKUP(A7,exportado!$A$2:$N$36,5,0)</f>
        <v>167264.71</v>
      </c>
      <c r="E7" s="9">
        <f>VLOOKUP(A7,exportado!$A$2:$N$36,6,0)</f>
        <v>350211.82</v>
      </c>
      <c r="F7" s="9">
        <f>VLOOKUP(A7,exportado!$A$2:$N$36,7,0)</f>
        <v>47.76</v>
      </c>
      <c r="G7" s="9">
        <f>VLOOKUP(A7,exportado!$A$2:$N$36,12,0)</f>
        <v>1.76</v>
      </c>
      <c r="H7" s="11">
        <f>VLOOKUP(A7,exportado!$A$2:$N$36,14,0)</f>
        <v>66.666666666666671</v>
      </c>
      <c r="I7" s="12">
        <f t="shared" si="0"/>
        <v>0</v>
      </c>
      <c r="J7" s="12">
        <f t="shared" si="1"/>
        <v>501.79413</v>
      </c>
      <c r="K7" s="12">
        <f>IF(H7&gt;84.99,(D7*0.2%),0)</f>
        <v>0</v>
      </c>
      <c r="L7" s="13"/>
      <c r="M7" s="13"/>
      <c r="N7" s="12">
        <f t="shared" si="2"/>
        <v>1751.79413</v>
      </c>
    </row>
    <row r="8" spans="1:14">
      <c r="A8" s="9" t="s">
        <v>22</v>
      </c>
      <c r="B8" s="10" t="str">
        <f>VLOOKUP(A8,exportado!$A$2:$N$36,2,0)</f>
        <v>QUISPE GARCIA JACKELINE</v>
      </c>
      <c r="C8" s="9">
        <v>1250</v>
      </c>
      <c r="D8" s="9">
        <f>VLOOKUP(A8,exportado!$A$2:$N$36,5,0)</f>
        <v>59586.13</v>
      </c>
      <c r="E8" s="9">
        <f>VLOOKUP(A8,exportado!$A$2:$N$36,6,0)</f>
        <v>114356.74</v>
      </c>
      <c r="F8" s="9">
        <f>VLOOKUP(A8,exportado!$A$2:$N$36,7,0)</f>
        <v>52.11</v>
      </c>
      <c r="G8" s="9">
        <f>VLOOKUP(A8,exportado!$A$2:$N$36,12,0)</f>
        <v>14.29</v>
      </c>
      <c r="H8" s="11">
        <f>VLOOKUP(A8,exportado!$A$2:$N$36,14,0)</f>
        <v>50</v>
      </c>
      <c r="I8" s="12">
        <f t="shared" si="0"/>
        <v>0</v>
      </c>
      <c r="J8" s="12">
        <f t="shared" si="1"/>
        <v>0</v>
      </c>
      <c r="K8" s="12">
        <f>IF(H8&gt;84.99,(D8*0.2%),0)</f>
        <v>0</v>
      </c>
      <c r="L8" s="13"/>
      <c r="M8" s="13"/>
      <c r="N8" s="12">
        <f t="shared" si="2"/>
        <v>1250</v>
      </c>
    </row>
    <row r="9" spans="1:14">
      <c r="A9" s="15"/>
      <c r="B9" s="15"/>
      <c r="C9" s="15"/>
      <c r="D9" s="15"/>
      <c r="E9" s="15"/>
      <c r="F9" s="15"/>
      <c r="G9" s="15"/>
      <c r="H9" s="16"/>
      <c r="I9" s="17"/>
      <c r="J9" s="17"/>
      <c r="K9" s="17"/>
      <c r="N9" s="18">
        <f>SUM(N3:N8)</f>
        <v>12362.176660000001</v>
      </c>
    </row>
    <row r="10" spans="1:14" s="4" customFormat="1" ht="11.25">
      <c r="A10" s="15"/>
      <c r="B10" s="15"/>
      <c r="C10" s="15"/>
      <c r="D10" s="15"/>
      <c r="E10" s="15"/>
      <c r="F10" s="15"/>
      <c r="G10" s="15"/>
      <c r="H10" s="16"/>
      <c r="I10" s="17"/>
      <c r="J10" s="17"/>
      <c r="K10" s="17"/>
    </row>
    <row r="11" spans="1:14" s="4" customFormat="1" ht="11.25">
      <c r="A11" s="3"/>
      <c r="B11" s="5" t="s">
        <v>23</v>
      </c>
      <c r="C11" s="6"/>
      <c r="D11" s="6"/>
      <c r="F11" s="355" t="s">
        <v>1</v>
      </c>
      <c r="G11" s="355"/>
      <c r="H11" s="355"/>
      <c r="I11" s="357" t="s">
        <v>2</v>
      </c>
      <c r="J11" s="357"/>
      <c r="K11" s="357"/>
      <c r="L11" s="357" t="s">
        <v>3</v>
      </c>
      <c r="M11" s="357"/>
    </row>
    <row r="12" spans="1:14" s="4" customFormat="1" ht="11.25">
      <c r="A12" s="7" t="s">
        <v>4</v>
      </c>
      <c r="B12" s="7" t="s">
        <v>5</v>
      </c>
      <c r="C12" s="7"/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8" t="s">
        <v>9</v>
      </c>
      <c r="J12" s="8" t="s">
        <v>10</v>
      </c>
      <c r="K12" s="8" t="s">
        <v>12</v>
      </c>
      <c r="L12" s="8" t="s">
        <v>13</v>
      </c>
      <c r="M12" s="8" t="s">
        <v>14</v>
      </c>
      <c r="N12" s="7" t="s">
        <v>15</v>
      </c>
    </row>
    <row r="13" spans="1:14">
      <c r="A13" s="9" t="s">
        <v>24</v>
      </c>
      <c r="B13" s="10" t="str">
        <f>VLOOKUP(A13,exportado!$A$2:$N$36,2,0)</f>
        <v>APAZA YANA SANDRA</v>
      </c>
      <c r="C13" s="9">
        <v>1250</v>
      </c>
      <c r="D13" s="9">
        <f>VLOOKUP(A13,exportado!$A$2:$N$36,5,0)</f>
        <v>237661.62</v>
      </c>
      <c r="E13" s="9">
        <f>VLOOKUP(A13,exportado!$A$2:$N$36,6,0)</f>
        <v>237721.73</v>
      </c>
      <c r="F13" s="9">
        <f>VLOOKUP(A13,exportado!$A$2:$N$36,7,0)</f>
        <v>99.97</v>
      </c>
      <c r="G13" s="9">
        <f>VLOOKUP(A13,exportado!$A$2:$N$36,12,0)</f>
        <v>5.45</v>
      </c>
      <c r="H13" s="11">
        <f>VLOOKUP(A13,exportado!$A$2:$N$36,14,0)</f>
        <v>58.904109589041099</v>
      </c>
      <c r="I13" s="12">
        <f>IF(F13&gt;84.99,(D13*0.5%),0)</f>
        <v>1188.3081</v>
      </c>
      <c r="J13" s="12">
        <f>IF(G13&lt;5.0000001,(D13*0.3%),0)</f>
        <v>0</v>
      </c>
      <c r="K13" s="12">
        <f>IF(H13&gt;84.99,(D13*0.2%),0)</f>
        <v>0</v>
      </c>
      <c r="L13" s="13"/>
      <c r="M13" s="13"/>
      <c r="N13" s="12">
        <v>1900</v>
      </c>
    </row>
    <row r="14" spans="1:14">
      <c r="A14" s="9" t="s">
        <v>25</v>
      </c>
      <c r="B14" s="10" t="str">
        <f>VLOOKUP(A14,exportado!$A$2:$N$36,2,0)</f>
        <v>FLORES GARCIA DIEGO</v>
      </c>
      <c r="C14" s="9">
        <v>1250</v>
      </c>
      <c r="D14" s="9">
        <f>VLOOKUP(A14,exportado!$A$2:$N$36,5,0)</f>
        <v>115058.77</v>
      </c>
      <c r="E14" s="9">
        <f>VLOOKUP(A14,exportado!$A$2:$N$36,6,0)</f>
        <v>133812.47</v>
      </c>
      <c r="F14" s="9">
        <f>VLOOKUP(A14,exportado!$A$2:$N$36,7,0)</f>
        <v>85.99</v>
      </c>
      <c r="G14" s="9">
        <f>VLOOKUP(A14,exportado!$A$2:$N$36,12,0)</f>
        <v>10.58</v>
      </c>
      <c r="H14" s="11">
        <f>VLOOKUP(A14,exportado!$A$2:$N$36,14,0)</f>
        <v>64.38356164383562</v>
      </c>
      <c r="I14" s="12">
        <f>IF(F14&gt;84.99,(D14*0.5%),0)</f>
        <v>575.29385000000002</v>
      </c>
      <c r="J14" s="12">
        <f>IF(G14&lt;5.0000001,(D14*0.3%),0)</f>
        <v>0</v>
      </c>
      <c r="K14" s="12">
        <f>IF(H14&gt;84.99,(D14*0.2%),0)</f>
        <v>0</v>
      </c>
      <c r="L14" s="14" t="s">
        <v>26</v>
      </c>
      <c r="M14" s="12">
        <f>D14*0.5%</f>
        <v>575.29385000000002</v>
      </c>
      <c r="N14" s="12">
        <f>C14+I14+J14+K14+M14</f>
        <v>2400.5877</v>
      </c>
    </row>
    <row r="15" spans="1:14">
      <c r="A15" s="9" t="s">
        <v>27</v>
      </c>
      <c r="B15" s="10" t="str">
        <f>VLOOKUP(A15,exportado!$A$2:$N$36,2,0)</f>
        <v>ESPEJO RODRIGUEZ GABRIEL</v>
      </c>
      <c r="C15" s="9">
        <v>1250</v>
      </c>
      <c r="D15" s="9">
        <f>VLOOKUP(A15,exportado!$A$2:$N$36,5,0)</f>
        <v>128469.27</v>
      </c>
      <c r="E15" s="9">
        <f>VLOOKUP(A15,exportado!$A$2:$N$36,6,0)</f>
        <v>139609.21</v>
      </c>
      <c r="F15" s="9">
        <f>VLOOKUP(A15,exportado!$A$2:$N$36,7,0)</f>
        <v>92.02</v>
      </c>
      <c r="G15" s="9">
        <f>VLOOKUP(A15,exportado!$A$2:$N$36,12,0)</f>
        <v>13.93</v>
      </c>
      <c r="H15" s="11">
        <f>VLOOKUP(A15,exportado!$A$2:$N$36,14,0)</f>
        <v>50.769230769230766</v>
      </c>
      <c r="I15" s="12">
        <f>IF(F15&gt;84.99,(D15*0.5%),0)</f>
        <v>642.34635000000003</v>
      </c>
      <c r="J15" s="12">
        <f>IF(G15&lt;5.0000001,(D15*0.3%),0)</f>
        <v>0</v>
      </c>
      <c r="K15" s="12">
        <f>IF(H15&gt;84.99,(D15*0.2%),0)</f>
        <v>0</v>
      </c>
      <c r="L15" s="13"/>
      <c r="M15" s="13"/>
      <c r="N15" s="12">
        <f>C15+I15+J15+K15+M15</f>
        <v>1892.34635</v>
      </c>
    </row>
    <row r="16" spans="1:14">
      <c r="A16" s="9" t="s">
        <v>28</v>
      </c>
      <c r="B16" s="10" t="str">
        <f>VLOOKUP(A16,exportado!$A$2:$N$36,2,0)</f>
        <v xml:space="preserve"> MILLA CHAMBI MARIA ELENA</v>
      </c>
      <c r="C16" s="9">
        <v>1250</v>
      </c>
      <c r="D16" s="9">
        <f>VLOOKUP(A16,exportado!$A$2:$N$36,5,0)</f>
        <v>276459.05</v>
      </c>
      <c r="E16" s="9">
        <f>VLOOKUP(A16,exportado!$A$2:$N$36,6,0)</f>
        <v>276233.59000000003</v>
      </c>
      <c r="F16" s="9">
        <f>VLOOKUP(A16,exportado!$A$2:$N$36,7,0)</f>
        <v>100.08</v>
      </c>
      <c r="G16" s="9">
        <f>VLOOKUP(A16,exportado!$A$2:$N$36,12,0)</f>
        <v>4.53</v>
      </c>
      <c r="H16" s="11">
        <f>VLOOKUP(A16,exportado!$A$2:$N$36,14,0)</f>
        <v>56.25</v>
      </c>
      <c r="I16" s="12">
        <f>IF(F16&gt;84.99,(D16*0.5%),0)</f>
        <v>1382.2952499999999</v>
      </c>
      <c r="J16" s="12">
        <f>IF(G16&lt;5.0000001,(D16*0.3%),0)</f>
        <v>829.37715000000003</v>
      </c>
      <c r="K16" s="12">
        <f>IF(H16&gt;84.99,(D16*0.2%),0)</f>
        <v>0</v>
      </c>
      <c r="L16" s="13"/>
      <c r="M16" s="13"/>
      <c r="N16" s="12">
        <f>C16+I16+J16+K16+M16</f>
        <v>3461.6724000000004</v>
      </c>
    </row>
    <row r="17" spans="1:15">
      <c r="A17" s="15"/>
      <c r="B17" s="15"/>
      <c r="C17" s="15"/>
      <c r="D17" s="15"/>
      <c r="E17" s="15"/>
      <c r="F17" s="15"/>
      <c r="G17" s="15"/>
      <c r="H17" s="16"/>
      <c r="I17" s="17"/>
      <c r="J17" s="17"/>
      <c r="K17" s="17"/>
      <c r="N17" s="18">
        <f>SUM(N13:N16)</f>
        <v>9654.6064499999993</v>
      </c>
    </row>
    <row r="18" spans="1:15" s="4" customFormat="1" ht="11.25">
      <c r="A18" s="15"/>
      <c r="B18" s="15"/>
      <c r="C18" s="15"/>
      <c r="D18" s="15"/>
      <c r="E18" s="15"/>
      <c r="F18" s="15"/>
      <c r="G18" s="15"/>
      <c r="H18" s="16"/>
      <c r="I18" s="17"/>
      <c r="J18" s="17"/>
      <c r="K18" s="17"/>
    </row>
    <row r="19" spans="1:15" s="4" customFormat="1" ht="11.25">
      <c r="A19" s="3"/>
      <c r="B19" s="5" t="s">
        <v>29</v>
      </c>
      <c r="C19" s="6"/>
      <c r="D19" s="6"/>
      <c r="F19" s="355" t="s">
        <v>1</v>
      </c>
      <c r="G19" s="355"/>
      <c r="H19" s="355"/>
      <c r="I19" s="358" t="s">
        <v>2</v>
      </c>
      <c r="J19" s="358"/>
      <c r="K19" s="358"/>
      <c r="L19" s="358" t="s">
        <v>3</v>
      </c>
      <c r="M19" s="358"/>
    </row>
    <row r="20" spans="1:15" s="4" customFormat="1" ht="11.25">
      <c r="A20" s="7" t="s">
        <v>4</v>
      </c>
      <c r="B20" s="7" t="s">
        <v>5</v>
      </c>
      <c r="C20" s="7"/>
      <c r="D20" s="7" t="s">
        <v>7</v>
      </c>
      <c r="E20" s="7" t="s">
        <v>8</v>
      </c>
      <c r="F20" s="7" t="s">
        <v>9</v>
      </c>
      <c r="G20" s="7" t="s">
        <v>10</v>
      </c>
      <c r="H20" s="7" t="s">
        <v>11</v>
      </c>
      <c r="I20" s="7" t="s">
        <v>9</v>
      </c>
      <c r="J20" s="7" t="s">
        <v>10</v>
      </c>
      <c r="K20" s="7" t="s">
        <v>12</v>
      </c>
      <c r="L20" s="7" t="s">
        <v>13</v>
      </c>
      <c r="M20" s="7" t="s">
        <v>14</v>
      </c>
      <c r="N20" s="7" t="s">
        <v>15</v>
      </c>
    </row>
    <row r="21" spans="1:15">
      <c r="A21" s="9" t="s">
        <v>30</v>
      </c>
      <c r="B21" s="10" t="str">
        <f>VLOOKUP(A21,exportado!$A$2:$N$36,2,0)</f>
        <v>FLORES PALOMINO JIM</v>
      </c>
      <c r="C21" s="9">
        <v>1250</v>
      </c>
      <c r="D21" s="9">
        <f>VLOOKUP(A21,exportado!$A$2:$N$36,5,0)</f>
        <v>80918.47</v>
      </c>
      <c r="E21" s="9">
        <f>VLOOKUP(A21,exportado!$A$2:$N$36,6,0)</f>
        <v>160698.41</v>
      </c>
      <c r="F21" s="9">
        <f>VLOOKUP(A21,exportado!$A$2:$N$36,7,0)</f>
        <v>50.35</v>
      </c>
      <c r="G21" s="9">
        <f>VLOOKUP(A21,exportado!$A$2:$N$36,12,0)</f>
        <v>28.13</v>
      </c>
      <c r="H21" s="11">
        <f>VLOOKUP(A21,exportado!$A$2:$N$36,14,0)</f>
        <v>36.263736263736263</v>
      </c>
      <c r="I21" s="12">
        <f>IF(F21&gt;84.99,(D21*0.5%),0)</f>
        <v>0</v>
      </c>
      <c r="J21" s="12">
        <f>IF(G21&lt;5.0000001,(D21*0.3%),0)</f>
        <v>0</v>
      </c>
      <c r="K21" s="12">
        <f>IF(H21&gt;84.99,(D21*0.2%),0)</f>
        <v>0</v>
      </c>
      <c r="L21" s="13"/>
      <c r="M21" s="13"/>
      <c r="N21" s="19">
        <f>C21+I21+J21+K21+M21</f>
        <v>1250</v>
      </c>
    </row>
    <row r="22" spans="1:15">
      <c r="A22" s="9" t="s">
        <v>31</v>
      </c>
      <c r="B22" s="10" t="str">
        <f>VLOOKUP(A22,exportado!$A$2:$N$36,2,0)</f>
        <v>OLAECHEA LOZANO DANNY MANUEL</v>
      </c>
      <c r="C22" s="9">
        <v>1250</v>
      </c>
      <c r="D22" s="9">
        <f>VLOOKUP(A22,exportado!$A$2:$N$36,5,0)</f>
        <v>122474.69</v>
      </c>
      <c r="E22" s="9">
        <f>VLOOKUP(A22,exportado!$A$2:$N$36,6,0)</f>
        <v>143512.35</v>
      </c>
      <c r="F22" s="9">
        <f>VLOOKUP(A22,exportado!$A$2:$N$36,7,0)</f>
        <v>85.34</v>
      </c>
      <c r="G22" s="9">
        <f>VLOOKUP(A22,exportado!$A$2:$N$36,12,0)</f>
        <v>26.14</v>
      </c>
      <c r="H22" s="11">
        <f>VLOOKUP(A22,exportado!$A$2:$N$36,14,0)</f>
        <v>36.708860759493668</v>
      </c>
      <c r="I22" s="12">
        <f>IF(F22&gt;84.99,(D22*0.5%),0)</f>
        <v>612.37345000000005</v>
      </c>
      <c r="J22" s="12">
        <f>IF(G22&lt;5.0000001,(D22*0.3%),0)</f>
        <v>0</v>
      </c>
      <c r="K22" s="12">
        <f>IF(H22&gt;84.99,(D22*0.2%),0)</f>
        <v>0</v>
      </c>
      <c r="L22" s="13"/>
      <c r="M22" s="13"/>
      <c r="N22" s="19">
        <f>C22+I22+J22+K22+M22</f>
        <v>1862.37345</v>
      </c>
    </row>
    <row r="23" spans="1:15">
      <c r="A23" s="9" t="s">
        <v>32</v>
      </c>
      <c r="B23" s="10" t="str">
        <f>VLOOKUP(A23,exportado!$A$2:$N$36,2,0)</f>
        <v>DOLMOS PACHECO CARMEN ROSA</v>
      </c>
      <c r="C23" s="9">
        <v>1250</v>
      </c>
      <c r="D23" s="9">
        <f>VLOOKUP(A23,exportado!$A$2:$N$36,5,0)</f>
        <v>142767.16</v>
      </c>
      <c r="E23" s="9">
        <f>VLOOKUP(A23,exportado!$A$2:$N$36,6,0)</f>
        <v>228451.88</v>
      </c>
      <c r="F23" s="9">
        <f>VLOOKUP(A23,exportado!$A$2:$N$36,7,0)</f>
        <v>62.49</v>
      </c>
      <c r="G23" s="9">
        <f>VLOOKUP(A23,exportado!$A$2:$N$36,12,0)</f>
        <v>11.61</v>
      </c>
      <c r="H23" s="11">
        <f>VLOOKUP(A23,exportado!$A$2:$N$36,14,0)</f>
        <v>58.333333333333336</v>
      </c>
      <c r="I23" s="12">
        <f>IF(F23&gt;84.99,(D23*0.5%),0)</f>
        <v>0</v>
      </c>
      <c r="J23" s="12">
        <f>IF(G23&lt;5.0000001,(D23*0.3%),0)</f>
        <v>0</v>
      </c>
      <c r="K23" s="12">
        <f>IF(H23&gt;84.99,(D23*0.2%),0)</f>
        <v>0</v>
      </c>
      <c r="L23" s="14" t="s">
        <v>33</v>
      </c>
      <c r="M23" s="12">
        <f>(D23*0.5%)+300</f>
        <v>1013.8358000000001</v>
      </c>
      <c r="N23" s="19">
        <f>C23+I23+J23+K23+M23</f>
        <v>2263.8357999999998</v>
      </c>
      <c r="O23" s="17"/>
    </row>
    <row r="24" spans="1:15">
      <c r="A24" s="20" t="s">
        <v>34</v>
      </c>
      <c r="B24" s="21" t="str">
        <f>CONCATENATE(VLOOKUP(A24,exportado!$A$2:$N$36,2,0),"- PUERTO MALDONADO")</f>
        <v>HUERTAS BRIONES RICARDO- PUERTO MALDONADO</v>
      </c>
      <c r="C24" s="20">
        <v>1250</v>
      </c>
      <c r="D24" s="20">
        <f>VLOOKUP(A24,exportado!$A$2:$N$36,5,0)</f>
        <v>182934.02</v>
      </c>
      <c r="E24" s="20">
        <f>VLOOKUP(A24,exportado!$A$2:$N$36,6,0)</f>
        <v>237255.21</v>
      </c>
      <c r="F24" s="20">
        <f>VLOOKUP(A24,exportado!$A$2:$N$36,7,0)</f>
        <v>77.099999999999994</v>
      </c>
      <c r="G24" s="20">
        <f>VLOOKUP(A24,exportado!$A$2:$N$36,12,0)</f>
        <v>11.22</v>
      </c>
      <c r="H24" s="22">
        <f>VLOOKUP(A24,exportado!$A$2:$N$36,14,0)</f>
        <v>33.333333333333336</v>
      </c>
      <c r="I24" s="23">
        <f>IF(F24&gt;84.99,(D24*0.5%),0)</f>
        <v>0</v>
      </c>
      <c r="J24" s="23">
        <f>IF(G24&lt;5.0000001,(D24*0.3%),0)</f>
        <v>0</v>
      </c>
      <c r="K24" s="23">
        <f>IF(H24&gt;84.99,(D24*0.2%),0)</f>
        <v>0</v>
      </c>
      <c r="L24" s="24"/>
      <c r="M24" s="24"/>
      <c r="N24" s="359">
        <f>C24+I24+J24+K24+M24</f>
        <v>1250</v>
      </c>
    </row>
    <row r="25" spans="1:15">
      <c r="A25" s="20" t="s">
        <v>35</v>
      </c>
      <c r="B25" s="21" t="str">
        <f>CONCATENATE(VLOOKUP(A25,exportado!$A$2:$N$36,2,0),"- CUSCO")</f>
        <v>SALAZAR VALLENAS JULIO- CUSCO</v>
      </c>
      <c r="C25" s="20">
        <v>1250</v>
      </c>
      <c r="D25" s="20">
        <f>VLOOKUP(A25,exportado!$A$2:$N$36,5,0)</f>
        <v>83346.89</v>
      </c>
      <c r="E25" s="20">
        <f>VLOOKUP(A25,exportado!$A$2:$N$36,6,0)</f>
        <v>152263.79</v>
      </c>
      <c r="F25" s="20">
        <f>VLOOKUP(A25,exportado!$A$2:$N$36,7,0)</f>
        <v>54.74</v>
      </c>
      <c r="G25" s="20">
        <f>VLOOKUP(A25,exportado!$A$2:$N$36,12,0)</f>
        <v>8.4600000000000009</v>
      </c>
      <c r="H25" s="22">
        <f>VLOOKUP(A25,exportado!$A$2:$N$36,14,0)</f>
        <v>45.833333333333336</v>
      </c>
      <c r="I25" s="23">
        <f>IF(F25&gt;84.99,(D25*0.5%),0)</f>
        <v>0</v>
      </c>
      <c r="J25" s="23">
        <f>IF(G25&lt;5.0000001,(D25*0.3%),0)</f>
        <v>0</v>
      </c>
      <c r="K25" s="23">
        <f>IF(H25&gt;84.99,(D25*0.2%),0)</f>
        <v>0</v>
      </c>
      <c r="L25" s="24"/>
      <c r="M25" s="24"/>
      <c r="N25" s="359"/>
    </row>
    <row r="26" spans="1:15">
      <c r="A26" s="15"/>
      <c r="B26" s="15"/>
      <c r="C26" s="15"/>
      <c r="D26" s="15"/>
      <c r="E26" s="15"/>
      <c r="F26" s="15"/>
      <c r="G26" s="15"/>
      <c r="H26" s="16"/>
      <c r="I26" s="17"/>
      <c r="J26" s="17"/>
      <c r="K26" s="17"/>
      <c r="N26" s="25">
        <f>SUM(N21:N25)</f>
        <v>6626.2092499999999</v>
      </c>
    </row>
    <row r="27" spans="1:15" s="4" customFormat="1" ht="11.25">
      <c r="A27" s="15"/>
      <c r="B27" s="15"/>
      <c r="C27" s="15"/>
      <c r="D27" s="15"/>
      <c r="E27" s="15"/>
      <c r="F27" s="15"/>
      <c r="G27" s="15"/>
      <c r="H27" s="16"/>
      <c r="I27" s="17"/>
      <c r="J27" s="17"/>
      <c r="K27" s="17"/>
    </row>
    <row r="28" spans="1:15" s="4" customFormat="1" ht="11.25">
      <c r="A28" s="3"/>
      <c r="B28" s="5" t="s">
        <v>36</v>
      </c>
      <c r="C28" s="6"/>
      <c r="D28" s="6"/>
      <c r="F28" s="355" t="s">
        <v>1</v>
      </c>
      <c r="G28" s="355"/>
      <c r="H28" s="355"/>
      <c r="I28" s="357" t="s">
        <v>2</v>
      </c>
      <c r="J28" s="357"/>
      <c r="K28" s="357"/>
      <c r="L28" s="357" t="s">
        <v>3</v>
      </c>
      <c r="M28" s="357"/>
    </row>
    <row r="29" spans="1:15" s="4" customFormat="1" ht="11.25">
      <c r="A29" s="7" t="s">
        <v>4</v>
      </c>
      <c r="B29" s="7" t="s">
        <v>5</v>
      </c>
      <c r="C29" s="7"/>
      <c r="D29" s="7" t="s">
        <v>7</v>
      </c>
      <c r="E29" s="7" t="s">
        <v>8</v>
      </c>
      <c r="F29" s="7" t="s">
        <v>9</v>
      </c>
      <c r="G29" s="7" t="s">
        <v>10</v>
      </c>
      <c r="H29" s="7" t="s">
        <v>11</v>
      </c>
      <c r="I29" s="7" t="s">
        <v>9</v>
      </c>
      <c r="J29" s="7" t="s">
        <v>10</v>
      </c>
      <c r="K29" s="7" t="s">
        <v>12</v>
      </c>
      <c r="L29" s="7" t="s">
        <v>13</v>
      </c>
      <c r="M29" s="7" t="s">
        <v>14</v>
      </c>
      <c r="N29" s="7" t="s">
        <v>15</v>
      </c>
    </row>
    <row r="30" spans="1:15">
      <c r="A30" s="9" t="s">
        <v>37</v>
      </c>
      <c r="B30" s="10" t="str">
        <f>VLOOKUP(A30,exportado!$A$2:$N$36,2,0)</f>
        <v>COTACALLAPA JOVE ROBERTO</v>
      </c>
      <c r="C30" s="9">
        <v>850</v>
      </c>
      <c r="D30" s="9">
        <f>VLOOKUP(A30,exportado!$A$2:$N$36,5,0)</f>
        <v>80211.34</v>
      </c>
      <c r="E30" s="9">
        <f>VLOOKUP(A30,exportado!$A$2:$N$36,6,0)</f>
        <v>113350</v>
      </c>
      <c r="F30" s="9">
        <f>VLOOKUP(A30,exportado!$A$2:$N$36,7,0)</f>
        <v>70.760000000000005</v>
      </c>
      <c r="G30" s="9">
        <f>VLOOKUP(A30,exportado!$A$2:$N$36,12,0)</f>
        <v>24.79</v>
      </c>
      <c r="H30" s="11">
        <f>VLOOKUP(A30,exportado!$A$2:$N$36,14,0)</f>
        <v>23.853211009174313</v>
      </c>
      <c r="I30" s="12">
        <v>427.81</v>
      </c>
      <c r="J30" s="12">
        <f>IF(G30&lt;5.0000001,(D30*0.3%),0)</f>
        <v>0</v>
      </c>
      <c r="K30" s="12">
        <f>IF(H30&gt;84.99,(D30*0.2%),0)</f>
        <v>0</v>
      </c>
      <c r="L30" s="13"/>
      <c r="M30" s="13"/>
      <c r="N30" s="12">
        <f>C30+I30+J30+K30+M30</f>
        <v>1277.81</v>
      </c>
    </row>
    <row r="31" spans="1:15">
      <c r="A31" s="9" t="s">
        <v>38</v>
      </c>
      <c r="B31" s="10" t="str">
        <f>VLOOKUP(A31,exportado!$A$2:$N$36,2,0)</f>
        <v>CHICATA APAZA JOSE LUIS</v>
      </c>
      <c r="C31" s="9">
        <v>850</v>
      </c>
      <c r="D31" s="9">
        <f>VLOOKUP(A31,exportado!$A$2:$N$36,5,0)</f>
        <v>617.25</v>
      </c>
      <c r="E31" s="9">
        <f>VLOOKUP(A31,exportado!$A$2:$N$36,6,0)</f>
        <v>0</v>
      </c>
      <c r="F31" s="9">
        <f>VLOOKUP(A31,exportado!$A$2:$N$36,7,0)</f>
        <v>0</v>
      </c>
      <c r="G31" s="9">
        <f>VLOOKUP(A31,exportado!$A$2:$N$36,12,0)</f>
        <v>0</v>
      </c>
      <c r="H31" s="11">
        <f>VLOOKUP(A31,exportado!$A$2:$N$36,14,0)</f>
        <v>1.4705882352941178</v>
      </c>
      <c r="I31" s="12">
        <v>470.16</v>
      </c>
      <c r="J31" s="12">
        <f>IF(G31&lt;5.0000001,(D31*0.3%),0)</f>
        <v>1.85175</v>
      </c>
      <c r="K31" s="12">
        <f>IF(H31&gt;84.99,(D31*0.2%),0)</f>
        <v>0</v>
      </c>
      <c r="L31" s="13"/>
      <c r="M31" s="13"/>
      <c r="N31" s="12">
        <f>C31+I31+J31+K31+M31</f>
        <v>1322.0117500000001</v>
      </c>
    </row>
    <row r="32" spans="1:15">
      <c r="A32" s="9" t="s">
        <v>39</v>
      </c>
      <c r="B32" s="10" t="str">
        <f>VLOOKUP(A32,exportado!$A$2:$N$36,2,0)</f>
        <v>RAMOS CHACON CARMEN ROSA</v>
      </c>
      <c r="C32" s="9">
        <v>850</v>
      </c>
      <c r="D32" s="9">
        <f>VLOOKUP(A32,exportado!$A$2:$N$36,5,0)</f>
        <v>73303.81</v>
      </c>
      <c r="E32" s="9">
        <f>VLOOKUP(A32,exportado!$A$2:$N$36,6,0)</f>
        <v>83100</v>
      </c>
      <c r="F32" s="9">
        <f>VLOOKUP(A32,exportado!$A$2:$N$36,7,0)</f>
        <v>88.21</v>
      </c>
      <c r="G32" s="9">
        <f>VLOOKUP(A32,exportado!$A$2:$N$36,12,0)</f>
        <v>1.64</v>
      </c>
      <c r="H32" s="11">
        <f>VLOOKUP(A32,exportado!$A$2:$N$36,14,0)</f>
        <v>57.352941176470587</v>
      </c>
      <c r="I32" s="12">
        <v>272.32</v>
      </c>
      <c r="J32" s="12">
        <v>458.39</v>
      </c>
      <c r="K32" s="12">
        <f>IF(H32&gt;84.99,(D32*0.2%),0)</f>
        <v>0</v>
      </c>
      <c r="L32" s="13"/>
      <c r="M32" s="13"/>
      <c r="N32" s="12">
        <f>C32+I32+J32+K32+M32</f>
        <v>1580.71</v>
      </c>
    </row>
    <row r="33" spans="1:14">
      <c r="A33" s="15"/>
      <c r="B33" s="15"/>
      <c r="C33" s="15"/>
      <c r="D33" s="15"/>
      <c r="E33" s="15"/>
      <c r="F33" s="15"/>
      <c r="G33" s="15"/>
      <c r="H33" s="16"/>
      <c r="I33" s="17"/>
      <c r="J33" s="17"/>
      <c r="K33" s="17"/>
      <c r="N33" s="18">
        <f>SUM(N30:N32)</f>
        <v>4180.5317500000001</v>
      </c>
    </row>
    <row r="36" spans="1:14">
      <c r="L36" s="26" t="s">
        <v>40</v>
      </c>
      <c r="N36" s="12">
        <v>2500</v>
      </c>
    </row>
    <row r="37" spans="1:14">
      <c r="A37" s="27"/>
      <c r="B37" s="26" t="s">
        <v>41</v>
      </c>
      <c r="L37" s="26" t="s">
        <v>42</v>
      </c>
      <c r="N37" s="13">
        <v>1155.42</v>
      </c>
    </row>
    <row r="38" spans="1:14">
      <c r="B38" s="26" t="s">
        <v>43</v>
      </c>
    </row>
    <row r="39" spans="1:14">
      <c r="M39" s="28" t="s">
        <v>44</v>
      </c>
      <c r="N39" s="18">
        <f>N9+N17+N26+N33+N36+N37</f>
        <v>36478.944109999997</v>
      </c>
    </row>
  </sheetData>
  <mergeCells count="13">
    <mergeCell ref="F19:H19"/>
    <mergeCell ref="I19:K19"/>
    <mergeCell ref="L19:M19"/>
    <mergeCell ref="N24:N25"/>
    <mergeCell ref="F28:H28"/>
    <mergeCell ref="I28:K28"/>
    <mergeCell ref="L28:M28"/>
    <mergeCell ref="F1:H1"/>
    <mergeCell ref="I1:K1"/>
    <mergeCell ref="L1:M1"/>
    <mergeCell ref="F11:H11"/>
    <mergeCell ref="I11:K11"/>
    <mergeCell ref="L11:M11"/>
  </mergeCells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41"/>
  <sheetViews>
    <sheetView topLeftCell="A10" zoomScale="120" zoomScaleNormal="120" workbookViewId="0">
      <selection activeCell="I41" sqref="I41"/>
    </sheetView>
  </sheetViews>
  <sheetFormatPr baseColWidth="10" defaultColWidth="8.85546875" defaultRowHeight="15"/>
  <cols>
    <col min="1" max="1025" width="10.7109375" customWidth="1"/>
  </cols>
  <sheetData>
    <row r="2" spans="1:16">
      <c r="A2" s="158" t="str">
        <f t="shared" ref="A2:A41" si="0">+CONCATENATE(B2,C2,"_",E2,D2)</f>
        <v>20142_316</v>
      </c>
      <c r="B2" s="159">
        <v>2014</v>
      </c>
      <c r="C2" s="159">
        <v>2</v>
      </c>
      <c r="D2" s="159" t="s">
        <v>258</v>
      </c>
      <c r="E2" s="159">
        <v>3</v>
      </c>
      <c r="F2" s="159" t="s">
        <v>259</v>
      </c>
      <c r="G2" s="159" t="s">
        <v>260</v>
      </c>
      <c r="H2" s="160">
        <v>5000</v>
      </c>
      <c r="I2" s="159"/>
      <c r="J2" s="161">
        <f>K2+L2+M2+N2</f>
        <v>3304.34</v>
      </c>
      <c r="K2">
        <v>3304.34</v>
      </c>
    </row>
    <row r="3" spans="1:16">
      <c r="A3" s="158" t="str">
        <f t="shared" si="0"/>
        <v>20142_327</v>
      </c>
      <c r="B3" s="159">
        <v>2014</v>
      </c>
      <c r="C3" s="159">
        <v>2</v>
      </c>
      <c r="D3" s="159" t="s">
        <v>261</v>
      </c>
      <c r="E3" s="159">
        <v>3</v>
      </c>
      <c r="F3" s="159" t="s">
        <v>259</v>
      </c>
      <c r="G3" s="159" t="s">
        <v>262</v>
      </c>
      <c r="H3" s="160">
        <v>5600</v>
      </c>
      <c r="I3" s="159"/>
      <c r="J3" s="161">
        <f>K3+L3+M3+N3</f>
        <v>3508.82</v>
      </c>
      <c r="K3">
        <v>3508.82</v>
      </c>
    </row>
    <row r="4" spans="1:16">
      <c r="A4" s="158" t="str">
        <f t="shared" si="0"/>
        <v>20142_3F4</v>
      </c>
      <c r="B4" s="159">
        <v>2014</v>
      </c>
      <c r="C4" s="159">
        <v>2</v>
      </c>
      <c r="D4" s="159" t="s">
        <v>263</v>
      </c>
      <c r="E4" s="159">
        <v>3</v>
      </c>
      <c r="F4" s="159" t="s">
        <v>259</v>
      </c>
      <c r="G4" s="159" t="s">
        <v>264</v>
      </c>
      <c r="H4" s="162">
        <v>28000</v>
      </c>
      <c r="I4" s="159"/>
      <c r="J4" s="161">
        <f>K4+L4+M4+N4</f>
        <v>28293.85</v>
      </c>
      <c r="K4">
        <v>28293.85</v>
      </c>
    </row>
    <row r="5" spans="1:16">
      <c r="A5" s="158" t="str">
        <f t="shared" si="0"/>
        <v>20142_3IN</v>
      </c>
      <c r="B5" s="159">
        <v>2014</v>
      </c>
      <c r="C5" s="159">
        <v>2</v>
      </c>
      <c r="D5" s="159" t="s">
        <v>265</v>
      </c>
      <c r="E5" s="159">
        <v>3</v>
      </c>
      <c r="F5" s="159" t="s">
        <v>259</v>
      </c>
      <c r="G5" s="159" t="s">
        <v>266</v>
      </c>
      <c r="H5" s="160">
        <v>2562.4</v>
      </c>
      <c r="I5" s="159"/>
      <c r="J5" s="161">
        <f>K5+L5+M5+N5</f>
        <v>2024.4</v>
      </c>
      <c r="K5">
        <v>2024.4</v>
      </c>
    </row>
    <row r="6" spans="1:16">
      <c r="A6" s="158" t="str">
        <f t="shared" si="0"/>
        <v>20142_3ME</v>
      </c>
      <c r="B6" s="159">
        <v>2014</v>
      </c>
      <c r="C6" s="159">
        <v>2</v>
      </c>
      <c r="D6" s="159" t="s">
        <v>267</v>
      </c>
      <c r="E6" s="159">
        <v>3</v>
      </c>
      <c r="F6" s="159" t="s">
        <v>259</v>
      </c>
      <c r="G6" s="159" t="s">
        <v>268</v>
      </c>
      <c r="H6" s="159">
        <f>70000+37000+14000+12000+4500+1500</f>
        <v>139000</v>
      </c>
      <c r="I6" s="159"/>
      <c r="J6" s="161">
        <f>K6+L6+M6+N6+O6+P6</f>
        <v>100257.98000000001</v>
      </c>
      <c r="K6">
        <v>41200.839999999997</v>
      </c>
      <c r="L6">
        <v>29900.82</v>
      </c>
      <c r="M6">
        <v>11424.27</v>
      </c>
      <c r="N6">
        <v>10464.58</v>
      </c>
      <c r="O6">
        <v>7156.77</v>
      </c>
      <c r="P6">
        <v>110.7</v>
      </c>
    </row>
    <row r="7" spans="1:16">
      <c r="A7" s="163" t="str">
        <f t="shared" si="0"/>
        <v>20142_2216</v>
      </c>
      <c r="B7" s="164">
        <v>2014</v>
      </c>
      <c r="C7" s="164">
        <v>2</v>
      </c>
      <c r="D7" s="164" t="s">
        <v>258</v>
      </c>
      <c r="E7" s="164">
        <v>22</v>
      </c>
      <c r="F7" s="164" t="s">
        <v>269</v>
      </c>
      <c r="G7" s="164" t="s">
        <v>260</v>
      </c>
      <c r="H7" s="165">
        <v>2500</v>
      </c>
      <c r="I7" s="164"/>
      <c r="J7" s="166">
        <v>541.16999999999996</v>
      </c>
      <c r="K7">
        <v>798.59</v>
      </c>
    </row>
    <row r="8" spans="1:16">
      <c r="A8" s="163" t="str">
        <f t="shared" si="0"/>
        <v>20142_2227</v>
      </c>
      <c r="B8" s="164">
        <v>2014</v>
      </c>
      <c r="C8" s="164">
        <v>2</v>
      </c>
      <c r="D8" s="164" t="s">
        <v>261</v>
      </c>
      <c r="E8" s="164">
        <v>22</v>
      </c>
      <c r="F8" s="164" t="s">
        <v>269</v>
      </c>
      <c r="G8" s="164" t="s">
        <v>262</v>
      </c>
      <c r="H8" s="165">
        <v>5500</v>
      </c>
      <c r="I8" s="164"/>
      <c r="J8" s="166">
        <v>5971.97</v>
      </c>
      <c r="K8">
        <v>6551.15</v>
      </c>
    </row>
    <row r="9" spans="1:16">
      <c r="A9" s="163" t="str">
        <f t="shared" si="0"/>
        <v>20142_22F4</v>
      </c>
      <c r="B9" s="164">
        <v>2014</v>
      </c>
      <c r="C9" s="164">
        <v>2</v>
      </c>
      <c r="D9" s="164" t="s">
        <v>263</v>
      </c>
      <c r="E9" s="164">
        <v>22</v>
      </c>
      <c r="F9" s="164" t="s">
        <v>269</v>
      </c>
      <c r="G9" s="164" t="s">
        <v>264</v>
      </c>
      <c r="H9" s="167">
        <v>14000</v>
      </c>
      <c r="I9" s="164"/>
      <c r="J9" s="166">
        <v>23053.68</v>
      </c>
      <c r="K9">
        <v>19586.82</v>
      </c>
    </row>
    <row r="10" spans="1:16">
      <c r="A10" s="163" t="str">
        <f t="shared" si="0"/>
        <v>20142_22IN</v>
      </c>
      <c r="B10" s="164">
        <v>2014</v>
      </c>
      <c r="C10" s="164">
        <v>2</v>
      </c>
      <c r="D10" s="164" t="s">
        <v>265</v>
      </c>
      <c r="E10" s="164">
        <v>22</v>
      </c>
      <c r="F10" s="164" t="s">
        <v>269</v>
      </c>
      <c r="G10" s="164" t="s">
        <v>266</v>
      </c>
      <c r="H10" s="164">
        <v>2000</v>
      </c>
      <c r="I10" s="164"/>
      <c r="J10" s="166">
        <v>2150.56</v>
      </c>
      <c r="K10">
        <v>2283.25</v>
      </c>
    </row>
    <row r="11" spans="1:16">
      <c r="A11" s="163" t="str">
        <f t="shared" si="0"/>
        <v>20142_22ME</v>
      </c>
      <c r="B11" s="164">
        <v>2014</v>
      </c>
      <c r="C11" s="164">
        <v>2</v>
      </c>
      <c r="D11" s="164" t="s">
        <v>267</v>
      </c>
      <c r="E11" s="164">
        <v>22</v>
      </c>
      <c r="F11" s="164" t="s">
        <v>269</v>
      </c>
      <c r="G11" s="164" t="s">
        <v>268</v>
      </c>
      <c r="H11" s="164">
        <v>167500</v>
      </c>
      <c r="I11" s="164"/>
      <c r="J11" s="166">
        <f>K11+L11+M11+N11+O11+P11</f>
        <v>195186.13999999998</v>
      </c>
      <c r="K11">
        <v>7244.66</v>
      </c>
      <c r="L11">
        <v>12320.28</v>
      </c>
      <c r="M11">
        <v>40413.620000000003</v>
      </c>
      <c r="N11">
        <v>81751.59</v>
      </c>
      <c r="O11">
        <v>52814.16</v>
      </c>
      <c r="P11">
        <v>641.83000000000004</v>
      </c>
    </row>
    <row r="12" spans="1:16">
      <c r="A12" s="163" t="str">
        <f t="shared" si="0"/>
        <v>201410_316</v>
      </c>
      <c r="B12" s="164">
        <v>2014</v>
      </c>
      <c r="C12" s="159">
        <v>10</v>
      </c>
      <c r="D12" s="159" t="s">
        <v>258</v>
      </c>
      <c r="E12" s="159">
        <v>3</v>
      </c>
      <c r="F12" s="159" t="s">
        <v>259</v>
      </c>
      <c r="G12" s="159" t="s">
        <v>260</v>
      </c>
      <c r="H12" s="168">
        <v>7878.08</v>
      </c>
      <c r="I12" s="168">
        <v>8954.3700000000008</v>
      </c>
      <c r="J12" s="161">
        <v>7211</v>
      </c>
      <c r="K12">
        <v>3304.34</v>
      </c>
    </row>
    <row r="13" spans="1:16">
      <c r="A13" s="163" t="str">
        <f t="shared" si="0"/>
        <v>201410_327</v>
      </c>
      <c r="B13" s="164">
        <v>2014</v>
      </c>
      <c r="C13" s="159">
        <v>10</v>
      </c>
      <c r="D13" s="159" t="s">
        <v>261</v>
      </c>
      <c r="E13" s="159">
        <v>3</v>
      </c>
      <c r="F13" s="159" t="s">
        <v>259</v>
      </c>
      <c r="G13" s="159" t="s">
        <v>262</v>
      </c>
      <c r="H13" s="168">
        <v>5708.46</v>
      </c>
      <c r="I13" s="168">
        <v>8795.11</v>
      </c>
      <c r="J13" s="161">
        <v>11104</v>
      </c>
      <c r="K13">
        <v>3508.82</v>
      </c>
    </row>
    <row r="14" spans="1:16">
      <c r="A14" s="163" t="str">
        <f t="shared" si="0"/>
        <v>201410_3F4</v>
      </c>
      <c r="B14" s="164">
        <v>2014</v>
      </c>
      <c r="C14" s="159">
        <v>10</v>
      </c>
      <c r="D14" s="159" t="s">
        <v>263</v>
      </c>
      <c r="E14" s="159">
        <v>3</v>
      </c>
      <c r="F14" s="159" t="s">
        <v>259</v>
      </c>
      <c r="G14" s="159" t="s">
        <v>264</v>
      </c>
      <c r="H14" s="168">
        <v>31373.24</v>
      </c>
      <c r="I14" s="168">
        <v>12370.5</v>
      </c>
      <c r="J14" s="161">
        <v>31308</v>
      </c>
      <c r="K14">
        <v>28293.85</v>
      </c>
    </row>
    <row r="15" spans="1:16">
      <c r="A15" s="163" t="str">
        <f t="shared" si="0"/>
        <v>201410_3IN</v>
      </c>
      <c r="B15" s="164">
        <v>2014</v>
      </c>
      <c r="C15" s="159">
        <v>10</v>
      </c>
      <c r="D15" s="159" t="s">
        <v>265</v>
      </c>
      <c r="E15" s="159">
        <v>3</v>
      </c>
      <c r="F15" s="159" t="s">
        <v>259</v>
      </c>
      <c r="G15" s="159" t="s">
        <v>266</v>
      </c>
      <c r="H15" s="168">
        <v>2000</v>
      </c>
      <c r="I15" s="168">
        <v>11453.54</v>
      </c>
      <c r="J15" s="161">
        <v>1303</v>
      </c>
      <c r="K15">
        <v>2024.4</v>
      </c>
    </row>
    <row r="16" spans="1:16">
      <c r="A16" s="163" t="str">
        <f t="shared" si="0"/>
        <v>201410_3ME</v>
      </c>
      <c r="B16" s="164">
        <v>2014</v>
      </c>
      <c r="C16" s="159">
        <v>10</v>
      </c>
      <c r="D16" s="159" t="s">
        <v>267</v>
      </c>
      <c r="E16" s="159">
        <v>3</v>
      </c>
      <c r="F16" s="159" t="s">
        <v>259</v>
      </c>
      <c r="G16" s="159" t="s">
        <v>268</v>
      </c>
      <c r="H16">
        <f>SUM(K16:P16)</f>
        <v>207641.86</v>
      </c>
      <c r="I16" s="159">
        <v>158708.69</v>
      </c>
      <c r="J16" s="161">
        <v>175366.17</v>
      </c>
      <c r="K16" s="159">
        <v>124942.8</v>
      </c>
      <c r="L16" s="159">
        <v>43697.59</v>
      </c>
      <c r="M16" s="159">
        <v>16215.3</v>
      </c>
      <c r="N16" s="159">
        <v>11374</v>
      </c>
      <c r="O16" s="159">
        <v>11109.71</v>
      </c>
      <c r="P16" s="159">
        <v>302.45999999999998</v>
      </c>
    </row>
    <row r="17" spans="1:16">
      <c r="A17" s="163" t="str">
        <f t="shared" si="0"/>
        <v>201410_2216</v>
      </c>
      <c r="B17" s="164">
        <v>2014</v>
      </c>
      <c r="C17" s="164">
        <v>10</v>
      </c>
      <c r="D17" s="164" t="s">
        <v>258</v>
      </c>
      <c r="E17" s="164">
        <v>22</v>
      </c>
      <c r="F17" s="164" t="s">
        <v>269</v>
      </c>
      <c r="G17" s="164" t="s">
        <v>260</v>
      </c>
      <c r="H17" s="169">
        <v>2000</v>
      </c>
      <c r="I17" s="169">
        <v>1113.29</v>
      </c>
      <c r="J17" s="166">
        <v>921.04</v>
      </c>
      <c r="K17">
        <v>798.59</v>
      </c>
    </row>
    <row r="18" spans="1:16">
      <c r="A18" s="163" t="str">
        <f t="shared" si="0"/>
        <v>201410_2227</v>
      </c>
      <c r="B18" s="164">
        <v>2014</v>
      </c>
      <c r="C18" s="164">
        <v>10</v>
      </c>
      <c r="D18" s="164" t="s">
        <v>261</v>
      </c>
      <c r="E18" s="164">
        <v>22</v>
      </c>
      <c r="F18" s="164" t="s">
        <v>269</v>
      </c>
      <c r="G18" s="164" t="s">
        <v>262</v>
      </c>
      <c r="H18" s="169">
        <v>20000</v>
      </c>
      <c r="I18" s="169">
        <v>18001.47</v>
      </c>
      <c r="J18" s="166">
        <v>9859.41</v>
      </c>
      <c r="K18">
        <v>6551.15</v>
      </c>
    </row>
    <row r="19" spans="1:16">
      <c r="A19" s="163" t="str">
        <f t="shared" si="0"/>
        <v>201410_22F4</v>
      </c>
      <c r="B19" s="164">
        <v>2014</v>
      </c>
      <c r="C19" s="164">
        <v>10</v>
      </c>
      <c r="D19" s="164" t="s">
        <v>263</v>
      </c>
      <c r="E19" s="164">
        <v>22</v>
      </c>
      <c r="F19" s="164" t="s">
        <v>269</v>
      </c>
      <c r="G19" s="164" t="s">
        <v>264</v>
      </c>
      <c r="H19" s="169">
        <v>14000</v>
      </c>
      <c r="I19" s="169">
        <v>11680.23</v>
      </c>
      <c r="J19" s="166">
        <v>11394.47</v>
      </c>
      <c r="K19">
        <v>19586.82</v>
      </c>
    </row>
    <row r="20" spans="1:16">
      <c r="A20" s="163" t="str">
        <f t="shared" si="0"/>
        <v>201410_22IN</v>
      </c>
      <c r="B20" s="164">
        <v>2014</v>
      </c>
      <c r="C20" s="164">
        <v>10</v>
      </c>
      <c r="D20" s="164" t="s">
        <v>265</v>
      </c>
      <c r="E20" s="164">
        <v>22</v>
      </c>
      <c r="F20" s="164" t="s">
        <v>269</v>
      </c>
      <c r="G20" s="164" t="s">
        <v>266</v>
      </c>
      <c r="H20" s="169">
        <v>2000</v>
      </c>
      <c r="I20" s="169">
        <v>901.49</v>
      </c>
      <c r="J20" s="166">
        <v>2739.65</v>
      </c>
      <c r="K20">
        <v>2283.25</v>
      </c>
    </row>
    <row r="21" spans="1:16">
      <c r="A21" s="163" t="str">
        <f t="shared" si="0"/>
        <v>201410_22ME</v>
      </c>
      <c r="B21" s="164">
        <v>2014</v>
      </c>
      <c r="C21" s="164">
        <v>10</v>
      </c>
      <c r="D21" s="164" t="s">
        <v>267</v>
      </c>
      <c r="E21" s="164">
        <v>22</v>
      </c>
      <c r="F21" s="164" t="s">
        <v>269</v>
      </c>
      <c r="G21" s="164" t="s">
        <v>268</v>
      </c>
      <c r="H21" s="164">
        <v>179700</v>
      </c>
      <c r="I21" s="164">
        <v>189649.74</v>
      </c>
      <c r="J21" s="166">
        <v>184823</v>
      </c>
      <c r="K21">
        <v>7244.66</v>
      </c>
      <c r="L21">
        <v>12320.28</v>
      </c>
      <c r="M21">
        <v>40413.620000000003</v>
      </c>
      <c r="N21">
        <v>81751.59</v>
      </c>
      <c r="O21">
        <v>52814.16</v>
      </c>
      <c r="P21">
        <v>641.83000000000004</v>
      </c>
    </row>
    <row r="22" spans="1:16">
      <c r="A22" s="170" t="str">
        <f t="shared" si="0"/>
        <v>20154_316</v>
      </c>
      <c r="B22" s="171">
        <v>2015</v>
      </c>
      <c r="C22" s="171">
        <v>4</v>
      </c>
      <c r="D22" s="171" t="s">
        <v>258</v>
      </c>
      <c r="E22" s="171">
        <v>3</v>
      </c>
      <c r="F22" s="171" t="s">
        <v>259</v>
      </c>
      <c r="G22" s="171" t="s">
        <v>260</v>
      </c>
      <c r="H22" s="168">
        <v>10000</v>
      </c>
      <c r="I22" s="168">
        <v>7786.84</v>
      </c>
      <c r="J22" s="172">
        <f t="shared" ref="J22:J41" si="1">I22*100/H22</f>
        <v>77.868399999999994</v>
      </c>
    </row>
    <row r="23" spans="1:16">
      <c r="A23" s="170" t="str">
        <f t="shared" si="0"/>
        <v>20154_327</v>
      </c>
      <c r="B23" s="171">
        <v>2015</v>
      </c>
      <c r="C23" s="171">
        <v>4</v>
      </c>
      <c r="D23" s="171" t="s">
        <v>261</v>
      </c>
      <c r="E23" s="171">
        <v>3</v>
      </c>
      <c r="F23" s="171" t="s">
        <v>259</v>
      </c>
      <c r="G23" s="171" t="s">
        <v>262</v>
      </c>
      <c r="H23" s="168">
        <v>9000</v>
      </c>
      <c r="I23" s="168">
        <v>4674.43</v>
      </c>
      <c r="J23" s="172">
        <f t="shared" si="1"/>
        <v>51.938111111111112</v>
      </c>
    </row>
    <row r="24" spans="1:16">
      <c r="A24" s="170" t="str">
        <f t="shared" si="0"/>
        <v>20154_3F4</v>
      </c>
      <c r="B24" s="171">
        <v>2015</v>
      </c>
      <c r="C24" s="171">
        <v>4</v>
      </c>
      <c r="D24" s="171" t="s">
        <v>263</v>
      </c>
      <c r="E24" s="171">
        <v>3</v>
      </c>
      <c r="F24" s="171" t="s">
        <v>259</v>
      </c>
      <c r="G24" s="171" t="s">
        <v>270</v>
      </c>
      <c r="H24" s="168">
        <v>35000</v>
      </c>
      <c r="I24" s="168">
        <v>38778.980000000003</v>
      </c>
      <c r="J24" s="172">
        <f t="shared" si="1"/>
        <v>110.79708571428573</v>
      </c>
    </row>
    <row r="25" spans="1:16">
      <c r="A25" s="170" t="str">
        <f t="shared" si="0"/>
        <v>20154_3IN</v>
      </c>
      <c r="B25" s="171">
        <v>2015</v>
      </c>
      <c r="C25" s="171">
        <v>4</v>
      </c>
      <c r="D25" s="171" t="s">
        <v>265</v>
      </c>
      <c r="E25" s="171">
        <v>3</v>
      </c>
      <c r="F25" s="171" t="s">
        <v>259</v>
      </c>
      <c r="G25" s="66" t="s">
        <v>271</v>
      </c>
      <c r="H25" s="168">
        <v>2000</v>
      </c>
      <c r="I25" s="168">
        <v>1046.05</v>
      </c>
      <c r="J25" s="172">
        <f t="shared" si="1"/>
        <v>52.302500000000002</v>
      </c>
    </row>
    <row r="26" spans="1:16">
      <c r="A26" s="170" t="str">
        <f t="shared" si="0"/>
        <v>20154_3ME</v>
      </c>
      <c r="B26" s="171">
        <v>2015</v>
      </c>
      <c r="C26" s="171">
        <v>4</v>
      </c>
      <c r="D26" s="171" t="s">
        <v>267</v>
      </c>
      <c r="E26" s="171">
        <v>3</v>
      </c>
      <c r="F26" s="171" t="s">
        <v>259</v>
      </c>
      <c r="G26" s="171" t="s">
        <v>268</v>
      </c>
      <c r="H26" s="168">
        <v>170900</v>
      </c>
      <c r="I26" s="168">
        <v>123068.31</v>
      </c>
      <c r="J26" s="172">
        <f t="shared" si="1"/>
        <v>72.011884142773553</v>
      </c>
    </row>
    <row r="27" spans="1:16">
      <c r="A27" s="173" t="str">
        <f t="shared" si="0"/>
        <v>20154_2216</v>
      </c>
      <c r="B27" s="174">
        <v>2015</v>
      </c>
      <c r="C27" s="174">
        <v>4</v>
      </c>
      <c r="D27" s="174" t="s">
        <v>258</v>
      </c>
      <c r="E27" s="174">
        <v>22</v>
      </c>
      <c r="F27" s="174" t="s">
        <v>269</v>
      </c>
      <c r="G27" s="174" t="s">
        <v>260</v>
      </c>
      <c r="H27" s="175">
        <v>2000</v>
      </c>
      <c r="I27" s="175">
        <v>785.66</v>
      </c>
      <c r="J27" s="176">
        <f t="shared" si="1"/>
        <v>39.283000000000001</v>
      </c>
    </row>
    <row r="28" spans="1:16">
      <c r="A28" s="173" t="str">
        <f t="shared" si="0"/>
        <v>20154_2227</v>
      </c>
      <c r="B28" s="174">
        <v>2015</v>
      </c>
      <c r="C28" s="174">
        <v>4</v>
      </c>
      <c r="D28" s="174" t="s">
        <v>261</v>
      </c>
      <c r="E28" s="174">
        <v>22</v>
      </c>
      <c r="F28" s="174" t="s">
        <v>269</v>
      </c>
      <c r="G28" s="174" t="s">
        <v>262</v>
      </c>
      <c r="H28" s="175">
        <v>20000</v>
      </c>
      <c r="I28" s="175">
        <v>23057.74</v>
      </c>
      <c r="J28" s="176">
        <f t="shared" si="1"/>
        <v>115.28870000000001</v>
      </c>
    </row>
    <row r="29" spans="1:16">
      <c r="A29" s="173" t="str">
        <f t="shared" si="0"/>
        <v>20154_22F4</v>
      </c>
      <c r="B29" s="174">
        <v>2015</v>
      </c>
      <c r="C29" s="174">
        <v>4</v>
      </c>
      <c r="D29" s="174" t="s">
        <v>263</v>
      </c>
      <c r="E29" s="174">
        <v>22</v>
      </c>
      <c r="F29" s="174" t="s">
        <v>269</v>
      </c>
      <c r="G29" s="171" t="s">
        <v>270</v>
      </c>
      <c r="H29" s="175">
        <v>4000</v>
      </c>
      <c r="I29" s="175">
        <v>5474.41</v>
      </c>
      <c r="J29" s="176">
        <f t="shared" si="1"/>
        <v>136.86025000000001</v>
      </c>
    </row>
    <row r="30" spans="1:16">
      <c r="A30" s="173" t="str">
        <f t="shared" si="0"/>
        <v>20154_22IN</v>
      </c>
      <c r="B30" s="174">
        <v>2015</v>
      </c>
      <c r="C30" s="174">
        <v>4</v>
      </c>
      <c r="D30" s="174" t="s">
        <v>265</v>
      </c>
      <c r="E30" s="174">
        <v>22</v>
      </c>
      <c r="F30" s="174" t="s">
        <v>269</v>
      </c>
      <c r="G30" s="66" t="s">
        <v>271</v>
      </c>
      <c r="H30" s="175">
        <v>2000</v>
      </c>
      <c r="I30" s="175">
        <v>2222.4699999999998</v>
      </c>
      <c r="J30" s="176">
        <f t="shared" si="1"/>
        <v>111.12349999999998</v>
      </c>
    </row>
    <row r="31" spans="1:16">
      <c r="A31" s="173" t="str">
        <f t="shared" si="0"/>
        <v>20154_22ME</v>
      </c>
      <c r="B31" s="174">
        <v>2015</v>
      </c>
      <c r="C31" s="174">
        <v>4</v>
      </c>
      <c r="D31" s="174" t="s">
        <v>267</v>
      </c>
      <c r="E31" s="174">
        <v>22</v>
      </c>
      <c r="F31" s="174" t="s">
        <v>269</v>
      </c>
      <c r="G31" s="174" t="s">
        <v>268</v>
      </c>
      <c r="H31" s="175">
        <v>166000</v>
      </c>
      <c r="I31" s="175">
        <v>123559.95</v>
      </c>
      <c r="J31" s="176">
        <f t="shared" si="1"/>
        <v>74.433704819277111</v>
      </c>
    </row>
    <row r="32" spans="1:16">
      <c r="A32" s="170" t="str">
        <f t="shared" si="0"/>
        <v>20156_316</v>
      </c>
      <c r="B32" s="171">
        <v>2015</v>
      </c>
      <c r="C32" s="171">
        <v>6</v>
      </c>
      <c r="D32" s="171" t="s">
        <v>258</v>
      </c>
      <c r="E32" s="171">
        <v>3</v>
      </c>
      <c r="F32" s="171" t="s">
        <v>259</v>
      </c>
      <c r="G32" s="171" t="s">
        <v>260</v>
      </c>
      <c r="H32" s="177">
        <v>12000</v>
      </c>
      <c r="I32" s="177">
        <v>12743.75</v>
      </c>
      <c r="J32" s="172">
        <f t="shared" si="1"/>
        <v>106.19791666666667</v>
      </c>
    </row>
    <row r="33" spans="1:10">
      <c r="A33" s="170" t="str">
        <f t="shared" si="0"/>
        <v>20156_327</v>
      </c>
      <c r="B33" s="171">
        <v>2015</v>
      </c>
      <c r="C33" s="171">
        <v>6</v>
      </c>
      <c r="D33" s="171" t="s">
        <v>261</v>
      </c>
      <c r="E33" s="171">
        <v>3</v>
      </c>
      <c r="F33" s="171" t="s">
        <v>259</v>
      </c>
      <c r="G33" s="171" t="s">
        <v>262</v>
      </c>
      <c r="H33" s="177">
        <v>5000</v>
      </c>
      <c r="I33" s="177">
        <v>2862.66</v>
      </c>
      <c r="J33" s="172">
        <f t="shared" si="1"/>
        <v>57.2532</v>
      </c>
    </row>
    <row r="34" spans="1:10">
      <c r="A34" s="170" t="str">
        <f t="shared" si="0"/>
        <v>20156_3F4</v>
      </c>
      <c r="B34" s="171">
        <v>2015</v>
      </c>
      <c r="C34" s="171">
        <v>6</v>
      </c>
      <c r="D34" s="171" t="s">
        <v>263</v>
      </c>
      <c r="E34" s="171">
        <v>3</v>
      </c>
      <c r="F34" s="171" t="s">
        <v>259</v>
      </c>
      <c r="G34" s="171" t="s">
        <v>270</v>
      </c>
      <c r="H34" s="177">
        <v>30000</v>
      </c>
      <c r="I34" s="177">
        <v>33281.620000000003</v>
      </c>
      <c r="J34" s="172">
        <f t="shared" si="1"/>
        <v>110.93873333333335</v>
      </c>
    </row>
    <row r="35" spans="1:10">
      <c r="A35" s="170" t="str">
        <f t="shared" si="0"/>
        <v>20156_3IN</v>
      </c>
      <c r="B35" s="171">
        <v>2015</v>
      </c>
      <c r="C35" s="171">
        <v>6</v>
      </c>
      <c r="D35" s="171" t="s">
        <v>265</v>
      </c>
      <c r="E35" s="171">
        <v>3</v>
      </c>
      <c r="F35" s="171" t="s">
        <v>259</v>
      </c>
      <c r="G35" s="66" t="s">
        <v>271</v>
      </c>
      <c r="H35" s="177">
        <v>1000</v>
      </c>
      <c r="I35" s="177">
        <v>793.48</v>
      </c>
      <c r="J35" s="172">
        <f t="shared" si="1"/>
        <v>79.347999999999999</v>
      </c>
    </row>
    <row r="36" spans="1:10">
      <c r="A36" s="170" t="str">
        <f t="shared" si="0"/>
        <v>20156_3ME</v>
      </c>
      <c r="B36" s="171">
        <v>2015</v>
      </c>
      <c r="C36" s="171">
        <v>6</v>
      </c>
      <c r="D36" s="171" t="s">
        <v>267</v>
      </c>
      <c r="E36" s="171">
        <v>3</v>
      </c>
      <c r="F36" s="171" t="s">
        <v>259</v>
      </c>
      <c r="G36" s="171" t="s">
        <v>268</v>
      </c>
      <c r="H36" s="105">
        <v>176600</v>
      </c>
      <c r="I36" s="105">
        <v>155193.09</v>
      </c>
      <c r="J36" s="172">
        <f t="shared" si="1"/>
        <v>87.878306908267277</v>
      </c>
    </row>
    <row r="37" spans="1:10">
      <c r="A37" s="173" t="str">
        <f t="shared" si="0"/>
        <v>20156_2216</v>
      </c>
      <c r="B37" s="174">
        <v>2015</v>
      </c>
      <c r="C37" s="174">
        <v>6</v>
      </c>
      <c r="D37" s="174" t="s">
        <v>258</v>
      </c>
      <c r="E37" s="174">
        <v>22</v>
      </c>
      <c r="F37" s="174" t="s">
        <v>269</v>
      </c>
      <c r="G37" s="174" t="s">
        <v>260</v>
      </c>
      <c r="H37" s="178">
        <v>2500</v>
      </c>
      <c r="I37" s="178">
        <v>2959.39</v>
      </c>
      <c r="J37" s="176">
        <f t="shared" si="1"/>
        <v>118.37560000000001</v>
      </c>
    </row>
    <row r="38" spans="1:10">
      <c r="A38" s="173" t="str">
        <f t="shared" si="0"/>
        <v>20156_2227</v>
      </c>
      <c r="B38" s="174">
        <v>2015</v>
      </c>
      <c r="C38" s="174">
        <v>6</v>
      </c>
      <c r="D38" s="174" t="s">
        <v>261</v>
      </c>
      <c r="E38" s="174">
        <v>22</v>
      </c>
      <c r="F38" s="174" t="s">
        <v>269</v>
      </c>
      <c r="G38" s="174" t="s">
        <v>262</v>
      </c>
      <c r="H38" s="178">
        <v>22000</v>
      </c>
      <c r="I38" s="178">
        <v>23368.69</v>
      </c>
      <c r="J38" s="176">
        <f t="shared" si="1"/>
        <v>106.22131818181818</v>
      </c>
    </row>
    <row r="39" spans="1:10">
      <c r="A39" s="173" t="str">
        <f t="shared" si="0"/>
        <v>20156_22F4</v>
      </c>
      <c r="B39" s="174">
        <v>2015</v>
      </c>
      <c r="C39" s="174">
        <v>6</v>
      </c>
      <c r="D39" s="174" t="s">
        <v>263</v>
      </c>
      <c r="E39" s="174">
        <v>22</v>
      </c>
      <c r="F39" s="174" t="s">
        <v>269</v>
      </c>
      <c r="G39" s="171" t="s">
        <v>270</v>
      </c>
      <c r="H39" s="178">
        <v>4000</v>
      </c>
      <c r="I39" s="178">
        <v>4267.6000000000004</v>
      </c>
      <c r="J39" s="176">
        <f t="shared" si="1"/>
        <v>106.69000000000001</v>
      </c>
    </row>
    <row r="40" spans="1:10">
      <c r="A40" s="173" t="str">
        <f t="shared" si="0"/>
        <v>20156_22IN</v>
      </c>
      <c r="B40" s="174">
        <v>2015</v>
      </c>
      <c r="C40" s="174">
        <v>6</v>
      </c>
      <c r="D40" s="174" t="s">
        <v>265</v>
      </c>
      <c r="E40" s="174">
        <v>22</v>
      </c>
      <c r="F40" s="174" t="s">
        <v>269</v>
      </c>
      <c r="G40" s="66" t="s">
        <v>271</v>
      </c>
      <c r="H40" s="178">
        <v>2700</v>
      </c>
      <c r="I40" s="178">
        <v>2133.94</v>
      </c>
      <c r="J40" s="176">
        <f t="shared" si="1"/>
        <v>79.034814814814808</v>
      </c>
    </row>
    <row r="41" spans="1:10">
      <c r="A41" s="173" t="str">
        <f t="shared" si="0"/>
        <v>20156_22ME</v>
      </c>
      <c r="B41" s="174">
        <v>2015</v>
      </c>
      <c r="C41" s="174">
        <v>6</v>
      </c>
      <c r="D41" s="174" t="s">
        <v>267</v>
      </c>
      <c r="E41" s="174">
        <v>22</v>
      </c>
      <c r="F41" s="174" t="s">
        <v>269</v>
      </c>
      <c r="G41" s="174" t="s">
        <v>268</v>
      </c>
      <c r="H41">
        <v>137000</v>
      </c>
      <c r="I41">
        <v>172297.43</v>
      </c>
      <c r="J41" s="176">
        <f t="shared" si="1"/>
        <v>125.76454744525547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9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1" width="10.7109375" customWidth="1"/>
    <col min="2" max="2" width="14.42578125" customWidth="1"/>
    <col min="3" max="3" width="10.85546875" customWidth="1"/>
    <col min="4" max="4" width="2.85546875" customWidth="1"/>
    <col min="5" max="5" width="9.85546875" customWidth="1"/>
    <col min="6" max="6" width="8.42578125" customWidth="1"/>
    <col min="7" max="7" width="9.85546875" customWidth="1"/>
    <col min="8" max="8" width="10.28515625" customWidth="1"/>
    <col min="9" max="10" width="10.7109375" customWidth="1"/>
    <col min="11" max="11" width="13.140625" customWidth="1"/>
    <col min="12" max="12" width="13.28515625" customWidth="1"/>
    <col min="13" max="13" width="12.28515625" customWidth="1"/>
    <col min="14" max="14" width="12.7109375" customWidth="1"/>
    <col min="15" max="1025" width="10.710937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+CONCATENATE("20156_",I4)</f>
        <v>20156_34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80">
        <v>34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42552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>CESAR OVIEDO CARAZAS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IF(I4=2,80,85)</f>
        <v>85</v>
      </c>
      <c r="H12" s="182">
        <f>+H26</f>
        <v>40.370439973468933</v>
      </c>
      <c r="I12" s="181">
        <f>IF(H12&gt;=G12,E26*F12%,0)</f>
        <v>0</v>
      </c>
    </row>
    <row r="13" spans="1:9">
      <c r="A13" s="120" t="s">
        <v>125</v>
      </c>
      <c r="B13" s="120"/>
      <c r="C13" s="120"/>
      <c r="D13" s="120"/>
      <c r="E13" s="120"/>
      <c r="F13" s="182">
        <v>0.3</v>
      </c>
      <c r="G13" s="182">
        <f>IF(OR(I4=2,I4=7,I4=4,I4=22),10,5)</f>
        <v>5</v>
      </c>
      <c r="H13" s="182">
        <f>+H29</f>
        <v>6.4131745151474941</v>
      </c>
      <c r="I13" s="181">
        <f>+IF(H13&lt;=G13,E26*F13%,0)</f>
        <v>0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v>85</v>
      </c>
      <c r="H14" s="182">
        <f>+H33</f>
        <v>52.941176470588232</v>
      </c>
      <c r="I14" s="181">
        <f>IF(H14&gt;=G14,E26*F14%,0)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20"/>
      <c r="I15" s="181"/>
    </row>
    <row r="16" spans="1:9">
      <c r="A16" s="120" t="s">
        <v>274</v>
      </c>
      <c r="B16" s="120"/>
      <c r="C16" s="120"/>
      <c r="D16" s="120"/>
      <c r="E16" s="120"/>
      <c r="F16" s="371" t="s">
        <v>275</v>
      </c>
      <c r="G16" s="371"/>
      <c r="H16" s="372" t="s">
        <v>276</v>
      </c>
      <c r="I16" s="181"/>
    </row>
    <row r="17" spans="1:12">
      <c r="A17" s="120"/>
      <c r="B17" s="120"/>
      <c r="C17" s="120"/>
      <c r="D17" s="120"/>
      <c r="E17" s="120"/>
      <c r="F17" s="371" t="s">
        <v>277</v>
      </c>
      <c r="G17" s="371"/>
      <c r="H17" s="372"/>
      <c r="I17" s="373">
        <v>200</v>
      </c>
    </row>
    <row r="18" spans="1:12">
      <c r="A18" s="120"/>
      <c r="B18" s="81"/>
      <c r="C18" s="81"/>
      <c r="D18" s="81"/>
      <c r="E18" s="81"/>
      <c r="F18" s="371" t="s">
        <v>278</v>
      </c>
      <c r="G18" s="371"/>
      <c r="H18" s="372"/>
      <c r="I18" s="373"/>
    </row>
    <row r="19" spans="1:12">
      <c r="A19" s="120"/>
      <c r="B19" s="81"/>
      <c r="C19" s="81"/>
      <c r="D19" s="81"/>
      <c r="E19" s="81"/>
      <c r="F19" s="371" t="s">
        <v>279</v>
      </c>
      <c r="G19" s="371"/>
      <c r="H19" s="372"/>
      <c r="I19" s="82"/>
    </row>
    <row r="20" spans="1:12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12">
      <c r="A21" s="120"/>
      <c r="B21" s="84" t="str">
        <f>IF(I4=13,"Remuneracion Extra"," ")</f>
        <v xml:space="preserve"> </v>
      </c>
      <c r="C21" s="120"/>
      <c r="D21" s="120"/>
      <c r="E21" s="120"/>
      <c r="F21" s="120"/>
      <c r="G21" s="120"/>
      <c r="H21" s="120"/>
      <c r="I21" s="183"/>
      <c r="L21" s="146"/>
    </row>
    <row r="22" spans="1:12" ht="15.75">
      <c r="A22" s="184" t="s">
        <v>129</v>
      </c>
      <c r="B22" s="185"/>
      <c r="C22" s="185"/>
      <c r="D22" s="185"/>
      <c r="E22" s="185"/>
      <c r="F22" s="185"/>
      <c r="G22" s="185"/>
      <c r="H22" s="185"/>
      <c r="I22" s="186">
        <f>SUM(I10:I21)</f>
        <v>1450</v>
      </c>
      <c r="L22" s="146"/>
    </row>
    <row r="23" spans="1:12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2">
      <c r="A24" s="121" t="s">
        <v>130</v>
      </c>
      <c r="B24" s="121"/>
      <c r="C24" s="121"/>
      <c r="D24" s="121"/>
      <c r="E24" s="121"/>
      <c r="F24" s="121"/>
      <c r="G24" s="121"/>
      <c r="H24" s="121"/>
      <c r="I24" s="121"/>
    </row>
    <row r="25" spans="1:12">
      <c r="A25" s="121"/>
      <c r="B25" s="121" t="s">
        <v>131</v>
      </c>
      <c r="C25" s="121"/>
      <c r="D25" s="121"/>
      <c r="E25" s="187">
        <f>VLOOKUP(I4,AVANCEVENDEDOR!A2:R34,7,0)</f>
        <v>90460</v>
      </c>
      <c r="F25" s="187"/>
      <c r="G25" s="121"/>
      <c r="H25" s="121"/>
      <c r="I25" s="121"/>
    </row>
    <row r="26" spans="1:12">
      <c r="A26" s="121"/>
      <c r="B26" s="121" t="s">
        <v>132</v>
      </c>
      <c r="C26" s="121"/>
      <c r="D26" s="121"/>
      <c r="E26" s="187">
        <f>VLOOKUP(I4,AVANCEVENDEDOR!A2:R34,6,0)</f>
        <v>36519.1</v>
      </c>
      <c r="F26" s="187"/>
      <c r="G26" s="188" t="s">
        <v>133</v>
      </c>
      <c r="H26" s="187">
        <f>E26*100/E25</f>
        <v>40.370439973468933</v>
      </c>
      <c r="I26" s="121"/>
    </row>
    <row r="27" spans="1:12">
      <c r="A27" s="121"/>
      <c r="B27" s="121"/>
      <c r="C27" s="121"/>
      <c r="D27" s="121"/>
      <c r="E27" s="121"/>
      <c r="F27" s="121"/>
      <c r="G27" s="188"/>
      <c r="H27" s="121"/>
      <c r="I27" s="121"/>
    </row>
    <row r="28" spans="1:12">
      <c r="A28" s="121"/>
      <c r="B28" s="121" t="s">
        <v>134</v>
      </c>
      <c r="C28" s="121"/>
      <c r="D28" s="121"/>
      <c r="E28" s="187">
        <f>VLOOKUP(I4,AVANCEVENDEDOR!A2:R34,10,0)</f>
        <v>52905.78</v>
      </c>
      <c r="F28" s="187"/>
      <c r="G28" s="188"/>
      <c r="H28" s="121"/>
      <c r="I28" s="121"/>
    </row>
    <row r="29" spans="1:12">
      <c r="A29" s="121"/>
      <c r="B29" s="121" t="s">
        <v>135</v>
      </c>
      <c r="C29" s="121"/>
      <c r="D29" s="121"/>
      <c r="E29" s="187">
        <f>IF(I4=3,VLOOKUP(I4,AVANCEVENDEDOR!A2:R34,11,0),(VLOOKUP(I4,AVANCEVENDEDOR!A2:R34,11,0)))</f>
        <v>3392.94</v>
      </c>
      <c r="F29" s="187"/>
      <c r="G29" s="188" t="s">
        <v>136</v>
      </c>
      <c r="H29" s="187">
        <f>+E29*100/E28</f>
        <v>6.4131745151474941</v>
      </c>
      <c r="I29" s="121"/>
    </row>
    <row r="30" spans="1:12">
      <c r="A30" s="121"/>
      <c r="B30" s="121" t="s">
        <v>137</v>
      </c>
      <c r="C30" s="121"/>
      <c r="D30" s="121"/>
      <c r="E30" s="187">
        <f>VLOOKUP(I4,AVANCEVENDEDOR!A2:R34,9,0)</f>
        <v>40583.160000000003</v>
      </c>
      <c r="F30" s="187"/>
      <c r="G30" s="188"/>
      <c r="H30" s="121"/>
      <c r="I30" s="121"/>
    </row>
    <row r="31" spans="1:12">
      <c r="A31" s="121"/>
      <c r="B31" s="121"/>
      <c r="C31" s="121"/>
      <c r="D31" s="121"/>
      <c r="E31" s="121"/>
      <c r="F31" s="121"/>
      <c r="G31" s="188"/>
      <c r="H31" s="121"/>
      <c r="I31" s="121"/>
    </row>
    <row r="32" spans="1:12">
      <c r="A32" s="121"/>
      <c r="B32" s="121" t="s">
        <v>280</v>
      </c>
      <c r="C32" s="121"/>
      <c r="D32" s="121"/>
      <c r="E32" s="187">
        <f>VLOOKUP(I4,AVANCEVENDEDOR!A2:R34,13,0)</f>
        <v>85</v>
      </c>
      <c r="F32" s="187"/>
      <c r="G32" s="121"/>
      <c r="H32" s="187"/>
      <c r="I32" s="121"/>
    </row>
    <row r="33" spans="1:9">
      <c r="A33" s="121"/>
      <c r="B33" s="121" t="s">
        <v>281</v>
      </c>
      <c r="C33" s="121"/>
      <c r="D33" s="121"/>
      <c r="E33" s="187">
        <f>VLOOKUP(I4,AVANCEVENDEDOR!A2:R34,14,0)</f>
        <v>45</v>
      </c>
      <c r="F33" s="187"/>
      <c r="G33" s="188" t="s">
        <v>140</v>
      </c>
      <c r="H33" s="187">
        <f>+E33*100/E32</f>
        <v>52.941176470588232</v>
      </c>
      <c r="I33" s="121"/>
    </row>
    <row r="36" spans="1:9" hidden="1">
      <c r="F36">
        <v>99</v>
      </c>
    </row>
    <row r="37" spans="1:9" hidden="1">
      <c r="F37">
        <v>100</v>
      </c>
      <c r="G37">
        <v>100</v>
      </c>
    </row>
    <row r="38" spans="1:9" hidden="1">
      <c r="F38">
        <v>101</v>
      </c>
      <c r="G38">
        <v>100</v>
      </c>
    </row>
    <row r="39" spans="1:9" hidden="1">
      <c r="F39">
        <v>102</v>
      </c>
      <c r="G39">
        <v>100</v>
      </c>
    </row>
    <row r="40" spans="1:9" hidden="1">
      <c r="F40">
        <v>103</v>
      </c>
      <c r="G40">
        <v>100</v>
      </c>
    </row>
    <row r="41" spans="1:9" hidden="1">
      <c r="F41">
        <v>104</v>
      </c>
      <c r="G41">
        <v>100</v>
      </c>
    </row>
    <row r="42" spans="1:9" hidden="1">
      <c r="F42">
        <v>105</v>
      </c>
      <c r="G42">
        <v>100</v>
      </c>
    </row>
    <row r="43" spans="1:9" hidden="1">
      <c r="F43">
        <v>106</v>
      </c>
      <c r="G43">
        <v>200</v>
      </c>
    </row>
    <row r="44" spans="1:9" hidden="1">
      <c r="F44">
        <v>107</v>
      </c>
      <c r="G44">
        <v>200</v>
      </c>
    </row>
    <row r="45" spans="1:9" hidden="1">
      <c r="F45">
        <v>108</v>
      </c>
      <c r="G45">
        <v>200</v>
      </c>
    </row>
    <row r="46" spans="1:9" hidden="1">
      <c r="F46">
        <v>109</v>
      </c>
      <c r="G46">
        <v>200</v>
      </c>
    </row>
    <row r="47" spans="1:9" hidden="1">
      <c r="F47">
        <v>110</v>
      </c>
      <c r="G47">
        <v>200</v>
      </c>
    </row>
    <row r="48" spans="1:9" hidden="1">
      <c r="F48">
        <v>111</v>
      </c>
      <c r="G48">
        <v>200</v>
      </c>
    </row>
    <row r="49" spans="6:7" hidden="1">
      <c r="F49">
        <v>112</v>
      </c>
      <c r="G49">
        <v>200</v>
      </c>
    </row>
    <row r="50" spans="6:7" hidden="1">
      <c r="F50">
        <v>113</v>
      </c>
      <c r="G50">
        <v>200</v>
      </c>
    </row>
    <row r="51" spans="6:7" hidden="1">
      <c r="F51">
        <v>114</v>
      </c>
      <c r="G51">
        <v>200</v>
      </c>
    </row>
    <row r="52" spans="6:7" hidden="1">
      <c r="F52">
        <v>115</v>
      </c>
      <c r="G52">
        <v>300</v>
      </c>
    </row>
    <row r="53" spans="6:7" hidden="1">
      <c r="F53">
        <v>116</v>
      </c>
      <c r="G53">
        <v>300</v>
      </c>
    </row>
    <row r="54" spans="6:7" hidden="1">
      <c r="F54">
        <v>117</v>
      </c>
      <c r="G54">
        <v>300</v>
      </c>
    </row>
    <row r="55" spans="6:7" hidden="1">
      <c r="F55">
        <v>118</v>
      </c>
      <c r="G55">
        <v>300</v>
      </c>
    </row>
    <row r="56" spans="6:7" hidden="1">
      <c r="F56">
        <v>119</v>
      </c>
      <c r="G56">
        <v>300</v>
      </c>
    </row>
    <row r="57" spans="6:7" hidden="1">
      <c r="F57">
        <v>120</v>
      </c>
      <c r="G57">
        <v>300</v>
      </c>
    </row>
    <row r="58" spans="6:7" hidden="1">
      <c r="F58">
        <v>121</v>
      </c>
      <c r="G58">
        <v>400</v>
      </c>
    </row>
    <row r="59" spans="6:7" hidden="1">
      <c r="F59">
        <v>122</v>
      </c>
      <c r="G59">
        <v>400</v>
      </c>
    </row>
  </sheetData>
  <mergeCells count="6">
    <mergeCell ref="F16:G16"/>
    <mergeCell ref="H16:H19"/>
    <mergeCell ref="F17:G17"/>
    <mergeCell ref="I17:I18"/>
    <mergeCell ref="F18:G18"/>
    <mergeCell ref="F19:G19"/>
  </mergeCells>
  <pageMargins left="0.37013888888888902" right="0.4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5" width="9.140625" customWidth="1"/>
    <col min="6" max="6" width="12.28515625" customWidth="1"/>
    <col min="7" max="8" width="9.140625" customWidth="1"/>
    <col min="9" max="9" width="10.570312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20142_8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8</v>
      </c>
    </row>
    <row r="5" spans="1:9">
      <c r="A5" s="120" t="s">
        <v>282</v>
      </c>
      <c r="B5" s="120"/>
      <c r="C5" s="120"/>
      <c r="D5" s="120"/>
      <c r="E5" s="120"/>
      <c r="F5" s="120"/>
      <c r="G5" s="120"/>
      <c r="H5" s="120"/>
      <c r="I5" s="83">
        <v>42370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>APAZA YANA SANDRA</v>
      </c>
      <c r="D7" s="120"/>
      <c r="E7" s="120"/>
      <c r="F7" s="84" t="s">
        <v>283</v>
      </c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550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94.936183533036797</v>
      </c>
      <c r="I12" s="181">
        <f>IF(H12&gt;=G12,E24*F12%,0)</f>
        <v>1763.6019500000002</v>
      </c>
    </row>
    <row r="13" spans="1:9">
      <c r="A13" s="120" t="s">
        <v>125</v>
      </c>
      <c r="B13" s="120"/>
      <c r="C13" s="120"/>
      <c r="D13" s="120"/>
      <c r="E13" s="120"/>
      <c r="F13" s="182">
        <v>0.3</v>
      </c>
      <c r="G13" s="182">
        <f>IF(OR(I4=13,I4=7,I4=100,I4=2),10,5)</f>
        <v>5</v>
      </c>
      <c r="H13" s="182">
        <f>+H27</f>
        <v>7.1102212410431678</v>
      </c>
      <c r="I13" s="181">
        <f>+IF(H13&lt;=G13,E24*F13%,0)</f>
        <v>0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61.643835616438359</v>
      </c>
      <c r="I14" s="181">
        <f>IF(H14&gt;=G14,E24*F14%,0)</f>
        <v>0</v>
      </c>
    </row>
    <row r="15" spans="1:9">
      <c r="A15" s="120" t="s">
        <v>284</v>
      </c>
      <c r="B15" s="120"/>
      <c r="C15" s="120"/>
      <c r="D15" s="120"/>
      <c r="E15" s="120"/>
      <c r="F15" s="120">
        <f>VLOOKUP(I4,AVANCEVENDEDOR!A2:R34,16,0)</f>
        <v>58.904109589041099</v>
      </c>
      <c r="G15" s="120">
        <f>VLOOKUP(I4,AVANCEVENDEDOR!A2:R34,17,0)</f>
        <v>0</v>
      </c>
      <c r="H15" s="182">
        <f>VLOOKUP(I4,AVANCEVENDEDOR!A2:R34,18,0)</f>
        <v>0</v>
      </c>
      <c r="I15" s="181">
        <v>0</v>
      </c>
    </row>
    <row r="16" spans="1:9">
      <c r="A16" s="120" t="s">
        <v>285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128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129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2713.6019500000002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130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131</v>
      </c>
      <c r="C23" s="121"/>
      <c r="D23" s="121"/>
      <c r="E23" s="187">
        <f>AVANCEVENDEDOR!G9+AVANCEVENDEDOR!G11</f>
        <v>371534.2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132</v>
      </c>
      <c r="C24" s="121"/>
      <c r="D24" s="121"/>
      <c r="E24" s="187">
        <f>AVANCEVENDEDOR!F9+AVANCEVENDEDOR!F11</f>
        <v>352720.39</v>
      </c>
      <c r="F24" s="187"/>
      <c r="G24" s="188" t="s">
        <v>133</v>
      </c>
      <c r="H24" s="187">
        <f>E24*100/E23</f>
        <v>94.936183533036797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134</v>
      </c>
      <c r="C26" s="121"/>
      <c r="D26" s="121"/>
      <c r="E26" s="187">
        <f>AVANCEVENDEDOR!J9+AVANCEVENDEDOR!J11</f>
        <v>1038768.3799999999</v>
      </c>
      <c r="F26" s="187"/>
      <c r="G26" s="188"/>
      <c r="H26" s="121"/>
      <c r="I26" s="121"/>
    </row>
    <row r="27" spans="1:14">
      <c r="A27" s="121"/>
      <c r="B27" s="121" t="s">
        <v>135</v>
      </c>
      <c r="C27" s="121"/>
      <c r="D27" s="121"/>
      <c r="E27" s="187">
        <f>AVANCEVENDEDOR!K9+AVANCEVENDEDOR!K11</f>
        <v>73858.73</v>
      </c>
      <c r="F27" s="187"/>
      <c r="G27" s="188" t="s">
        <v>136</v>
      </c>
      <c r="H27" s="187">
        <f>E27*100/E26</f>
        <v>7.1102212410431678</v>
      </c>
      <c r="I27" s="121"/>
    </row>
    <row r="28" spans="1:14">
      <c r="A28" s="121"/>
      <c r="B28" s="121" t="s">
        <v>137</v>
      </c>
      <c r="C28" s="121"/>
      <c r="D28" s="121"/>
      <c r="E28" s="187">
        <f>AVANCEVENDEDOR!I9+AVANCEVENDEDOR!I11</f>
        <v>448550.12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280</v>
      </c>
      <c r="C30" s="121"/>
      <c r="D30" s="121"/>
      <c r="E30" s="187">
        <f>AVANCEVENDEDOR!M9+AVANCEVENDEDOR!M11</f>
        <v>146</v>
      </c>
      <c r="F30" s="187"/>
      <c r="G30" s="121"/>
      <c r="H30" s="187"/>
      <c r="I30" s="121"/>
    </row>
    <row r="31" spans="1:14">
      <c r="A31" s="121"/>
      <c r="B31" s="121" t="s">
        <v>281</v>
      </c>
      <c r="C31" s="121"/>
      <c r="D31" s="121"/>
      <c r="E31" s="187">
        <f>AVANCEVENDEDOR!N9+AVANCEVENDEDOR!N11</f>
        <v>90</v>
      </c>
      <c r="F31" s="187"/>
      <c r="G31" s="188" t="s">
        <v>140</v>
      </c>
      <c r="H31" s="187">
        <f>+E31*100/E30</f>
        <v>61.643835616438359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zoomScale="120" zoomScaleNormal="120" workbookViewId="0"/>
  </sheetViews>
  <sheetFormatPr baseColWidth="10" defaultColWidth="8.85546875" defaultRowHeight="15"/>
  <cols>
    <col min="1" max="8" width="9.140625" customWidth="1"/>
    <col min="9" max="9" width="10.570312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20142_11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11</v>
      </c>
    </row>
    <row r="5" spans="1:9">
      <c r="A5" s="120" t="s">
        <v>282</v>
      </c>
      <c r="B5" s="120"/>
      <c r="C5" s="120"/>
      <c r="D5" s="120"/>
      <c r="E5" s="120"/>
      <c r="F5" s="120"/>
      <c r="G5" s="120"/>
      <c r="H5" s="120"/>
      <c r="I5" s="83">
        <v>42552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 xml:space="preserve"> MILLA CHAMBI MARIA ELENA</v>
      </c>
      <c r="D7" s="120"/>
      <c r="E7" s="120"/>
      <c r="F7" s="84" t="s">
        <v>283</v>
      </c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100.08161932804768</v>
      </c>
      <c r="I12" s="181">
        <f>IF(H12&gt;=G12,E24*F12%,0)</f>
        <v>1382.2952499999999</v>
      </c>
    </row>
    <row r="13" spans="1:9">
      <c r="A13" s="120" t="s">
        <v>286</v>
      </c>
      <c r="B13" s="120"/>
      <c r="C13" s="120"/>
      <c r="D13" s="120"/>
      <c r="E13" s="120"/>
      <c r="F13" s="182">
        <v>0.3</v>
      </c>
      <c r="G13" s="182">
        <v>10</v>
      </c>
      <c r="H13" s="182">
        <f>+H27</f>
        <v>4.5356232328672377</v>
      </c>
      <c r="I13" s="181">
        <f>+IF(H13&lt;=G13,E24*F13%,0)</f>
        <v>829.37715000000003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56.25</v>
      </c>
      <c r="I14" s="181">
        <f>IF(H14&gt;=G14,E24*F14%,0)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82"/>
      <c r="I15" s="181"/>
    </row>
    <row r="16" spans="1:9">
      <c r="A16" s="120" t="s">
        <v>285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128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129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3461.6723999999999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130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131</v>
      </c>
      <c r="C23" s="121"/>
      <c r="D23" s="121"/>
      <c r="E23" s="187">
        <f>AVANCEVENDEDOR!G6+AVANCEVENDEDOR!G12</f>
        <v>276233.59000000003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132</v>
      </c>
      <c r="C24" s="121"/>
      <c r="D24" s="121"/>
      <c r="E24" s="187">
        <f>AVANCEVENDEDOR!F6+AVANCEVENDEDOR!F12</f>
        <v>276459.05</v>
      </c>
      <c r="F24" s="187"/>
      <c r="G24" s="188" t="s">
        <v>133</v>
      </c>
      <c r="H24" s="187">
        <f>E24*100/E23</f>
        <v>100.08161932804768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134</v>
      </c>
      <c r="C26" s="121"/>
      <c r="D26" s="121"/>
      <c r="E26" s="187">
        <f>AVANCEVENDEDOR!J6+AVANCEVENDEDOR!J12</f>
        <v>691894.11</v>
      </c>
      <c r="F26" s="187"/>
      <c r="G26" s="188"/>
      <c r="H26" s="121"/>
      <c r="I26" s="121"/>
    </row>
    <row r="27" spans="1:14">
      <c r="A27" s="121"/>
      <c r="B27" s="121" t="s">
        <v>135</v>
      </c>
      <c r="C27" s="121"/>
      <c r="D27" s="121"/>
      <c r="E27" s="187">
        <f>AVANCEVENDEDOR!K6+AVANCEVENDEDOR!K12</f>
        <v>31381.71</v>
      </c>
      <c r="F27" s="187"/>
      <c r="G27" s="188" t="s">
        <v>136</v>
      </c>
      <c r="H27" s="187">
        <f>E27*100/E26</f>
        <v>4.5356232328672377</v>
      </c>
      <c r="I27" s="121"/>
    </row>
    <row r="28" spans="1:14">
      <c r="A28" s="121"/>
      <c r="B28" s="121" t="s">
        <v>137</v>
      </c>
      <c r="C28" s="121"/>
      <c r="D28" s="121"/>
      <c r="E28" s="187">
        <f>AVANCEVENDEDOR!I6+AVANCEVENDEDOR!I12</f>
        <v>327057.65000000002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280</v>
      </c>
      <c r="C30" s="121"/>
      <c r="D30" s="121"/>
      <c r="E30" s="187">
        <f>AVANCEVENDEDOR!M6+AVANCEVENDEDOR!M12</f>
        <v>80</v>
      </c>
      <c r="F30" s="187"/>
      <c r="G30" s="121"/>
      <c r="H30" s="187"/>
      <c r="I30" s="121"/>
    </row>
    <row r="31" spans="1:14">
      <c r="A31" s="121"/>
      <c r="B31" s="121" t="s">
        <v>281</v>
      </c>
      <c r="C31" s="121"/>
      <c r="D31" s="121"/>
      <c r="E31" s="187">
        <f>AVANCEVENDEDOR!N6+AVANCEVENDEDOR!N12</f>
        <v>45</v>
      </c>
      <c r="F31" s="187"/>
      <c r="G31" s="188" t="s">
        <v>140</v>
      </c>
      <c r="H31" s="187">
        <f>+E31*100/E30</f>
        <v>56.25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zoomScale="120" zoomScaleNormal="120" workbookViewId="0">
      <selection activeCell="A15" sqref="A15"/>
    </sheetView>
  </sheetViews>
  <sheetFormatPr baseColWidth="10" defaultColWidth="8.85546875" defaultRowHeight="15"/>
  <cols>
    <col min="1" max="8" width="9.140625" customWidth="1"/>
    <col min="9" max="9" width="10.570312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20142_9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9</v>
      </c>
    </row>
    <row r="5" spans="1:9">
      <c r="A5" s="120" t="s">
        <v>282</v>
      </c>
      <c r="B5" s="120"/>
      <c r="C5" s="120"/>
      <c r="D5" s="120"/>
      <c r="E5" s="120"/>
      <c r="F5" s="120"/>
      <c r="G5" s="120"/>
      <c r="H5" s="120"/>
      <c r="I5" s="83">
        <v>42552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>ESPEJO RODRIGUEZ GABRIEL</v>
      </c>
      <c r="D7" s="120"/>
      <c r="E7" s="120"/>
      <c r="F7" s="84" t="s">
        <v>283</v>
      </c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92.020626719397669</v>
      </c>
      <c r="I12" s="181">
        <f>IF(H12&gt;=G12,E24*F12%,0)</f>
        <v>642.34635000000003</v>
      </c>
    </row>
    <row r="13" spans="1:9">
      <c r="A13" s="120" t="s">
        <v>125</v>
      </c>
      <c r="B13" s="120"/>
      <c r="C13" s="120"/>
      <c r="D13" s="120"/>
      <c r="E13" s="120"/>
      <c r="F13" s="182">
        <v>0.3</v>
      </c>
      <c r="G13" s="182">
        <f>IF(OR(I4=13,I4=7,I4=100,I4=2),10,5)</f>
        <v>5</v>
      </c>
      <c r="H13" s="182">
        <f>+H27</f>
        <v>13.931176782317326</v>
      </c>
      <c r="I13" s="181">
        <f>+IF(H13&lt;=G13,E24*F13%,0)</f>
        <v>0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50.769230769230766</v>
      </c>
      <c r="I14" s="181">
        <f>IF(H14&gt;=G14,E24*F14%,0)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82"/>
      <c r="I15" s="181"/>
    </row>
    <row r="16" spans="1:9">
      <c r="A16" s="120" t="s">
        <v>285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128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129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1892.34635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130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131</v>
      </c>
      <c r="C23" s="121"/>
      <c r="D23" s="121"/>
      <c r="E23" s="187">
        <f>AVANCEVENDEDOR!G10+AVANCEVENDEDOR!G32</f>
        <v>139609.21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132</v>
      </c>
      <c r="C24" s="121"/>
      <c r="D24" s="121"/>
      <c r="E24" s="187">
        <f>AVANCEVENDEDOR!F10+AVANCEVENDEDOR!F32</f>
        <v>128469.27</v>
      </c>
      <c r="F24" s="187"/>
      <c r="G24" s="188" t="s">
        <v>133</v>
      </c>
      <c r="H24" s="187">
        <f>E24*100/E23</f>
        <v>92.020626719397669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134</v>
      </c>
      <c r="C26" s="121"/>
      <c r="D26" s="121"/>
      <c r="E26" s="187">
        <f>AVANCEVENDEDOR!J10+AVANCEVENDEDOR!J32</f>
        <v>395290.44</v>
      </c>
      <c r="F26" s="187"/>
      <c r="G26" s="188"/>
      <c r="H26" s="121"/>
      <c r="I26" s="121"/>
    </row>
    <row r="27" spans="1:14">
      <c r="A27" s="121"/>
      <c r="B27" s="121" t="s">
        <v>135</v>
      </c>
      <c r="C27" s="121"/>
      <c r="D27" s="121"/>
      <c r="E27" s="187">
        <f>AVANCEVENDEDOR!K10+AVANCEVENDEDOR!K32</f>
        <v>55068.61</v>
      </c>
      <c r="F27" s="187"/>
      <c r="G27" s="188" t="s">
        <v>136</v>
      </c>
      <c r="H27" s="187">
        <f>E27*100/E26</f>
        <v>13.931176782317326</v>
      </c>
      <c r="I27" s="121"/>
    </row>
    <row r="28" spans="1:14">
      <c r="A28" s="121"/>
      <c r="B28" s="121" t="s">
        <v>137</v>
      </c>
      <c r="C28" s="121"/>
      <c r="D28" s="121"/>
      <c r="E28" s="187">
        <f>AVANCEVENDEDOR!I10+AVANCEVENDEDOR!I32</f>
        <v>147707.32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280</v>
      </c>
      <c r="C30" s="121"/>
      <c r="D30" s="121"/>
      <c r="E30" s="187">
        <f>AVANCEVENDEDOR!M10+AVANCEVENDEDOR!M32</f>
        <v>65</v>
      </c>
      <c r="F30" s="187"/>
      <c r="G30" s="121"/>
      <c r="H30" s="187"/>
      <c r="I30" s="121"/>
    </row>
    <row r="31" spans="1:14">
      <c r="A31" s="121"/>
      <c r="B31" s="121" t="s">
        <v>281</v>
      </c>
      <c r="C31" s="121"/>
      <c r="D31" s="121"/>
      <c r="E31" s="187">
        <f>AVANCEVENDEDOR!N10+AVANCEVENDEDOR!N32</f>
        <v>33</v>
      </c>
      <c r="F31" s="187"/>
      <c r="G31" s="188" t="s">
        <v>140</v>
      </c>
      <c r="H31" s="187">
        <f>+E31*100/E30</f>
        <v>50.769230769230766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20142_10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91">
        <v>10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42370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">
        <v>287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508.92944975230006</v>
      </c>
      <c r="I12" s="181">
        <f>IF(H12&gt;=G12,E24*F12%,0)</f>
        <v>575.29385000000002</v>
      </c>
    </row>
    <row r="13" spans="1:9">
      <c r="A13" s="120" t="s">
        <v>125</v>
      </c>
      <c r="B13" s="120"/>
      <c r="C13" s="120"/>
      <c r="D13" s="120"/>
      <c r="E13" s="120"/>
      <c r="F13" s="182">
        <v>0.3</v>
      </c>
      <c r="G13" s="182">
        <f>IF(OR(I4=13,I4=7,I4=100,I4=2),10,5)</f>
        <v>5</v>
      </c>
      <c r="H13" s="182">
        <f>+H27</f>
        <v>10.581588925983143</v>
      </c>
      <c r="I13" s="181">
        <f>+IF(H13&lt;=G13,E24*F13%,0)</f>
        <v>0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64.38356164383562</v>
      </c>
      <c r="I14" s="181">
        <f>IF(H14&gt;=G14,E24*F14%,0)</f>
        <v>0</v>
      </c>
    </row>
    <row r="15" spans="1:9">
      <c r="A15" s="120" t="s">
        <v>284</v>
      </c>
      <c r="B15" s="120"/>
      <c r="C15" s="120"/>
      <c r="D15" s="120"/>
      <c r="E15" s="120"/>
      <c r="F15" s="120">
        <f>VLOOKUP(I4,AVANCEVENDEDOR!A2:R34,16,0)</f>
        <v>64.38356164383562</v>
      </c>
      <c r="G15" s="120">
        <f>VLOOKUP(I4,AVANCEVENDEDOR!A2:R34,17,0)</f>
        <v>0</v>
      </c>
      <c r="H15" s="182">
        <f>VLOOKUP(I4,AVANCEVENDEDOR!A2:R34,18,0)</f>
        <v>0</v>
      </c>
      <c r="I15" s="181">
        <v>0</v>
      </c>
    </row>
    <row r="16" spans="1:9">
      <c r="A16" s="120" t="s">
        <v>285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128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129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575.29385000000002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130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131</v>
      </c>
      <c r="C23" s="121"/>
      <c r="D23" s="121"/>
      <c r="E23" s="187">
        <v>22608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132</v>
      </c>
      <c r="C24" s="121"/>
      <c r="D24" s="121"/>
      <c r="E24" s="187">
        <f>IF(I4=27,(VLOOKUP(I4,AVANCEVENDEDOR!A2:R34,6,0)-I1),(VLOOKUP(I4,AVANCEVENDEDOR!A2:R34,6,0)))</f>
        <v>115058.77</v>
      </c>
      <c r="F24" s="187"/>
      <c r="G24" s="188" t="s">
        <v>133</v>
      </c>
      <c r="H24" s="187">
        <f>E24*100/E23</f>
        <v>508.92944975230006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134</v>
      </c>
      <c r="C26" s="121"/>
      <c r="D26" s="121"/>
      <c r="E26" s="187">
        <f>VLOOKUP(I4,AVANCEVENDEDOR!A2:R34,10,0)</f>
        <v>336089.79</v>
      </c>
      <c r="F26" s="187"/>
      <c r="G26" s="188"/>
      <c r="H26" s="121"/>
      <c r="I26" s="121"/>
    </row>
    <row r="27" spans="1:14">
      <c r="A27" s="121"/>
      <c r="B27" s="121" t="s">
        <v>135</v>
      </c>
      <c r="C27" s="121"/>
      <c r="D27" s="121"/>
      <c r="E27" s="187">
        <f>VLOOKUP(I4,AVANCEVENDEDOR!A2:R34,11,0)</f>
        <v>35563.64</v>
      </c>
      <c r="F27" s="187"/>
      <c r="G27" s="188" t="s">
        <v>136</v>
      </c>
      <c r="H27" s="187">
        <f>E27*100/E26</f>
        <v>10.581588925983143</v>
      </c>
      <c r="I27" s="121"/>
    </row>
    <row r="28" spans="1:14">
      <c r="A28" s="121"/>
      <c r="B28" s="121" t="s">
        <v>137</v>
      </c>
      <c r="C28" s="121"/>
      <c r="D28" s="121"/>
      <c r="E28" s="187">
        <f>VLOOKUP(I4,AVANCEVENDEDOR!A2:R34,9,0)</f>
        <v>161610.26999999999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280</v>
      </c>
      <c r="C30" s="121"/>
      <c r="D30" s="121"/>
      <c r="E30" s="187">
        <f>VLOOKUP(I4,AVANCEVENDEDOR!A2:R34,13,0)</f>
        <v>73</v>
      </c>
      <c r="F30" s="187"/>
      <c r="G30" s="121"/>
      <c r="H30" s="187"/>
      <c r="I30" s="121"/>
    </row>
    <row r="31" spans="1:14">
      <c r="A31" s="121"/>
      <c r="B31" s="121" t="s">
        <v>281</v>
      </c>
      <c r="C31" s="121"/>
      <c r="D31" s="121"/>
      <c r="E31" s="187">
        <f>VLOOKUP(I4,AVANCEVENDEDOR!A2:R34,14,0)</f>
        <v>47</v>
      </c>
      <c r="F31" s="187"/>
      <c r="G31" s="188" t="s">
        <v>140</v>
      </c>
      <c r="H31" s="187">
        <f>+E31*100/E30</f>
        <v>64.38356164383562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2"/>
  <sheetViews>
    <sheetView zoomScale="120" zoomScaleNormal="120" workbookViewId="0">
      <selection activeCell="E24" sqref="E24"/>
    </sheetView>
  </sheetViews>
  <sheetFormatPr baseColWidth="10" defaultColWidth="8.85546875" defaultRowHeight="15"/>
  <cols>
    <col min="1" max="6" width="9.140625" customWidth="1"/>
    <col min="7" max="7" width="12.28515625" customWidth="1"/>
    <col min="8" max="8" width="9.140625" customWidth="1"/>
    <col min="9" max="9" width="10.2851562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20142_28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91">
        <v>28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42826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">
        <v>288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68.361468888552281</v>
      </c>
      <c r="I12" s="181">
        <f>IF(H12&gt;=G12,E25*F12%,0)</f>
        <v>0</v>
      </c>
    </row>
    <row r="13" spans="1:9">
      <c r="A13" s="120" t="s">
        <v>125</v>
      </c>
      <c r="B13" s="120"/>
      <c r="C13" s="120"/>
      <c r="D13" s="120"/>
      <c r="E13" s="120"/>
      <c r="F13" s="182">
        <v>0.3</v>
      </c>
      <c r="G13" s="182">
        <v>5</v>
      </c>
      <c r="H13" s="182">
        <f>+H28</f>
        <v>10.455899537334863</v>
      </c>
      <c r="I13" s="181">
        <f>+IF(H13&lt;=G13,E25*F13%,0)</f>
        <v>0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+H32</f>
        <v>37.254901960784316</v>
      </c>
      <c r="I14" s="181">
        <f>IF(H14&gt;=G14,E25*F14%,0)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82"/>
      <c r="I15" s="181"/>
    </row>
    <row r="16" spans="1:9">
      <c r="A16" s="120" t="s">
        <v>274</v>
      </c>
      <c r="B16" s="120"/>
      <c r="C16" s="120"/>
      <c r="D16" s="120"/>
      <c r="E16" s="120"/>
      <c r="F16" s="371" t="s">
        <v>275</v>
      </c>
      <c r="G16" s="371"/>
      <c r="H16" s="372" t="s">
        <v>276</v>
      </c>
      <c r="I16" s="181"/>
    </row>
    <row r="17" spans="1:14">
      <c r="A17" s="120"/>
      <c r="B17" s="120"/>
      <c r="C17" s="120"/>
      <c r="D17" s="120"/>
      <c r="E17" s="120"/>
      <c r="F17" s="371" t="s">
        <v>277</v>
      </c>
      <c r="G17" s="371"/>
      <c r="H17" s="372"/>
      <c r="I17" s="373">
        <f>IF(H28&lt;5.01,IF(H25&lt;100,0,IF(H25&gt;120,400,VLOOKUP(ROUND(H25,0),F35:G57,2))),0)</f>
        <v>0</v>
      </c>
    </row>
    <row r="18" spans="1:14">
      <c r="A18" s="120"/>
      <c r="B18" s="81"/>
      <c r="C18" s="81"/>
      <c r="D18" s="81"/>
      <c r="E18" s="81"/>
      <c r="F18" s="371" t="s">
        <v>278</v>
      </c>
      <c r="G18" s="371"/>
      <c r="H18" s="372"/>
      <c r="I18" s="373"/>
    </row>
    <row r="19" spans="1:14">
      <c r="A19" s="120"/>
      <c r="B19" s="81"/>
      <c r="C19" s="81"/>
      <c r="D19" s="81"/>
      <c r="E19" s="81"/>
      <c r="F19" s="371" t="s">
        <v>279</v>
      </c>
      <c r="G19" s="371"/>
      <c r="H19" s="372"/>
      <c r="I19" s="82"/>
    </row>
    <row r="20" spans="1:14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</row>
    <row r="21" spans="1:14" ht="15.75">
      <c r="A21" s="184" t="s">
        <v>129</v>
      </c>
      <c r="B21" s="185"/>
      <c r="C21" s="185"/>
      <c r="D21" s="185"/>
      <c r="E21" s="185"/>
      <c r="F21" s="185"/>
      <c r="G21" s="185"/>
      <c r="H21" s="185"/>
      <c r="I21" s="186">
        <f>SUM(I16+I15+I14+I13+I12+I11+I10)</f>
        <v>1250</v>
      </c>
    </row>
    <row r="22" spans="1:14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14">
      <c r="A23" s="121" t="s">
        <v>130</v>
      </c>
      <c r="B23" s="121"/>
      <c r="C23" s="121"/>
      <c r="D23" s="121"/>
      <c r="E23" s="121"/>
      <c r="F23" s="121"/>
      <c r="G23" s="121"/>
      <c r="H23" s="121"/>
      <c r="I23" s="121"/>
    </row>
    <row r="24" spans="1:14">
      <c r="A24" s="121"/>
      <c r="B24" s="121" t="s">
        <v>131</v>
      </c>
      <c r="C24" s="121"/>
      <c r="D24" s="121"/>
      <c r="E24" s="187">
        <f>AVANCEVENDEDOR!G27+AVANCEVENDEDOR!G28</f>
        <v>389519</v>
      </c>
      <c r="F24" s="187"/>
      <c r="G24" s="121"/>
      <c r="H24" s="121"/>
      <c r="I24" s="121"/>
      <c r="M24" s="150"/>
      <c r="N24" s="190"/>
    </row>
    <row r="25" spans="1:14">
      <c r="A25" s="121"/>
      <c r="B25" s="121" t="s">
        <v>132</v>
      </c>
      <c r="C25" s="121"/>
      <c r="D25" s="121"/>
      <c r="E25" s="187">
        <f>AVANCEVENDEDOR!F27+AVANCEVENDEDOR!F28</f>
        <v>266280.90999999997</v>
      </c>
      <c r="F25" s="187"/>
      <c r="G25" s="188" t="s">
        <v>133</v>
      </c>
      <c r="H25" s="187">
        <f>+E25*100/E24</f>
        <v>68.361468888552281</v>
      </c>
      <c r="I25" s="121"/>
      <c r="K25" s="122"/>
      <c r="L25" s="146"/>
    </row>
    <row r="26" spans="1:14">
      <c r="A26" s="121"/>
      <c r="B26" s="121"/>
      <c r="C26" s="121"/>
      <c r="D26" s="121"/>
      <c r="E26" s="121"/>
      <c r="F26" s="121"/>
      <c r="G26" s="188"/>
      <c r="H26" s="121"/>
      <c r="I26" s="121"/>
    </row>
    <row r="27" spans="1:14">
      <c r="A27" s="121"/>
      <c r="B27" s="121" t="s">
        <v>134</v>
      </c>
      <c r="C27" s="121"/>
      <c r="D27" s="121"/>
      <c r="E27" s="187">
        <f>AVANCEVENDEDOR!J27+AVANCEVENDEDOR!J28</f>
        <v>984554.40999999992</v>
      </c>
      <c r="F27" s="187"/>
      <c r="G27" s="188"/>
      <c r="H27" s="121"/>
      <c r="I27" s="121"/>
    </row>
    <row r="28" spans="1:14">
      <c r="A28" s="121"/>
      <c r="B28" s="121" t="s">
        <v>135</v>
      </c>
      <c r="C28" s="121"/>
      <c r="D28" s="121"/>
      <c r="E28" s="187">
        <f>AVANCEVENDEDOR!K27+AVANCEVENDEDOR!K28</f>
        <v>102944.01999999999</v>
      </c>
      <c r="F28" s="187"/>
      <c r="G28" s="188" t="s">
        <v>136</v>
      </c>
      <c r="H28" s="187">
        <f>E28*100/E27</f>
        <v>10.455899537334863</v>
      </c>
      <c r="I28" s="121"/>
    </row>
    <row r="29" spans="1:14">
      <c r="A29" s="121"/>
      <c r="B29" s="121" t="s">
        <v>137</v>
      </c>
      <c r="C29" s="121"/>
      <c r="D29" s="121"/>
      <c r="E29" s="187">
        <f>AVANCEVENDEDOR!I27+AVANCEVENDEDOR!I28</f>
        <v>455412.02</v>
      </c>
      <c r="F29" s="187"/>
      <c r="G29" s="188"/>
      <c r="H29" s="121"/>
      <c r="I29" s="121"/>
    </row>
    <row r="30" spans="1:14">
      <c r="A30" s="121"/>
      <c r="B30" s="121"/>
      <c r="C30" s="121"/>
      <c r="D30" s="121"/>
      <c r="E30" s="121"/>
      <c r="F30" s="121"/>
      <c r="G30" s="188"/>
      <c r="H30" s="121"/>
      <c r="I30" s="121"/>
    </row>
    <row r="31" spans="1:14">
      <c r="A31" s="121"/>
      <c r="B31" s="121" t="s">
        <v>280</v>
      </c>
      <c r="C31" s="121"/>
      <c r="D31" s="121"/>
      <c r="E31" s="187">
        <f>AVANCEVENDEDOR!M27+AVANCEVENDEDOR!M28</f>
        <v>153</v>
      </c>
      <c r="F31" s="187"/>
      <c r="G31" s="121"/>
      <c r="H31" s="187"/>
      <c r="I31" s="121"/>
    </row>
    <row r="32" spans="1:14">
      <c r="A32" s="121"/>
      <c r="B32" s="121" t="s">
        <v>281</v>
      </c>
      <c r="C32" s="121"/>
      <c r="D32" s="121"/>
      <c r="E32" s="187">
        <f>AVANCEVENDEDOR!N27+AVANCEVENDEDOR!N28</f>
        <v>57</v>
      </c>
      <c r="F32" s="187"/>
      <c r="G32" s="188" t="s">
        <v>140</v>
      </c>
      <c r="H32" s="187">
        <f>+E32*100/E31</f>
        <v>37.254901960784316</v>
      </c>
      <c r="I32" s="121"/>
    </row>
  </sheetData>
  <mergeCells count="6">
    <mergeCell ref="F16:G16"/>
    <mergeCell ref="H16:H19"/>
    <mergeCell ref="F17:G17"/>
    <mergeCell ref="I17:I18"/>
    <mergeCell ref="F18:G18"/>
    <mergeCell ref="F19:G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340"/>
  <sheetViews>
    <sheetView topLeftCell="A1184" zoomScale="91" zoomScaleNormal="91" workbookViewId="0">
      <selection activeCell="J1198" sqref="J1198"/>
    </sheetView>
  </sheetViews>
  <sheetFormatPr baseColWidth="10" defaultColWidth="8.85546875" defaultRowHeight="15"/>
  <cols>
    <col min="1" max="1" width="10.7109375" customWidth="1"/>
    <col min="2" max="2" width="20.85546875" bestFit="1" customWidth="1"/>
    <col min="3" max="3" width="6.85546875" customWidth="1"/>
    <col min="4" max="4" width="2.7109375" customWidth="1"/>
    <col min="5" max="5" width="9.140625" customWidth="1"/>
    <col min="6" max="6" width="6.140625" bestFit="1" customWidth="1"/>
    <col min="7" max="7" width="7.5703125" bestFit="1" customWidth="1"/>
    <col min="8" max="8" width="9.5703125" customWidth="1"/>
    <col min="9" max="9" width="9.42578125" bestFit="1" customWidth="1"/>
    <col min="10" max="10" width="10.7109375" customWidth="1"/>
    <col min="11" max="11" width="10.85546875" customWidth="1"/>
    <col min="12" max="12" width="10.5703125" customWidth="1"/>
    <col min="13" max="13" width="12.5703125" customWidth="1"/>
    <col min="14" max="1025" width="10.7109375" customWidth="1"/>
  </cols>
  <sheetData>
    <row r="1" spans="1:15">
      <c r="A1" s="84" t="s">
        <v>112</v>
      </c>
      <c r="B1" s="120"/>
      <c r="C1" s="120"/>
      <c r="D1" s="120"/>
      <c r="E1" s="120"/>
      <c r="F1" s="120"/>
      <c r="G1" s="120"/>
      <c r="H1" s="120"/>
      <c r="I1" s="189"/>
      <c r="J1" s="195"/>
      <c r="K1" s="195"/>
      <c r="L1" s="195"/>
      <c r="M1" s="195"/>
      <c r="N1" s="195"/>
      <c r="O1" s="195"/>
    </row>
    <row r="2" spans="1:15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</v>
      </c>
      <c r="J2" s="195"/>
      <c r="K2" s="195"/>
      <c r="L2" s="195"/>
      <c r="M2" s="195"/>
      <c r="N2" s="195"/>
      <c r="O2" s="195"/>
    </row>
    <row r="3" spans="1:15">
      <c r="A3" s="84" t="s">
        <v>114</v>
      </c>
      <c r="B3" s="120"/>
      <c r="C3" s="120"/>
      <c r="D3" s="120"/>
      <c r="E3" s="120"/>
      <c r="F3" s="120"/>
      <c r="G3" s="120"/>
      <c r="H3" s="120"/>
      <c r="I3" s="120"/>
      <c r="J3" s="195"/>
      <c r="K3" s="195"/>
      <c r="L3" s="195"/>
      <c r="M3" s="195"/>
      <c r="N3" s="195"/>
      <c r="O3" s="195"/>
    </row>
    <row r="4" spans="1:15">
      <c r="A4" s="120"/>
      <c r="B4" s="120"/>
      <c r="C4" s="120"/>
      <c r="D4" s="120"/>
      <c r="E4" s="120"/>
      <c r="F4" s="120"/>
      <c r="G4" s="120"/>
      <c r="H4" s="120"/>
      <c r="I4" s="191">
        <v>1</v>
      </c>
      <c r="J4" s="195"/>
      <c r="K4" s="195"/>
      <c r="L4" s="195"/>
      <c r="M4" s="195"/>
      <c r="N4" s="195"/>
      <c r="O4" s="195"/>
    </row>
    <row r="5" spans="1:15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43800</v>
      </c>
      <c r="J5" s="195"/>
      <c r="K5" s="195"/>
      <c r="L5" s="195"/>
      <c r="M5" s="195"/>
      <c r="N5" s="195"/>
      <c r="O5" s="195"/>
    </row>
    <row r="6" spans="1:15">
      <c r="A6" s="120"/>
      <c r="B6" s="120"/>
      <c r="C6" s="120"/>
      <c r="D6" s="120"/>
      <c r="E6" s="120"/>
      <c r="F6" s="120"/>
      <c r="G6" s="120"/>
      <c r="H6" s="120"/>
      <c r="I6" s="120"/>
      <c r="J6" s="195"/>
      <c r="K6" s="195"/>
      <c r="L6" s="195"/>
      <c r="M6" s="195"/>
      <c r="N6" s="195"/>
      <c r="O6" s="195"/>
    </row>
    <row r="7" spans="1:15">
      <c r="A7" s="120" t="s">
        <v>116</v>
      </c>
      <c r="B7" s="120"/>
      <c r="C7" s="84" t="str">
        <f>VLOOKUP(I4,AVANCEVENDEDOR!$A$2:$R$35,3,0)</f>
        <v>GAONA JUSCAMAYTA DAVID ELVIS</v>
      </c>
      <c r="D7" s="120"/>
      <c r="E7" s="120"/>
      <c r="F7" s="120"/>
      <c r="G7" s="120"/>
      <c r="H7" s="120"/>
      <c r="I7" s="120"/>
      <c r="J7" s="195"/>
      <c r="K7" s="195"/>
      <c r="L7" s="195"/>
      <c r="M7" s="195"/>
      <c r="N7" s="195"/>
      <c r="O7" s="195"/>
    </row>
    <row r="8" spans="1:15">
      <c r="A8" s="120"/>
      <c r="B8" s="120"/>
      <c r="C8" s="120"/>
      <c r="D8" s="120"/>
      <c r="E8" s="120"/>
      <c r="F8" s="120"/>
      <c r="G8" s="120"/>
      <c r="H8" s="120"/>
      <c r="I8" s="84" t="s">
        <v>118</v>
      </c>
      <c r="J8" s="195"/>
      <c r="K8" s="195"/>
      <c r="L8" s="195"/>
      <c r="M8" s="195"/>
      <c r="N8" s="195"/>
      <c r="O8" s="195"/>
    </row>
    <row r="9" spans="1:15">
      <c r="A9" s="120"/>
      <c r="B9" s="120"/>
      <c r="C9" s="120"/>
      <c r="D9" s="120"/>
      <c r="E9" s="120"/>
      <c r="F9" s="120"/>
      <c r="G9" s="120"/>
      <c r="H9" s="120"/>
      <c r="I9" s="120"/>
      <c r="J9" s="195"/>
      <c r="K9" s="195"/>
      <c r="L9" s="195"/>
      <c r="M9" s="195"/>
      <c r="N9" s="195"/>
      <c r="O9" s="195"/>
    </row>
    <row r="10" spans="1:15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850</v>
      </c>
      <c r="J10" s="195"/>
      <c r="K10" s="195"/>
      <c r="L10" s="195"/>
      <c r="M10" s="195"/>
      <c r="N10" s="195"/>
      <c r="O10" s="195"/>
    </row>
    <row r="11" spans="1:15" ht="20.25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  <c r="J11" s="195"/>
      <c r="K11" s="195"/>
      <c r="L11" s="195"/>
      <c r="M11" s="195"/>
      <c r="N11" s="195"/>
      <c r="O11" s="195"/>
    </row>
    <row r="12" spans="1:15">
      <c r="A12" s="120" t="s">
        <v>291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96.598912198458876</v>
      </c>
      <c r="I12" s="181">
        <f>IF(H12&gt;=G12,E25*F12%,0)</f>
        <v>827.85630000000003</v>
      </c>
      <c r="J12" s="195"/>
      <c r="K12" s="195"/>
      <c r="L12" s="195"/>
      <c r="M12" s="195"/>
      <c r="N12" s="195"/>
      <c r="O12" s="195"/>
    </row>
    <row r="13" spans="1:15">
      <c r="A13" s="120" t="str">
        <f>CONCATENATE("COM. MOROSIDAD AL ",G13,"%")</f>
        <v>COM. MOROSIDAD AL 5%</v>
      </c>
      <c r="B13" s="120"/>
      <c r="C13" s="120"/>
      <c r="D13" s="120"/>
      <c r="E13" s="120"/>
      <c r="F13" s="182">
        <v>0.3</v>
      </c>
      <c r="G13" s="182">
        <v>5</v>
      </c>
      <c r="H13" s="182">
        <f>+H28</f>
        <v>4.6500000000000004</v>
      </c>
      <c r="I13" s="196">
        <f>+IF(H13&lt;=G13,E25*F13%,0)</f>
        <v>496.71378000000004</v>
      </c>
      <c r="J13" s="195"/>
      <c r="K13" s="195"/>
      <c r="L13" s="195"/>
      <c r="M13" s="195"/>
      <c r="N13" s="195"/>
      <c r="O13" s="195"/>
    </row>
    <row r="14" spans="1:15">
      <c r="A14" s="120" t="s">
        <v>292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+H32</f>
        <v>88.297872340425528</v>
      </c>
      <c r="I14" s="181">
        <f>IF(H14&gt;=G14,E25*F14%,0)</f>
        <v>331.14252000000005</v>
      </c>
      <c r="J14" s="195"/>
      <c r="K14" s="195"/>
      <c r="L14" s="195"/>
      <c r="M14" s="195"/>
      <c r="N14" s="195"/>
      <c r="O14" s="195"/>
    </row>
    <row r="15" spans="1:15">
      <c r="A15" s="120" t="str">
        <f>IF(I4=23,"COMISION POR TIEMPODE VIAJE",IF(I4=22,"BONIFICACION"," "))</f>
        <v xml:space="preserve"> </v>
      </c>
      <c r="B15" s="120"/>
      <c r="C15" s="120"/>
      <c r="D15" s="120"/>
      <c r="E15" s="120"/>
      <c r="F15" s="120"/>
      <c r="G15" s="120"/>
      <c r="H15" s="182"/>
      <c r="I15" s="181" t="str">
        <f>IF(I4=23,300,IF(I4=22,400," "))</f>
        <v xml:space="preserve"> </v>
      </c>
      <c r="J15" s="195"/>
      <c r="K15" s="195"/>
      <c r="L15" s="195"/>
      <c r="M15" s="195"/>
      <c r="N15" s="195"/>
      <c r="O15" s="195"/>
    </row>
    <row r="16" spans="1:15">
      <c r="A16" s="189" t="s">
        <v>274</v>
      </c>
      <c r="B16" s="189"/>
      <c r="C16" s="189"/>
      <c r="D16" s="189"/>
      <c r="E16" s="189"/>
      <c r="F16" s="374" t="s">
        <v>275</v>
      </c>
      <c r="G16" s="374"/>
      <c r="H16" s="375" t="s">
        <v>276</v>
      </c>
      <c r="I16" s="193"/>
      <c r="J16" s="195"/>
      <c r="K16" s="195"/>
      <c r="L16" s="195"/>
      <c r="M16" s="195"/>
      <c r="N16" s="195"/>
      <c r="O16" s="195"/>
    </row>
    <row r="17" spans="1:15">
      <c r="A17" s="189"/>
      <c r="B17" s="189"/>
      <c r="C17" s="189"/>
      <c r="D17" s="189"/>
      <c r="E17" s="189"/>
      <c r="F17" s="374" t="s">
        <v>277</v>
      </c>
      <c r="G17" s="374"/>
      <c r="H17" s="375"/>
      <c r="I17" s="376">
        <v>0</v>
      </c>
      <c r="J17" s="195"/>
      <c r="K17" s="195"/>
      <c r="L17" s="195"/>
      <c r="M17" s="195"/>
      <c r="N17" s="195"/>
      <c r="O17" s="195"/>
    </row>
    <row r="18" spans="1:15">
      <c r="A18" s="189"/>
      <c r="B18" s="197"/>
      <c r="C18" s="197"/>
      <c r="D18" s="197"/>
      <c r="E18" s="197"/>
      <c r="F18" s="374" t="s">
        <v>278</v>
      </c>
      <c r="G18" s="374"/>
      <c r="H18" s="375"/>
      <c r="I18" s="376"/>
      <c r="J18" s="195"/>
      <c r="K18" s="195"/>
      <c r="L18" s="195"/>
      <c r="M18" s="195"/>
      <c r="N18" s="195"/>
      <c r="O18" s="195"/>
    </row>
    <row r="19" spans="1:15">
      <c r="A19" s="189"/>
      <c r="B19" s="197"/>
      <c r="C19" s="197"/>
      <c r="D19" s="197"/>
      <c r="E19" s="197"/>
      <c r="F19" s="374" t="s">
        <v>279</v>
      </c>
      <c r="G19" s="374"/>
      <c r="H19" s="375"/>
      <c r="I19" s="198"/>
      <c r="J19" s="195"/>
      <c r="K19" s="195"/>
      <c r="L19" s="195"/>
      <c r="M19" s="195"/>
      <c r="N19" s="195"/>
      <c r="O19" s="195"/>
    </row>
    <row r="20" spans="1:15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  <c r="J20" s="195"/>
      <c r="K20" s="195"/>
      <c r="L20" s="195"/>
      <c r="M20" s="195"/>
      <c r="N20" s="195"/>
      <c r="O20" s="195"/>
    </row>
    <row r="21" spans="1:15" ht="15.75">
      <c r="A21" s="184" t="s">
        <v>129</v>
      </c>
      <c r="B21" s="185"/>
      <c r="C21" s="185"/>
      <c r="D21" s="185"/>
      <c r="E21" s="185"/>
      <c r="F21" s="185"/>
      <c r="G21" s="185"/>
      <c r="H21" s="185"/>
      <c r="I21" s="186">
        <f>SUM(I10:I20)</f>
        <v>2905.7125999999998</v>
      </c>
      <c r="J21" s="195"/>
      <c r="K21" s="195"/>
      <c r="L21" s="195"/>
      <c r="M21" s="195"/>
      <c r="N21" s="195"/>
      <c r="O21" s="195"/>
    </row>
    <row r="22" spans="1:15">
      <c r="A22" s="120"/>
      <c r="B22" s="120"/>
      <c r="C22" s="120"/>
      <c r="D22" s="120"/>
      <c r="E22" s="120"/>
      <c r="F22" s="120"/>
      <c r="G22" s="120"/>
      <c r="H22" s="120"/>
      <c r="I22" s="120"/>
      <c r="J22" s="195"/>
      <c r="K22" s="195"/>
      <c r="L22" s="195"/>
      <c r="M22" s="195"/>
      <c r="N22" s="195"/>
      <c r="O22" s="195"/>
    </row>
    <row r="23" spans="1:15">
      <c r="A23" s="121" t="s">
        <v>130</v>
      </c>
      <c r="B23" s="121"/>
      <c r="C23" s="121"/>
      <c r="D23" s="121"/>
      <c r="E23" s="121"/>
      <c r="F23" s="121"/>
      <c r="G23" s="121"/>
      <c r="H23" s="121"/>
      <c r="I23" s="121"/>
      <c r="J23" s="195"/>
      <c r="K23" s="195"/>
      <c r="L23" s="195"/>
      <c r="M23" s="195"/>
      <c r="N23" s="195"/>
      <c r="O23" s="195"/>
    </row>
    <row r="24" spans="1:15">
      <c r="A24" s="121"/>
      <c r="B24" s="121" t="s">
        <v>131</v>
      </c>
      <c r="C24" s="121"/>
      <c r="D24" s="121"/>
      <c r="E24" s="187">
        <f>VLOOKUP(I4,AVANCEVENDEDOR!$A$2:$R$35,7,0)</f>
        <v>171400.75</v>
      </c>
      <c r="F24" s="187"/>
      <c r="G24" s="121"/>
      <c r="H24" s="121"/>
      <c r="I24" s="121"/>
      <c r="J24" s="195"/>
      <c r="K24" s="195"/>
      <c r="L24" s="195"/>
      <c r="M24" s="199"/>
      <c r="N24" s="200"/>
      <c r="O24" s="195"/>
    </row>
    <row r="25" spans="1:15">
      <c r="A25" s="121"/>
      <c r="B25" s="121" t="s">
        <v>132</v>
      </c>
      <c r="C25" s="121"/>
      <c r="D25" s="121"/>
      <c r="E25" s="187">
        <f>IF(I4=27,(VLOOKUP(I4,AVANCEVENDEDOR!$A$2:$R$35,6,0)-I1),(VLOOKUP(I4,AVANCEVENDEDOR!$A$2:$R$35,6,0)))</f>
        <v>165571.26</v>
      </c>
      <c r="F25" s="187"/>
      <c r="G25" s="188" t="s">
        <v>133</v>
      </c>
      <c r="H25" s="187">
        <f>+E25*100/E24</f>
        <v>96.598912198458876</v>
      </c>
      <c r="I25" s="121"/>
      <c r="J25" s="195"/>
      <c r="K25" s="121"/>
      <c r="L25" s="201"/>
      <c r="M25" s="195"/>
      <c r="N25" s="195"/>
      <c r="O25" s="195"/>
    </row>
    <row r="26" spans="1:15">
      <c r="A26" s="121"/>
      <c r="B26" s="121"/>
      <c r="C26" s="121"/>
      <c r="D26" s="121"/>
      <c r="E26" s="121"/>
      <c r="F26" s="121"/>
      <c r="G26" s="188"/>
      <c r="H26" s="121"/>
      <c r="I26" s="121"/>
      <c r="J26" s="195"/>
      <c r="K26" s="195"/>
      <c r="L26" s="195"/>
      <c r="M26" s="195"/>
      <c r="N26" s="195"/>
      <c r="O26" s="195"/>
    </row>
    <row r="27" spans="1:15">
      <c r="A27" s="121"/>
      <c r="B27" s="121" t="s">
        <v>134</v>
      </c>
      <c r="C27" s="121"/>
      <c r="D27" s="121"/>
      <c r="E27" s="187">
        <f>VLOOKUP(I4,AVANCEVENDEDOR!$A$2:$R$35,10,0)</f>
        <v>289721.56</v>
      </c>
      <c r="F27" s="187"/>
      <c r="G27" s="188"/>
      <c r="H27" s="121"/>
      <c r="I27" s="121"/>
      <c r="J27" s="195"/>
      <c r="K27" s="195"/>
      <c r="L27" s="195"/>
      <c r="M27" s="195"/>
      <c r="N27" s="195"/>
      <c r="O27" s="195"/>
    </row>
    <row r="28" spans="1:15">
      <c r="A28" s="121"/>
      <c r="B28" s="121" t="s">
        <v>135</v>
      </c>
      <c r="C28" s="121"/>
      <c r="D28" s="121"/>
      <c r="E28" s="187">
        <f>VLOOKUP(I4,AVANCEVENDEDOR!$A$2:$R$35,11,0)</f>
        <v>13477.84</v>
      </c>
      <c r="F28" s="187"/>
      <c r="G28" s="188" t="s">
        <v>136</v>
      </c>
      <c r="H28" s="187">
        <f>VLOOKUP(I4,AVANCEVENDEDOR!$A$2:$R$35,15,0)</f>
        <v>4.6500000000000004</v>
      </c>
      <c r="I28" s="121"/>
      <c r="J28" s="195"/>
      <c r="K28" s="195"/>
      <c r="L28" s="195"/>
      <c r="M28" s="195"/>
      <c r="N28" s="195"/>
      <c r="O28" s="195"/>
    </row>
    <row r="29" spans="1:15">
      <c r="A29" s="121"/>
      <c r="B29" s="121" t="s">
        <v>137</v>
      </c>
      <c r="C29" s="121"/>
      <c r="D29" s="121"/>
      <c r="E29" s="187">
        <f>VLOOKUP(I4,AVANCEVENDEDOR!$A$2:$R$35,9,0)</f>
        <v>208511.72</v>
      </c>
      <c r="F29" s="187"/>
      <c r="G29" s="188"/>
      <c r="H29" s="121"/>
      <c r="I29" s="121"/>
      <c r="J29" s="195"/>
      <c r="K29" s="195"/>
      <c r="L29" s="195"/>
      <c r="M29" s="195"/>
      <c r="N29" s="195"/>
      <c r="O29" s="195"/>
    </row>
    <row r="30" spans="1:15">
      <c r="A30" s="121"/>
      <c r="B30" s="121"/>
      <c r="C30" s="121"/>
      <c r="D30" s="121"/>
      <c r="E30" s="121"/>
      <c r="F30" s="121"/>
      <c r="G30" s="188"/>
      <c r="H30" s="121"/>
      <c r="I30" s="121"/>
      <c r="J30" s="195"/>
      <c r="K30" s="195"/>
      <c r="L30" s="195"/>
      <c r="M30" s="195"/>
      <c r="N30" s="195"/>
      <c r="O30" s="195"/>
    </row>
    <row r="31" spans="1:15">
      <c r="A31" s="121"/>
      <c r="B31" s="121" t="s">
        <v>280</v>
      </c>
      <c r="C31" s="121"/>
      <c r="D31" s="121"/>
      <c r="E31" s="187">
        <f>VLOOKUP(I4,AVANCEVENDEDOR!$A$2:$R$35,13,0)</f>
        <v>94</v>
      </c>
      <c r="F31" s="187"/>
      <c r="G31" s="121"/>
      <c r="H31" s="187"/>
      <c r="I31" s="121"/>
      <c r="J31" s="195"/>
      <c r="K31" s="195"/>
      <c r="L31" s="195"/>
      <c r="M31" s="195"/>
      <c r="N31" s="195"/>
      <c r="O31" s="195"/>
    </row>
    <row r="32" spans="1:15">
      <c r="A32" s="121"/>
      <c r="B32" s="121" t="s">
        <v>281</v>
      </c>
      <c r="C32" s="121"/>
      <c r="D32" s="121"/>
      <c r="E32" s="187">
        <f>VLOOKUP(I4,AVANCEVENDEDOR!$A$2:$R$35,14,0)</f>
        <v>83</v>
      </c>
      <c r="F32" s="187"/>
      <c r="G32" s="188" t="s">
        <v>140</v>
      </c>
      <c r="H32" s="187">
        <f>+E32*100/E31</f>
        <v>88.297872340425528</v>
      </c>
      <c r="I32" s="121"/>
      <c r="J32" s="195"/>
      <c r="K32" s="195"/>
      <c r="L32" s="195"/>
      <c r="M32" s="195"/>
      <c r="N32" s="195"/>
      <c r="O32" s="195"/>
    </row>
    <row r="33" spans="6:15">
      <c r="J33" s="195"/>
      <c r="K33" s="195"/>
      <c r="L33" s="195"/>
      <c r="M33" s="195"/>
      <c r="N33" s="195"/>
      <c r="O33" s="195"/>
    </row>
    <row r="34" spans="6:15" hidden="1">
      <c r="F34">
        <v>99</v>
      </c>
    </row>
    <row r="35" spans="6:15" hidden="1">
      <c r="F35">
        <v>100</v>
      </c>
      <c r="G35">
        <v>100</v>
      </c>
    </row>
    <row r="36" spans="6:15" hidden="1">
      <c r="F36">
        <v>101</v>
      </c>
      <c r="G36">
        <v>100</v>
      </c>
    </row>
    <row r="37" spans="6:15" hidden="1">
      <c r="F37">
        <v>102</v>
      </c>
      <c r="G37">
        <v>100</v>
      </c>
    </row>
    <row r="38" spans="6:15" hidden="1">
      <c r="F38">
        <v>103</v>
      </c>
      <c r="G38">
        <v>100</v>
      </c>
    </row>
    <row r="39" spans="6:15" hidden="1">
      <c r="F39">
        <v>104</v>
      </c>
      <c r="G39">
        <v>100</v>
      </c>
    </row>
    <row r="40" spans="6:15" hidden="1">
      <c r="F40">
        <v>105</v>
      </c>
      <c r="G40">
        <v>100</v>
      </c>
    </row>
    <row r="41" spans="6:15" hidden="1">
      <c r="F41">
        <v>106</v>
      </c>
      <c r="G41">
        <v>200</v>
      </c>
    </row>
    <row r="42" spans="6:15" hidden="1">
      <c r="F42">
        <v>107</v>
      </c>
      <c r="G42">
        <v>200</v>
      </c>
    </row>
    <row r="43" spans="6:15" hidden="1">
      <c r="F43">
        <v>108</v>
      </c>
      <c r="G43">
        <v>200</v>
      </c>
    </row>
    <row r="44" spans="6:15" hidden="1">
      <c r="F44">
        <v>109</v>
      </c>
      <c r="G44">
        <v>200</v>
      </c>
    </row>
    <row r="45" spans="6:15" hidden="1">
      <c r="F45">
        <v>110</v>
      </c>
      <c r="G45">
        <v>200</v>
      </c>
    </row>
    <row r="46" spans="6:15" hidden="1">
      <c r="F46">
        <v>111</v>
      </c>
      <c r="G46">
        <v>200</v>
      </c>
    </row>
    <row r="47" spans="6:15" hidden="1">
      <c r="F47">
        <v>112</v>
      </c>
      <c r="G47">
        <v>200</v>
      </c>
    </row>
    <row r="48" spans="6:15" hidden="1">
      <c r="F48">
        <v>113</v>
      </c>
      <c r="G48">
        <v>200</v>
      </c>
    </row>
    <row r="49" spans="6:7" hidden="1">
      <c r="F49">
        <v>114</v>
      </c>
      <c r="G49">
        <v>200</v>
      </c>
    </row>
    <row r="50" spans="6:7" hidden="1">
      <c r="F50">
        <v>115</v>
      </c>
      <c r="G50">
        <v>300</v>
      </c>
    </row>
    <row r="51" spans="6:7" hidden="1">
      <c r="F51">
        <v>116</v>
      </c>
      <c r="G51">
        <v>300</v>
      </c>
    </row>
    <row r="52" spans="6:7" hidden="1">
      <c r="F52">
        <v>117</v>
      </c>
      <c r="G52">
        <v>300</v>
      </c>
    </row>
    <row r="53" spans="6:7" hidden="1">
      <c r="F53">
        <v>118</v>
      </c>
      <c r="G53">
        <v>300</v>
      </c>
    </row>
    <row r="54" spans="6:7" hidden="1">
      <c r="F54">
        <v>119</v>
      </c>
      <c r="G54">
        <v>300</v>
      </c>
    </row>
    <row r="55" spans="6:7" hidden="1">
      <c r="F55">
        <v>120</v>
      </c>
      <c r="G55">
        <v>300</v>
      </c>
    </row>
    <row r="56" spans="6:7" hidden="1">
      <c r="F56">
        <v>121</v>
      </c>
      <c r="G56">
        <v>400</v>
      </c>
    </row>
    <row r="57" spans="6:7" hidden="1">
      <c r="F57">
        <v>122</v>
      </c>
      <c r="G57">
        <v>400</v>
      </c>
    </row>
    <row r="75" spans="1:15">
      <c r="A75" s="84" t="s">
        <v>112</v>
      </c>
      <c r="B75" s="120"/>
      <c r="C75" s="120"/>
      <c r="D75" s="120"/>
      <c r="E75" s="120"/>
      <c r="F75" s="120"/>
      <c r="G75" s="120"/>
      <c r="H75" s="120"/>
      <c r="I75" s="189"/>
      <c r="J75" s="195"/>
      <c r="K75" s="195"/>
      <c r="L75" s="195"/>
      <c r="M75" s="195"/>
      <c r="N75" s="195"/>
      <c r="O75" s="195"/>
    </row>
    <row r="76" spans="1:15">
      <c r="A76" s="84" t="s">
        <v>113</v>
      </c>
      <c r="B76" s="120"/>
      <c r="C76" s="120"/>
      <c r="D76" s="120"/>
      <c r="E76" s="120"/>
      <c r="F76" s="120"/>
      <c r="G76" s="120"/>
      <c r="H76" s="120"/>
      <c r="I76" s="179" t="str">
        <f>+CONCATENATE("20142_",I78)</f>
        <v>20142_2</v>
      </c>
      <c r="J76" s="195"/>
      <c r="K76" s="195"/>
      <c r="L76" s="195"/>
      <c r="M76" s="195"/>
      <c r="N76" s="195"/>
      <c r="O76" s="195"/>
    </row>
    <row r="77" spans="1:15">
      <c r="A77" s="84" t="s">
        <v>114</v>
      </c>
      <c r="B77" s="120"/>
      <c r="C77" s="120"/>
      <c r="D77" s="120"/>
      <c r="E77" s="120"/>
      <c r="F77" s="120"/>
      <c r="G77" s="120"/>
      <c r="H77" s="120"/>
      <c r="I77" s="120"/>
      <c r="J77" s="195"/>
      <c r="K77" s="195"/>
      <c r="L77" s="195"/>
      <c r="M77" s="195"/>
      <c r="N77" s="195"/>
      <c r="O77" s="195"/>
    </row>
    <row r="78" spans="1:15">
      <c r="A78" s="120"/>
      <c r="B78" s="120"/>
      <c r="C78" s="120"/>
      <c r="D78" s="120"/>
      <c r="E78" s="120"/>
      <c r="F78" s="120"/>
      <c r="G78" s="120"/>
      <c r="H78" s="120"/>
      <c r="I78" s="191">
        <v>2</v>
      </c>
      <c r="J78" s="195"/>
      <c r="K78" s="195"/>
      <c r="L78" s="195"/>
      <c r="M78" s="195"/>
      <c r="N78" s="195"/>
      <c r="O78" s="195"/>
    </row>
    <row r="79" spans="1:15">
      <c r="A79" s="120" t="s">
        <v>115</v>
      </c>
      <c r="B79" s="120"/>
      <c r="C79" s="120"/>
      <c r="D79" s="120"/>
      <c r="E79" s="120"/>
      <c r="F79" s="120"/>
      <c r="G79" s="120"/>
      <c r="H79" s="120"/>
      <c r="I79" s="83">
        <f>I5</f>
        <v>43800</v>
      </c>
      <c r="J79" s="195"/>
      <c r="K79" s="195"/>
      <c r="L79" s="195"/>
      <c r="M79" s="195"/>
      <c r="N79" s="195"/>
      <c r="O79" s="195"/>
    </row>
    <row r="80" spans="1:15">
      <c r="A80" s="120"/>
      <c r="B80" s="120"/>
      <c r="C80" s="120"/>
      <c r="D80" s="120"/>
      <c r="E80" s="120"/>
      <c r="F80" s="120"/>
      <c r="G80" s="120"/>
      <c r="H80" s="120"/>
      <c r="I80" s="120"/>
      <c r="J80" s="195"/>
      <c r="K80" s="195"/>
      <c r="L80" s="195"/>
      <c r="M80" s="195"/>
      <c r="N80" s="195"/>
      <c r="O80" s="195"/>
    </row>
    <row r="81" spans="1:15">
      <c r="A81" s="120" t="s">
        <v>116</v>
      </c>
      <c r="B81" s="120"/>
      <c r="C81" s="84" t="str">
        <f>VLOOKUP(I78,AVANCEVENDEDOR!$A$2:$R$35,3,0)</f>
        <v>ESCOBEDO DUANI</v>
      </c>
      <c r="D81" s="120"/>
      <c r="E81" s="120"/>
      <c r="F81" s="120"/>
      <c r="G81" s="120"/>
      <c r="H81" s="120"/>
      <c r="I81" s="120"/>
      <c r="J81" s="195"/>
      <c r="K81" s="195"/>
      <c r="L81" s="195"/>
      <c r="M81" s="195"/>
      <c r="N81" s="195"/>
      <c r="O81" s="195"/>
    </row>
    <row r="82" spans="1:15">
      <c r="A82" s="120"/>
      <c r="B82" s="120"/>
      <c r="C82" s="120"/>
      <c r="D82" s="120"/>
      <c r="E82" s="120"/>
      <c r="F82" s="120"/>
      <c r="G82" s="120"/>
      <c r="H82" s="120"/>
      <c r="I82" s="84" t="s">
        <v>118</v>
      </c>
      <c r="J82" s="195"/>
      <c r="K82" s="195"/>
      <c r="L82" s="195"/>
      <c r="M82" s="195"/>
      <c r="N82" s="195"/>
      <c r="O82" s="195"/>
    </row>
    <row r="83" spans="1:15">
      <c r="A83" s="120"/>
      <c r="B83" s="120"/>
      <c r="C83" s="120"/>
      <c r="D83" s="120"/>
      <c r="E83" s="120"/>
      <c r="F83" s="120"/>
      <c r="G83" s="120"/>
      <c r="H83" s="120"/>
      <c r="I83" s="120"/>
      <c r="J83" s="195"/>
      <c r="K83" s="195"/>
      <c r="L83" s="195"/>
      <c r="M83" s="195"/>
      <c r="N83" s="195"/>
      <c r="O83" s="195"/>
    </row>
    <row r="84" spans="1:15">
      <c r="A84" s="120" t="s">
        <v>119</v>
      </c>
      <c r="B84" s="120"/>
      <c r="C84" s="120"/>
      <c r="D84" s="120"/>
      <c r="E84" s="120"/>
      <c r="F84" s="120"/>
      <c r="G84" s="120"/>
      <c r="H84" s="120"/>
      <c r="I84" s="181">
        <v>850</v>
      </c>
      <c r="J84" s="195"/>
      <c r="K84" s="195"/>
      <c r="L84" s="195"/>
      <c r="M84" s="195"/>
      <c r="N84" s="195"/>
      <c r="O84" s="195"/>
    </row>
    <row r="85" spans="1:15" ht="20.25">
      <c r="A85" s="120" t="s">
        <v>120</v>
      </c>
      <c r="B85" s="120"/>
      <c r="C85" s="120"/>
      <c r="D85" s="120"/>
      <c r="E85" s="120"/>
      <c r="F85" s="86" t="s">
        <v>272</v>
      </c>
      <c r="G85" s="86" t="s">
        <v>122</v>
      </c>
      <c r="H85" s="86" t="s">
        <v>123</v>
      </c>
      <c r="I85" s="181">
        <v>400</v>
      </c>
      <c r="J85" s="195"/>
      <c r="K85" s="195"/>
      <c r="L85" s="195"/>
      <c r="M85" s="195"/>
      <c r="N85" s="195"/>
      <c r="O85" s="195"/>
    </row>
    <row r="86" spans="1:15">
      <c r="A86" s="120" t="s">
        <v>291</v>
      </c>
      <c r="B86" s="120"/>
      <c r="C86" s="120"/>
      <c r="D86" s="120"/>
      <c r="E86" s="120"/>
      <c r="F86" s="182">
        <v>0.5</v>
      </c>
      <c r="G86" s="182">
        <f>IF(I78=13,80,85)</f>
        <v>85</v>
      </c>
      <c r="H86" s="182">
        <f>+H99</f>
        <v>87.38500564167235</v>
      </c>
      <c r="I86" s="181">
        <f>IF(H86&gt;=G86,E99*F86%,0)</f>
        <v>703.13234999999997</v>
      </c>
      <c r="J86" s="195"/>
      <c r="K86" s="195"/>
      <c r="L86" s="195"/>
      <c r="M86" s="195"/>
      <c r="N86" s="195"/>
      <c r="O86" s="195"/>
    </row>
    <row r="87" spans="1:15">
      <c r="A87" s="120" t="str">
        <f>CONCATENATE("COM. MOROSIDAD AL ",G87,"%")</f>
        <v>COM. MOROSIDAD AL 5%</v>
      </c>
      <c r="B87" s="120"/>
      <c r="C87" s="120"/>
      <c r="D87" s="120"/>
      <c r="E87" s="120"/>
      <c r="F87" s="182">
        <v>0.3</v>
      </c>
      <c r="G87" s="182">
        <v>5</v>
      </c>
      <c r="H87" s="182">
        <f>+H102</f>
        <v>23.87</v>
      </c>
      <c r="I87" s="181">
        <f>+IF(H87&lt;=G87,E99*F87%,0)</f>
        <v>0</v>
      </c>
      <c r="J87" s="195"/>
      <c r="K87" s="195"/>
      <c r="L87" s="195"/>
      <c r="M87" s="195"/>
      <c r="N87" s="195"/>
      <c r="O87" s="195"/>
    </row>
    <row r="88" spans="1:15">
      <c r="A88" s="120" t="s">
        <v>292</v>
      </c>
      <c r="B88" s="120"/>
      <c r="C88" s="120"/>
      <c r="D88" s="120"/>
      <c r="E88" s="120"/>
      <c r="F88" s="182">
        <f>IF(I78=3,0.1,0.2)</f>
        <v>0.2</v>
      </c>
      <c r="G88" s="182">
        <f>IF(I78=23,50,85)</f>
        <v>85</v>
      </c>
      <c r="H88" s="182">
        <f>+H106</f>
        <v>54.285714285714285</v>
      </c>
      <c r="I88" s="181">
        <f>IF(H88&gt;=G88,E99*F88%,0)</f>
        <v>0</v>
      </c>
      <c r="J88" s="195"/>
      <c r="K88" s="195"/>
      <c r="L88" s="195"/>
      <c r="M88" s="195"/>
      <c r="N88" s="195"/>
      <c r="O88" s="195"/>
    </row>
    <row r="89" spans="1:15">
      <c r="A89" s="120" t="str">
        <f>IF(I78=23,"COMISION POR TIEMPODE VIAJE",IF(I78=22,"BONIFICACION"," "))</f>
        <v xml:space="preserve"> </v>
      </c>
      <c r="B89" s="120"/>
      <c r="C89" s="120"/>
      <c r="D89" s="120"/>
      <c r="E89" s="120"/>
      <c r="F89" s="120"/>
      <c r="G89" s="120"/>
      <c r="H89" s="182"/>
      <c r="I89" s="181" t="str">
        <f>IF(I78=23,300,IF(I78=22,400," "))</f>
        <v xml:space="preserve"> </v>
      </c>
      <c r="J89" s="195"/>
      <c r="K89" s="195"/>
      <c r="L89" s="195"/>
      <c r="M89" s="195"/>
      <c r="N89" s="195"/>
      <c r="O89" s="195"/>
    </row>
    <row r="90" spans="1:15">
      <c r="A90" s="189" t="s">
        <v>274</v>
      </c>
      <c r="B90" s="189"/>
      <c r="C90" s="189"/>
      <c r="D90" s="189"/>
      <c r="E90" s="189"/>
      <c r="F90" s="374" t="s">
        <v>275</v>
      </c>
      <c r="G90" s="374"/>
      <c r="H90" s="375" t="s">
        <v>276</v>
      </c>
      <c r="I90" s="193"/>
      <c r="J90" s="195"/>
      <c r="K90" s="195"/>
      <c r="L90" s="195"/>
      <c r="M90" s="195"/>
      <c r="N90" s="195"/>
      <c r="O90" s="195"/>
    </row>
    <row r="91" spans="1:15">
      <c r="A91" s="189"/>
      <c r="B91" s="189"/>
      <c r="C91" s="189"/>
      <c r="D91" s="189"/>
      <c r="E91" s="189"/>
      <c r="F91" s="374" t="s">
        <v>277</v>
      </c>
      <c r="G91" s="374"/>
      <c r="H91" s="375"/>
      <c r="I91" s="376">
        <v>0</v>
      </c>
      <c r="J91" s="195"/>
      <c r="K91" s="195"/>
      <c r="L91" s="195"/>
      <c r="M91" s="195"/>
      <c r="N91" s="195"/>
      <c r="O91" s="195"/>
    </row>
    <row r="92" spans="1:15">
      <c r="A92" s="189"/>
      <c r="B92" s="197"/>
      <c r="C92" s="197"/>
      <c r="D92" s="197"/>
      <c r="E92" s="197"/>
      <c r="F92" s="374" t="s">
        <v>278</v>
      </c>
      <c r="G92" s="374"/>
      <c r="H92" s="375"/>
      <c r="I92" s="376"/>
      <c r="J92" s="195"/>
      <c r="K92" s="195"/>
      <c r="L92" s="195"/>
      <c r="M92" s="195"/>
      <c r="N92" s="195"/>
      <c r="O92" s="195"/>
    </row>
    <row r="93" spans="1:15">
      <c r="A93" s="189"/>
      <c r="B93" s="197"/>
      <c r="C93" s="197"/>
      <c r="D93" s="197"/>
      <c r="E93" s="197"/>
      <c r="F93" s="374" t="s">
        <v>279</v>
      </c>
      <c r="G93" s="374"/>
      <c r="H93" s="375"/>
      <c r="I93" s="198"/>
      <c r="J93" s="195"/>
      <c r="K93" s="195"/>
      <c r="L93" s="195"/>
      <c r="M93" s="195"/>
      <c r="N93" s="195"/>
      <c r="O93" s="195"/>
    </row>
    <row r="94" spans="1:15">
      <c r="A94" s="120"/>
      <c r="B94" s="84" t="str">
        <f>IF(I78=13,"Remuneracion Extra"," ")</f>
        <v xml:space="preserve"> </v>
      </c>
      <c r="C94" s="120"/>
      <c r="D94" s="120"/>
      <c r="E94" s="120"/>
      <c r="F94" s="120"/>
      <c r="G94" s="120"/>
      <c r="H94" s="120"/>
      <c r="I94" s="183"/>
      <c r="J94" s="195"/>
      <c r="K94" s="195"/>
      <c r="L94" s="195"/>
      <c r="M94" s="195"/>
      <c r="N94" s="195"/>
      <c r="O94" s="195"/>
    </row>
    <row r="95" spans="1:15" ht="15.75">
      <c r="A95" s="184" t="s">
        <v>129</v>
      </c>
      <c r="B95" s="185"/>
      <c r="C95" s="185"/>
      <c r="D95" s="185"/>
      <c r="E95" s="185"/>
      <c r="F95" s="185"/>
      <c r="G95" s="185"/>
      <c r="H95" s="185"/>
      <c r="I95" s="186">
        <f>SUM(I84:I94)</f>
        <v>1953.1323499999999</v>
      </c>
      <c r="J95" s="195"/>
      <c r="K95" s="195"/>
      <c r="L95" s="195"/>
      <c r="M95" s="195"/>
      <c r="N95" s="195"/>
      <c r="O95" s="195"/>
    </row>
    <row r="96" spans="1:15">
      <c r="A96" s="120"/>
      <c r="B96" s="120"/>
      <c r="C96" s="120"/>
      <c r="D96" s="120"/>
      <c r="E96" s="120"/>
      <c r="F96" s="120"/>
      <c r="G96" s="120"/>
      <c r="H96" s="120"/>
      <c r="I96" s="120"/>
      <c r="J96" s="195"/>
      <c r="K96" s="195"/>
      <c r="L96" s="195"/>
      <c r="M96" s="195"/>
      <c r="N96" s="195"/>
      <c r="O96" s="195"/>
    </row>
    <row r="97" spans="1:15">
      <c r="A97" s="121" t="s">
        <v>130</v>
      </c>
      <c r="B97" s="121"/>
      <c r="C97" s="121"/>
      <c r="D97" s="121"/>
      <c r="E97" s="121"/>
      <c r="F97" s="121"/>
      <c r="G97" s="121"/>
      <c r="H97" s="121"/>
      <c r="I97" s="121"/>
      <c r="J97" s="195"/>
      <c r="K97" s="195"/>
      <c r="L97" s="195"/>
      <c r="M97" s="195"/>
      <c r="N97" s="195"/>
      <c r="O97" s="195"/>
    </row>
    <row r="98" spans="1:15">
      <c r="A98" s="121"/>
      <c r="B98" s="121" t="s">
        <v>131</v>
      </c>
      <c r="C98" s="121"/>
      <c r="D98" s="121"/>
      <c r="E98" s="187">
        <f>VLOOKUP(I78,AVANCEVENDEDOR!$A$2:$R$35,7,0)</f>
        <v>160927.46</v>
      </c>
      <c r="F98" s="187"/>
      <c r="G98" s="121"/>
      <c r="H98" s="121"/>
      <c r="I98" s="121"/>
      <c r="J98" s="195"/>
      <c r="K98" s="195"/>
      <c r="L98" s="195"/>
      <c r="M98" s="199"/>
      <c r="N98" s="200"/>
      <c r="O98" s="195"/>
    </row>
    <row r="99" spans="1:15">
      <c r="A99" s="121"/>
      <c r="B99" s="121" t="s">
        <v>132</v>
      </c>
      <c r="C99" s="121"/>
      <c r="D99" s="121"/>
      <c r="E99" s="187">
        <f>IF(I78=27,(VLOOKUP(I78,AVANCEVENDEDOR!$A$2:$R$35,6,0)-I75),(VLOOKUP(I78,AVANCEVENDEDOR!$A$2:$R$35,6,0)))</f>
        <v>140626.47</v>
      </c>
      <c r="F99" s="187"/>
      <c r="G99" s="188" t="s">
        <v>133</v>
      </c>
      <c r="H99" s="187">
        <f>+E99*100/E98</f>
        <v>87.38500564167235</v>
      </c>
      <c r="I99" s="121"/>
      <c r="J99" s="195"/>
      <c r="K99" s="121"/>
      <c r="L99" s="201"/>
      <c r="M99" s="195"/>
      <c r="N99" s="195"/>
      <c r="O99" s="195"/>
    </row>
    <row r="100" spans="1:15">
      <c r="A100" s="121"/>
      <c r="B100" s="121"/>
      <c r="C100" s="121"/>
      <c r="D100" s="121"/>
      <c r="E100" s="121"/>
      <c r="F100" s="121"/>
      <c r="G100" s="188"/>
      <c r="H100" s="121"/>
      <c r="I100" s="121"/>
      <c r="J100" s="195"/>
      <c r="K100" s="195"/>
      <c r="L100" s="195"/>
      <c r="M100" s="195"/>
      <c r="N100" s="195"/>
      <c r="O100" s="195"/>
    </row>
    <row r="101" spans="1:15">
      <c r="A101" s="121"/>
      <c r="B101" s="121" t="s">
        <v>134</v>
      </c>
      <c r="C101" s="121"/>
      <c r="D101" s="121"/>
      <c r="E101" s="187">
        <f>VLOOKUP(I78,AVANCEVENDEDOR!$A$2:$R$35,10,0)</f>
        <v>307761.62</v>
      </c>
      <c r="F101" s="187"/>
      <c r="G101" s="188"/>
      <c r="H101" s="121"/>
      <c r="I101" s="121"/>
      <c r="J101" s="195"/>
      <c r="K101" s="195"/>
      <c r="L101" s="195"/>
      <c r="M101" s="195"/>
      <c r="N101" s="195"/>
      <c r="O101" s="195"/>
    </row>
    <row r="102" spans="1:15">
      <c r="A102" s="121"/>
      <c r="B102" s="121" t="s">
        <v>135</v>
      </c>
      <c r="C102" s="121"/>
      <c r="D102" s="121"/>
      <c r="E102" s="187">
        <f>VLOOKUP(I78,AVANCEVENDEDOR!$A$2:$R$35,11,0)</f>
        <v>73480.81</v>
      </c>
      <c r="F102" s="187"/>
      <c r="G102" s="188" t="s">
        <v>136</v>
      </c>
      <c r="H102" s="187">
        <f>VLOOKUP(I78,AVANCEVENDEDOR!$A$2:$R$35,15,0)</f>
        <v>23.87</v>
      </c>
      <c r="I102" s="121"/>
      <c r="J102" s="195"/>
      <c r="K102" s="195"/>
      <c r="L102" s="195"/>
      <c r="M102" s="195"/>
      <c r="N102" s="195"/>
      <c r="O102" s="195"/>
    </row>
    <row r="103" spans="1:15">
      <c r="A103" s="121"/>
      <c r="B103" s="121" t="s">
        <v>137</v>
      </c>
      <c r="C103" s="121"/>
      <c r="D103" s="121"/>
      <c r="E103" s="187">
        <f>VLOOKUP(I78,AVANCEVENDEDOR!$A$2:$R$35,9,0)</f>
        <v>141097.16</v>
      </c>
      <c r="F103" s="187"/>
      <c r="G103" s="188"/>
      <c r="H103" s="121"/>
      <c r="I103" s="121"/>
      <c r="J103" s="195"/>
      <c r="K103" s="195"/>
      <c r="L103" s="195"/>
      <c r="M103" s="195"/>
      <c r="N103" s="195"/>
      <c r="O103" s="195"/>
    </row>
    <row r="104" spans="1:15">
      <c r="A104" s="121"/>
      <c r="B104" s="121"/>
      <c r="C104" s="121"/>
      <c r="D104" s="121"/>
      <c r="E104" s="121"/>
      <c r="F104" s="121"/>
      <c r="G104" s="188"/>
      <c r="H104" s="121"/>
      <c r="I104" s="121"/>
      <c r="J104" s="195"/>
      <c r="K104" s="195"/>
      <c r="L104" s="195"/>
      <c r="M104" s="195"/>
      <c r="N104" s="195"/>
      <c r="O104" s="195"/>
    </row>
    <row r="105" spans="1:15">
      <c r="A105" s="121"/>
      <c r="B105" s="121" t="s">
        <v>280</v>
      </c>
      <c r="C105" s="121"/>
      <c r="D105" s="121"/>
      <c r="E105" s="187">
        <f>VLOOKUP(I78,AVANCEVENDEDOR!$A$2:$R$35,13,0)</f>
        <v>105</v>
      </c>
      <c r="F105" s="187"/>
      <c r="G105" s="121"/>
      <c r="H105" s="187"/>
      <c r="I105" s="121"/>
      <c r="J105" s="195"/>
      <c r="K105" s="195"/>
      <c r="L105" s="195"/>
      <c r="M105" s="195"/>
      <c r="N105" s="195"/>
      <c r="O105" s="195"/>
    </row>
    <row r="106" spans="1:15">
      <c r="A106" s="121"/>
      <c r="B106" s="121" t="s">
        <v>281</v>
      </c>
      <c r="C106" s="121"/>
      <c r="D106" s="121"/>
      <c r="E106" s="187">
        <f>VLOOKUP(I78,AVANCEVENDEDOR!$A$2:$R$35,14,0)</f>
        <v>57</v>
      </c>
      <c r="F106" s="187"/>
      <c r="G106" s="188" t="s">
        <v>140</v>
      </c>
      <c r="H106" s="187">
        <f>+E106*100/E105</f>
        <v>54.285714285714285</v>
      </c>
      <c r="I106" s="121"/>
      <c r="J106" s="195"/>
      <c r="K106" s="195"/>
      <c r="L106" s="195"/>
      <c r="M106" s="195"/>
      <c r="N106" s="195"/>
      <c r="O106" s="195"/>
    </row>
    <row r="107" spans="1:15">
      <c r="J107" s="195"/>
      <c r="K107" s="195"/>
      <c r="L107" s="195"/>
      <c r="M107" s="195"/>
      <c r="N107" s="195"/>
      <c r="O107" s="195"/>
    </row>
    <row r="108" spans="1:15" hidden="1">
      <c r="F108">
        <v>99</v>
      </c>
    </row>
    <row r="109" spans="1:15" hidden="1">
      <c r="F109">
        <v>100</v>
      </c>
      <c r="G109">
        <v>100</v>
      </c>
    </row>
    <row r="110" spans="1:15" hidden="1">
      <c r="F110">
        <v>101</v>
      </c>
      <c r="G110">
        <v>100</v>
      </c>
    </row>
    <row r="111" spans="1:15" hidden="1">
      <c r="F111">
        <v>102</v>
      </c>
      <c r="G111">
        <v>100</v>
      </c>
    </row>
    <row r="112" spans="1:15" hidden="1">
      <c r="F112">
        <v>103</v>
      </c>
      <c r="G112">
        <v>100</v>
      </c>
    </row>
    <row r="113" spans="6:7" hidden="1">
      <c r="F113">
        <v>104</v>
      </c>
      <c r="G113">
        <v>100</v>
      </c>
    </row>
    <row r="114" spans="6:7" hidden="1">
      <c r="F114">
        <v>105</v>
      </c>
      <c r="G114">
        <v>100</v>
      </c>
    </row>
    <row r="115" spans="6:7" hidden="1">
      <c r="F115">
        <v>106</v>
      </c>
      <c r="G115">
        <v>200</v>
      </c>
    </row>
    <row r="116" spans="6:7" hidden="1">
      <c r="F116">
        <v>107</v>
      </c>
      <c r="G116">
        <v>200</v>
      </c>
    </row>
    <row r="117" spans="6:7" hidden="1">
      <c r="F117">
        <v>108</v>
      </c>
      <c r="G117">
        <v>200</v>
      </c>
    </row>
    <row r="118" spans="6:7" hidden="1">
      <c r="F118">
        <v>109</v>
      </c>
      <c r="G118">
        <v>200</v>
      </c>
    </row>
    <row r="119" spans="6:7" hidden="1">
      <c r="F119">
        <v>110</v>
      </c>
      <c r="G119">
        <v>200</v>
      </c>
    </row>
    <row r="120" spans="6:7" hidden="1">
      <c r="F120">
        <v>111</v>
      </c>
      <c r="G120">
        <v>200</v>
      </c>
    </row>
    <row r="121" spans="6:7" hidden="1">
      <c r="F121">
        <v>112</v>
      </c>
      <c r="G121">
        <v>200</v>
      </c>
    </row>
    <row r="122" spans="6:7" hidden="1">
      <c r="F122">
        <v>113</v>
      </c>
      <c r="G122">
        <v>200</v>
      </c>
    </row>
    <row r="123" spans="6:7" hidden="1">
      <c r="F123">
        <v>114</v>
      </c>
      <c r="G123">
        <v>200</v>
      </c>
    </row>
    <row r="124" spans="6:7" hidden="1">
      <c r="F124">
        <v>115</v>
      </c>
      <c r="G124">
        <v>300</v>
      </c>
    </row>
    <row r="125" spans="6:7" hidden="1">
      <c r="F125">
        <v>116</v>
      </c>
      <c r="G125">
        <v>300</v>
      </c>
    </row>
    <row r="126" spans="6:7" hidden="1">
      <c r="F126">
        <v>117</v>
      </c>
      <c r="G126">
        <v>300</v>
      </c>
    </row>
    <row r="127" spans="6:7" hidden="1">
      <c r="F127">
        <v>118</v>
      </c>
      <c r="G127">
        <v>300</v>
      </c>
    </row>
    <row r="128" spans="6:7" hidden="1">
      <c r="F128">
        <v>119</v>
      </c>
      <c r="G128">
        <v>300</v>
      </c>
    </row>
    <row r="129" spans="6:7" hidden="1">
      <c r="F129">
        <v>120</v>
      </c>
      <c r="G129">
        <v>300</v>
      </c>
    </row>
    <row r="130" spans="6:7" hidden="1">
      <c r="F130">
        <v>121</v>
      </c>
      <c r="G130">
        <v>400</v>
      </c>
    </row>
    <row r="131" spans="6:7" hidden="1">
      <c r="F131">
        <v>122</v>
      </c>
      <c r="G131">
        <v>400</v>
      </c>
    </row>
    <row r="149" spans="1:15">
      <c r="A149" s="84" t="s">
        <v>112</v>
      </c>
      <c r="B149" s="120"/>
      <c r="C149" s="120"/>
      <c r="D149" s="120"/>
      <c r="E149" s="120"/>
      <c r="F149" s="120"/>
      <c r="G149" s="120"/>
      <c r="H149" s="120"/>
      <c r="I149" s="189"/>
      <c r="J149" s="195"/>
      <c r="K149" s="195"/>
      <c r="L149" s="195"/>
      <c r="M149" s="195"/>
      <c r="N149" s="195"/>
      <c r="O149" s="195"/>
    </row>
    <row r="150" spans="1:15">
      <c r="A150" s="84" t="s">
        <v>113</v>
      </c>
      <c r="B150" s="120"/>
      <c r="C150" s="120"/>
      <c r="D150" s="120"/>
      <c r="E150" s="120"/>
      <c r="F150" s="120"/>
      <c r="G150" s="120"/>
      <c r="H150" s="120"/>
      <c r="I150" s="179" t="str">
        <f>+CONCATENATE("20142_",I152)</f>
        <v>20142_3</v>
      </c>
      <c r="J150" s="195"/>
      <c r="K150" s="195"/>
      <c r="L150" s="195"/>
      <c r="M150" s="195"/>
      <c r="N150" s="195"/>
      <c r="O150" s="195"/>
    </row>
    <row r="151" spans="1:15">
      <c r="A151" s="84" t="s">
        <v>114</v>
      </c>
      <c r="B151" s="120"/>
      <c r="C151" s="120"/>
      <c r="D151" s="120"/>
      <c r="E151" s="120"/>
      <c r="F151" s="120"/>
      <c r="G151" s="120"/>
      <c r="H151" s="120"/>
      <c r="I151" s="120"/>
      <c r="J151" s="195"/>
      <c r="K151" s="195"/>
      <c r="L151" s="195"/>
      <c r="M151" s="195"/>
      <c r="N151" s="195"/>
      <c r="O151" s="195"/>
    </row>
    <row r="152" spans="1:15">
      <c r="A152" s="120"/>
      <c r="B152" s="120"/>
      <c r="C152" s="120"/>
      <c r="D152" s="120"/>
      <c r="E152" s="120"/>
      <c r="F152" s="120"/>
      <c r="G152" s="120"/>
      <c r="H152" s="120"/>
      <c r="I152" s="191">
        <v>3</v>
      </c>
      <c r="J152" s="195"/>
      <c r="K152" s="195"/>
      <c r="L152" s="195"/>
      <c r="M152" s="195"/>
      <c r="N152" s="195"/>
      <c r="O152" s="195"/>
    </row>
    <row r="153" spans="1:15">
      <c r="A153" s="120" t="s">
        <v>115</v>
      </c>
      <c r="B153" s="120"/>
      <c r="C153" s="120"/>
      <c r="D153" s="120"/>
      <c r="E153" s="120"/>
      <c r="F153" s="120"/>
      <c r="G153" s="120"/>
      <c r="H153" s="120"/>
      <c r="I153" s="83">
        <f>I5</f>
        <v>43800</v>
      </c>
      <c r="J153" s="195"/>
      <c r="K153" s="195"/>
      <c r="L153" s="195"/>
      <c r="M153" s="195"/>
      <c r="N153" s="195"/>
      <c r="O153" s="195"/>
    </row>
    <row r="154" spans="1:15">
      <c r="A154" s="120"/>
      <c r="B154" s="120"/>
      <c r="C154" s="120"/>
      <c r="D154" s="120"/>
      <c r="E154" s="120"/>
      <c r="F154" s="120"/>
      <c r="G154" s="120"/>
      <c r="H154" s="120"/>
      <c r="I154" s="120"/>
      <c r="J154" s="195"/>
      <c r="K154" s="195"/>
      <c r="L154" s="195"/>
      <c r="M154" s="195"/>
      <c r="N154" s="195"/>
      <c r="O154" s="195"/>
    </row>
    <row r="155" spans="1:15">
      <c r="A155" s="120" t="s">
        <v>116</v>
      </c>
      <c r="B155" s="120"/>
      <c r="C155" s="84" t="str">
        <f>VLOOKUP(I152,AVANCEVENDEDOR!$A$2:$R$35,3,0)</f>
        <v>GARCIA GARCIA ROXANA</v>
      </c>
      <c r="D155" s="120"/>
      <c r="E155" s="120"/>
      <c r="F155" s="120"/>
      <c r="G155" s="120"/>
      <c r="H155" s="120"/>
      <c r="I155" s="120"/>
      <c r="J155" s="195"/>
      <c r="K155" s="195"/>
      <c r="L155" s="195"/>
      <c r="M155" s="195"/>
      <c r="N155" s="195"/>
      <c r="O155" s="195"/>
    </row>
    <row r="156" spans="1:15">
      <c r="A156" s="120"/>
      <c r="B156" s="120"/>
      <c r="C156" s="120"/>
      <c r="D156" s="120"/>
      <c r="E156" s="120"/>
      <c r="F156" s="120"/>
      <c r="G156" s="120"/>
      <c r="H156" s="120"/>
      <c r="I156" s="84" t="s">
        <v>118</v>
      </c>
      <c r="J156" s="195"/>
      <c r="K156" s="195"/>
      <c r="L156" s="195"/>
      <c r="M156" s="195"/>
      <c r="N156" s="195"/>
      <c r="O156" s="195"/>
    </row>
    <row r="157" spans="1:15">
      <c r="A157" s="120"/>
      <c r="B157" s="120"/>
      <c r="C157" s="120"/>
      <c r="D157" s="120"/>
      <c r="E157" s="120"/>
      <c r="F157" s="120"/>
      <c r="G157" s="120"/>
      <c r="H157" s="120"/>
      <c r="I157" s="120"/>
      <c r="J157" s="195"/>
      <c r="K157" s="195"/>
      <c r="L157" s="195"/>
      <c r="M157" s="195"/>
      <c r="N157" s="195"/>
      <c r="O157" s="195"/>
    </row>
    <row r="158" spans="1:15">
      <c r="A158" s="120" t="s">
        <v>119</v>
      </c>
      <c r="B158" s="120"/>
      <c r="C158" s="120"/>
      <c r="D158" s="120"/>
      <c r="E158" s="120"/>
      <c r="F158" s="120"/>
      <c r="G158" s="120"/>
      <c r="H158" s="120"/>
      <c r="I158" s="181">
        <v>930</v>
      </c>
      <c r="J158" s="195"/>
      <c r="K158" s="195"/>
      <c r="L158" s="195"/>
      <c r="M158" s="195"/>
      <c r="N158" s="195"/>
      <c r="O158" s="195"/>
    </row>
    <row r="159" spans="1:15" ht="20.25">
      <c r="A159" s="120" t="s">
        <v>120</v>
      </c>
      <c r="B159" s="120"/>
      <c r="C159" s="120"/>
      <c r="D159" s="120"/>
      <c r="E159" s="120"/>
      <c r="F159" s="86" t="s">
        <v>272</v>
      </c>
      <c r="G159" s="86" t="s">
        <v>122</v>
      </c>
      <c r="H159" s="86" t="s">
        <v>123</v>
      </c>
      <c r="I159" s="181">
        <v>400</v>
      </c>
      <c r="J159" s="195"/>
      <c r="K159" s="195"/>
      <c r="L159" s="195"/>
      <c r="M159" s="195"/>
      <c r="N159" s="195"/>
      <c r="O159" s="195"/>
    </row>
    <row r="160" spans="1:15">
      <c r="A160" s="120" t="s">
        <v>291</v>
      </c>
      <c r="B160" s="120"/>
      <c r="C160" s="120"/>
      <c r="D160" s="120"/>
      <c r="E160" s="120"/>
      <c r="F160" s="182">
        <v>0.5</v>
      </c>
      <c r="G160" s="182">
        <f>IF(I152=13,80,85)</f>
        <v>85</v>
      </c>
      <c r="H160" s="182">
        <f>+H173</f>
        <v>63.302902551287382</v>
      </c>
      <c r="I160" s="181">
        <f>IF(H160&gt;=G160,E173*F160%,0)</f>
        <v>0</v>
      </c>
      <c r="J160" s="195"/>
      <c r="K160" s="195"/>
      <c r="L160" s="195"/>
      <c r="M160" s="195"/>
      <c r="N160" s="195"/>
      <c r="O160" s="195"/>
    </row>
    <row r="161" spans="1:15">
      <c r="A161" s="120" t="str">
        <f>CONCATENATE("COM. MOROSIDAD AL ",G161,"%")</f>
        <v>COM. MOROSIDAD AL 5%</v>
      </c>
      <c r="B161" s="120"/>
      <c r="C161" s="120"/>
      <c r="D161" s="120"/>
      <c r="E161" s="120"/>
      <c r="F161" s="182">
        <v>0.3</v>
      </c>
      <c r="G161" s="182">
        <v>5</v>
      </c>
      <c r="H161" s="182">
        <f>+H176</f>
        <v>4</v>
      </c>
      <c r="I161" s="181">
        <f>+IF(H161&lt;=G161,E173*F161%,0)</f>
        <v>841.93400999999994</v>
      </c>
      <c r="J161" s="195"/>
      <c r="K161" s="195"/>
      <c r="L161" s="195"/>
      <c r="M161" s="195"/>
      <c r="N161" s="195"/>
      <c r="O161" s="195"/>
    </row>
    <row r="162" spans="1:15">
      <c r="A162" s="120" t="s">
        <v>292</v>
      </c>
      <c r="B162" s="120"/>
      <c r="C162" s="120"/>
      <c r="D162" s="120"/>
      <c r="E162" s="120"/>
      <c r="F162" s="182">
        <f>IF(I152=3,0.1,0.2)</f>
        <v>0.1</v>
      </c>
      <c r="G162" s="182">
        <f>IF(I152=23,50,85)</f>
        <v>85</v>
      </c>
      <c r="H162" s="182">
        <f>+H180</f>
        <v>93.333333333333329</v>
      </c>
      <c r="I162" s="181">
        <f>IF(H162&gt;=G162,E173*F162%,0)</f>
        <v>280.64466999999996</v>
      </c>
      <c r="J162" s="195"/>
      <c r="K162" s="195"/>
      <c r="L162" s="195"/>
      <c r="M162" s="195"/>
      <c r="N162" s="195"/>
      <c r="O162" s="195"/>
    </row>
    <row r="163" spans="1:15">
      <c r="A163" s="120" t="str">
        <f>IF(I152=23,"COMISION POR TIEMPODE VIAJE",IF(I152=22,"BONIFICACION"," "))</f>
        <v xml:space="preserve"> </v>
      </c>
      <c r="B163" s="120"/>
      <c r="C163" s="120"/>
      <c r="D163" s="120"/>
      <c r="E163" s="120"/>
      <c r="F163" s="120"/>
      <c r="G163" s="120"/>
      <c r="H163" s="182"/>
      <c r="I163" s="181" t="str">
        <f>IF(I152=23,300,IF(I152=22,400," "))</f>
        <v xml:space="preserve"> </v>
      </c>
      <c r="J163" s="195"/>
      <c r="K163" s="195"/>
      <c r="L163" s="195"/>
      <c r="M163" s="195"/>
      <c r="N163" s="195"/>
      <c r="O163" s="195"/>
    </row>
    <row r="164" spans="1:15">
      <c r="A164" s="189" t="s">
        <v>274</v>
      </c>
      <c r="B164" s="189"/>
      <c r="C164" s="189"/>
      <c r="D164" s="189"/>
      <c r="E164" s="189"/>
      <c r="F164" s="374" t="s">
        <v>275</v>
      </c>
      <c r="G164" s="374"/>
      <c r="H164" s="375" t="s">
        <v>276</v>
      </c>
      <c r="I164" s="193"/>
      <c r="J164" s="195"/>
      <c r="K164" s="195"/>
      <c r="L164" s="195"/>
      <c r="M164" s="195"/>
      <c r="N164" s="195"/>
      <c r="O164" s="195"/>
    </row>
    <row r="165" spans="1:15">
      <c r="A165" s="189"/>
      <c r="B165" s="189"/>
      <c r="C165" s="189"/>
      <c r="D165" s="189"/>
      <c r="E165" s="189"/>
      <c r="F165" s="374" t="s">
        <v>277</v>
      </c>
      <c r="G165" s="374"/>
      <c r="H165" s="375"/>
      <c r="I165" s="376">
        <v>0</v>
      </c>
      <c r="J165" s="195"/>
      <c r="K165" s="195"/>
      <c r="L165" s="195"/>
      <c r="M165" s="195"/>
      <c r="N165" s="195"/>
      <c r="O165" s="195"/>
    </row>
    <row r="166" spans="1:15">
      <c r="A166" s="189"/>
      <c r="B166" s="197"/>
      <c r="C166" s="197"/>
      <c r="D166" s="197"/>
      <c r="E166" s="197"/>
      <c r="F166" s="374" t="s">
        <v>278</v>
      </c>
      <c r="G166" s="374"/>
      <c r="H166" s="375"/>
      <c r="I166" s="376"/>
      <c r="J166" s="195"/>
      <c r="K166" s="195"/>
      <c r="L166" s="195"/>
      <c r="M166" s="195"/>
      <c r="N166" s="195"/>
      <c r="O166" s="195"/>
    </row>
    <row r="167" spans="1:15">
      <c r="A167" s="189"/>
      <c r="B167" s="197"/>
      <c r="C167" s="197"/>
      <c r="D167" s="197"/>
      <c r="E167" s="197"/>
      <c r="F167" s="374" t="s">
        <v>279</v>
      </c>
      <c r="G167" s="374"/>
      <c r="H167" s="375"/>
      <c r="I167" s="198"/>
      <c r="J167" s="195"/>
      <c r="K167" s="195"/>
      <c r="L167" s="195"/>
      <c r="M167" s="195"/>
      <c r="N167" s="195"/>
      <c r="O167" s="195"/>
    </row>
    <row r="168" spans="1:15">
      <c r="A168" s="120"/>
      <c r="B168" s="84" t="str">
        <f>IF(I152=13,"Remuneracion Extra"," ")</f>
        <v xml:space="preserve"> </v>
      </c>
      <c r="C168" s="120"/>
      <c r="D168" s="120"/>
      <c r="E168" s="120"/>
      <c r="F168" s="120"/>
      <c r="G168" s="120"/>
      <c r="H168" s="120"/>
      <c r="I168" s="183"/>
      <c r="J168" s="195"/>
      <c r="K168" s="195"/>
      <c r="L168" s="195"/>
      <c r="M168" s="195"/>
      <c r="N168" s="195"/>
      <c r="O168" s="195"/>
    </row>
    <row r="169" spans="1:15" ht="15.75">
      <c r="A169" s="184" t="s">
        <v>129</v>
      </c>
      <c r="B169" s="185"/>
      <c r="C169" s="185"/>
      <c r="D169" s="185"/>
      <c r="E169" s="185"/>
      <c r="F169" s="185"/>
      <c r="G169" s="185"/>
      <c r="H169" s="185"/>
      <c r="I169" s="186">
        <f>SUM(I158:I168)</f>
        <v>2452.5786800000001</v>
      </c>
      <c r="J169" s="195"/>
      <c r="K169" s="195"/>
      <c r="L169" s="195"/>
      <c r="M169" s="195"/>
      <c r="N169" s="195"/>
      <c r="O169" s="195"/>
    </row>
    <row r="170" spans="1:15">
      <c r="A170" s="120"/>
      <c r="B170" s="120"/>
      <c r="C170" s="120"/>
      <c r="D170" s="120"/>
      <c r="E170" s="120"/>
      <c r="F170" s="120"/>
      <c r="G170" s="120"/>
      <c r="H170" s="120"/>
      <c r="I170" s="120"/>
      <c r="J170" s="195"/>
      <c r="K170" s="195"/>
      <c r="L170" s="195"/>
      <c r="M170" s="195"/>
      <c r="N170" s="195"/>
      <c r="O170" s="195"/>
    </row>
    <row r="171" spans="1:15">
      <c r="A171" s="121" t="s">
        <v>130</v>
      </c>
      <c r="B171" s="121"/>
      <c r="C171" s="121"/>
      <c r="D171" s="121"/>
      <c r="E171" s="121"/>
      <c r="F171" s="121"/>
      <c r="G171" s="121"/>
      <c r="H171" s="121"/>
      <c r="I171" s="121"/>
      <c r="J171" s="195"/>
      <c r="K171" s="195"/>
      <c r="L171" s="195"/>
      <c r="M171" s="195"/>
      <c r="N171" s="195"/>
      <c r="O171" s="195"/>
    </row>
    <row r="172" spans="1:15">
      <c r="A172" s="121"/>
      <c r="B172" s="121" t="s">
        <v>131</v>
      </c>
      <c r="C172" s="121"/>
      <c r="D172" s="121"/>
      <c r="E172" s="187">
        <f>VLOOKUP(I152,AVANCEVENDEDOR!$A$2:$R$35,7,0)</f>
        <v>443336.18</v>
      </c>
      <c r="F172" s="187"/>
      <c r="G172" s="121"/>
      <c r="H172" s="121"/>
      <c r="I172" s="121"/>
      <c r="J172" s="195"/>
      <c r="K172" s="195"/>
      <c r="L172" s="195"/>
      <c r="M172" s="199"/>
      <c r="N172" s="200"/>
      <c r="O172" s="195"/>
    </row>
    <row r="173" spans="1:15">
      <c r="A173" s="121"/>
      <c r="B173" s="121" t="s">
        <v>132</v>
      </c>
      <c r="C173" s="121"/>
      <c r="D173" s="121"/>
      <c r="E173" s="187">
        <f>IF(I152=27,(VLOOKUP(I152,AVANCEVENDEDOR!$A$2:$R$35,6,0)-I149),(VLOOKUP(I152,AVANCEVENDEDOR!$A$2:$R$35,6,0)))</f>
        <v>280644.67</v>
      </c>
      <c r="F173" s="187"/>
      <c r="G173" s="188" t="s">
        <v>133</v>
      </c>
      <c r="H173" s="187">
        <f>+E173*100/E172</f>
        <v>63.302902551287382</v>
      </c>
      <c r="I173" s="121"/>
      <c r="J173" s="195"/>
      <c r="K173" s="121"/>
      <c r="L173" s="201"/>
      <c r="M173" s="195"/>
      <c r="N173" s="195"/>
      <c r="O173" s="195"/>
    </row>
    <row r="174" spans="1:15">
      <c r="A174" s="121"/>
      <c r="B174" s="121"/>
      <c r="C174" s="121"/>
      <c r="D174" s="121"/>
      <c r="E174" s="121"/>
      <c r="F174" s="121"/>
      <c r="G174" s="188"/>
      <c r="H174" s="121"/>
      <c r="I174" s="121"/>
      <c r="J174" s="195"/>
      <c r="K174" s="195"/>
      <c r="L174" s="195"/>
      <c r="M174" s="195"/>
      <c r="N174" s="195"/>
      <c r="O174" s="195"/>
    </row>
    <row r="175" spans="1:15">
      <c r="A175" s="121"/>
      <c r="B175" s="121" t="s">
        <v>134</v>
      </c>
      <c r="C175" s="121"/>
      <c r="D175" s="121"/>
      <c r="E175" s="187">
        <f>VLOOKUP(I152,AVANCEVENDEDOR!$A$2:$R$35,10,0)</f>
        <v>696268.14</v>
      </c>
      <c r="F175" s="187"/>
      <c r="G175" s="188"/>
      <c r="H175" s="121"/>
      <c r="I175" s="121"/>
      <c r="J175" s="195"/>
      <c r="K175" s="195"/>
      <c r="L175" s="195"/>
      <c r="M175" s="195"/>
      <c r="N175" s="195"/>
      <c r="O175" s="195"/>
    </row>
    <row r="176" spans="1:15">
      <c r="A176" s="121"/>
      <c r="B176" s="121" t="s">
        <v>135</v>
      </c>
      <c r="C176" s="121"/>
      <c r="D176" s="121"/>
      <c r="E176" s="187">
        <f>VLOOKUP(I152,AVANCEVENDEDOR!$A$2:$R$35,11,0)</f>
        <v>27826.86</v>
      </c>
      <c r="F176" s="187"/>
      <c r="G176" s="188" t="s">
        <v>136</v>
      </c>
      <c r="H176" s="187">
        <f>VLOOKUP(I152,AVANCEVENDEDOR!$A$2:$R$35,15,0)</f>
        <v>4</v>
      </c>
      <c r="I176" s="121"/>
      <c r="J176" s="195"/>
      <c r="K176" s="195"/>
      <c r="L176" s="195"/>
      <c r="M176" s="195"/>
      <c r="N176" s="195"/>
      <c r="O176" s="195"/>
    </row>
    <row r="177" spans="1:15">
      <c r="A177" s="121"/>
      <c r="B177" s="121" t="s">
        <v>137</v>
      </c>
      <c r="C177" s="121"/>
      <c r="D177" s="121"/>
      <c r="E177" s="187">
        <f>VLOOKUP(I152,AVANCEVENDEDOR!$A$2:$R$35,9,0)</f>
        <v>454604.1</v>
      </c>
      <c r="F177" s="187"/>
      <c r="G177" s="188"/>
      <c r="H177" s="121"/>
      <c r="I177" s="121"/>
      <c r="J177" s="195"/>
      <c r="K177" s="195"/>
      <c r="L177" s="195"/>
      <c r="M177" s="195"/>
      <c r="N177" s="195"/>
      <c r="O177" s="195"/>
    </row>
    <row r="178" spans="1:15">
      <c r="A178" s="121"/>
      <c r="B178" s="121"/>
      <c r="C178" s="121"/>
      <c r="D178" s="121"/>
      <c r="E178" s="121"/>
      <c r="F178" s="121"/>
      <c r="G178" s="188"/>
      <c r="H178" s="121"/>
      <c r="I178" s="121"/>
      <c r="J178" s="195"/>
      <c r="K178" s="195"/>
      <c r="L178" s="195"/>
      <c r="M178" s="195"/>
      <c r="N178" s="195"/>
      <c r="O178" s="195"/>
    </row>
    <row r="179" spans="1:15">
      <c r="A179" s="121"/>
      <c r="B179" s="121" t="s">
        <v>280</v>
      </c>
      <c r="C179" s="121"/>
      <c r="D179" s="121"/>
      <c r="E179" s="187">
        <f>VLOOKUP(I152,AVANCEVENDEDOR!$A$2:$R$35,13,0)</f>
        <v>15</v>
      </c>
      <c r="F179" s="187"/>
      <c r="G179" s="121"/>
      <c r="H179" s="187"/>
      <c r="I179" s="121"/>
      <c r="J179" s="195"/>
      <c r="K179" s="195"/>
      <c r="L179" s="195"/>
      <c r="M179" s="195"/>
      <c r="N179" s="195"/>
      <c r="O179" s="195"/>
    </row>
    <row r="180" spans="1:15">
      <c r="A180" s="121"/>
      <c r="B180" s="121" t="s">
        <v>281</v>
      </c>
      <c r="C180" s="121"/>
      <c r="D180" s="121"/>
      <c r="E180" s="187">
        <f>VLOOKUP(I152,AVANCEVENDEDOR!$A$2:$R$35,14,0)</f>
        <v>14</v>
      </c>
      <c r="F180" s="187"/>
      <c r="G180" s="188" t="s">
        <v>140</v>
      </c>
      <c r="H180" s="187">
        <f>+E180*100/E179</f>
        <v>93.333333333333329</v>
      </c>
      <c r="I180" s="121"/>
      <c r="J180" s="195"/>
      <c r="K180" s="195"/>
      <c r="L180" s="195"/>
      <c r="M180" s="195"/>
      <c r="N180" s="195"/>
      <c r="O180" s="195"/>
    </row>
    <row r="181" spans="1:15">
      <c r="J181" s="195"/>
      <c r="K181" s="195"/>
      <c r="L181" s="195"/>
      <c r="M181" s="195"/>
      <c r="N181" s="195"/>
      <c r="O181" s="195"/>
    </row>
    <row r="182" spans="1:15" hidden="1">
      <c r="F182">
        <v>99</v>
      </c>
    </row>
    <row r="183" spans="1:15" hidden="1">
      <c r="F183">
        <v>100</v>
      </c>
      <c r="G183">
        <v>100</v>
      </c>
    </row>
    <row r="184" spans="1:15" hidden="1">
      <c r="F184">
        <v>101</v>
      </c>
      <c r="G184">
        <v>100</v>
      </c>
    </row>
    <row r="185" spans="1:15" hidden="1">
      <c r="F185">
        <v>102</v>
      </c>
      <c r="G185">
        <v>100</v>
      </c>
    </row>
    <row r="186" spans="1:15" hidden="1">
      <c r="F186">
        <v>103</v>
      </c>
      <c r="G186">
        <v>100</v>
      </c>
    </row>
    <row r="187" spans="1:15" hidden="1">
      <c r="F187">
        <v>104</v>
      </c>
      <c r="G187">
        <v>100</v>
      </c>
    </row>
    <row r="188" spans="1:15" hidden="1">
      <c r="F188">
        <v>105</v>
      </c>
      <c r="G188">
        <v>100</v>
      </c>
    </row>
    <row r="189" spans="1:15" hidden="1">
      <c r="F189">
        <v>106</v>
      </c>
      <c r="G189">
        <v>200</v>
      </c>
    </row>
    <row r="190" spans="1:15" hidden="1">
      <c r="F190">
        <v>107</v>
      </c>
      <c r="G190">
        <v>200</v>
      </c>
    </row>
    <row r="191" spans="1:15" hidden="1">
      <c r="F191">
        <v>108</v>
      </c>
      <c r="G191">
        <v>200</v>
      </c>
    </row>
    <row r="192" spans="1:15" hidden="1">
      <c r="F192">
        <v>109</v>
      </c>
      <c r="G192">
        <v>200</v>
      </c>
    </row>
    <row r="193" spans="6:7" hidden="1">
      <c r="F193">
        <v>110</v>
      </c>
      <c r="G193">
        <v>200</v>
      </c>
    </row>
    <row r="194" spans="6:7" hidden="1">
      <c r="F194">
        <v>111</v>
      </c>
      <c r="G194">
        <v>200</v>
      </c>
    </row>
    <row r="195" spans="6:7" hidden="1">
      <c r="F195">
        <v>112</v>
      </c>
      <c r="G195">
        <v>200</v>
      </c>
    </row>
    <row r="196" spans="6:7" hidden="1">
      <c r="F196">
        <v>113</v>
      </c>
      <c r="G196">
        <v>200</v>
      </c>
    </row>
    <row r="197" spans="6:7" hidden="1">
      <c r="F197">
        <v>114</v>
      </c>
      <c r="G197">
        <v>200</v>
      </c>
    </row>
    <row r="198" spans="6:7" hidden="1">
      <c r="F198">
        <v>115</v>
      </c>
      <c r="G198">
        <v>300</v>
      </c>
    </row>
    <row r="199" spans="6:7" hidden="1">
      <c r="F199">
        <v>116</v>
      </c>
      <c r="G199">
        <v>300</v>
      </c>
    </row>
    <row r="200" spans="6:7" hidden="1">
      <c r="F200">
        <v>117</v>
      </c>
      <c r="G200">
        <v>300</v>
      </c>
    </row>
    <row r="201" spans="6:7" hidden="1">
      <c r="F201">
        <v>118</v>
      </c>
      <c r="G201">
        <v>300</v>
      </c>
    </row>
    <row r="202" spans="6:7" hidden="1">
      <c r="F202">
        <v>119</v>
      </c>
      <c r="G202">
        <v>300</v>
      </c>
    </row>
    <row r="203" spans="6:7" hidden="1">
      <c r="F203">
        <v>120</v>
      </c>
      <c r="G203">
        <v>300</v>
      </c>
    </row>
    <row r="204" spans="6:7" hidden="1">
      <c r="F204">
        <v>121</v>
      </c>
      <c r="G204">
        <v>400</v>
      </c>
    </row>
    <row r="205" spans="6:7" hidden="1">
      <c r="F205">
        <v>122</v>
      </c>
      <c r="G205">
        <v>400</v>
      </c>
    </row>
    <row r="223" spans="1:15">
      <c r="A223" s="84" t="s">
        <v>112</v>
      </c>
      <c r="B223" s="120"/>
      <c r="C223" s="120"/>
      <c r="D223" s="120"/>
      <c r="E223" s="120"/>
      <c r="F223" s="120"/>
      <c r="G223" s="120"/>
      <c r="H223" s="120"/>
      <c r="I223" s="189"/>
      <c r="J223" s="195"/>
      <c r="K223" s="195"/>
      <c r="L223" s="195"/>
      <c r="M223" s="195"/>
      <c r="N223" s="195"/>
      <c r="O223" s="195"/>
    </row>
    <row r="224" spans="1:15">
      <c r="A224" s="84" t="s">
        <v>113</v>
      </c>
      <c r="B224" s="120"/>
      <c r="C224" s="120"/>
      <c r="D224" s="120"/>
      <c r="E224" s="120"/>
      <c r="F224" s="120"/>
      <c r="G224" s="120"/>
      <c r="H224" s="120"/>
      <c r="I224" s="179" t="str">
        <f>+CONCATENATE("20142_",I226)</f>
        <v>20142_4</v>
      </c>
      <c r="J224" s="195"/>
      <c r="K224" s="195"/>
      <c r="L224" s="195"/>
      <c r="M224" s="195"/>
      <c r="N224" s="195"/>
      <c r="O224" s="195"/>
    </row>
    <row r="225" spans="1:15">
      <c r="A225" s="84" t="s">
        <v>114</v>
      </c>
      <c r="B225" s="120"/>
      <c r="C225" s="120"/>
      <c r="D225" s="120"/>
      <c r="E225" s="120"/>
      <c r="F225" s="120"/>
      <c r="G225" s="120"/>
      <c r="H225" s="120"/>
      <c r="I225" s="120"/>
      <c r="J225" s="195"/>
      <c r="K225" s="195"/>
      <c r="L225" s="195"/>
      <c r="M225" s="195"/>
      <c r="N225" s="195"/>
      <c r="O225" s="195"/>
    </row>
    <row r="226" spans="1:15">
      <c r="A226" s="120"/>
      <c r="B226" s="120"/>
      <c r="C226" s="120"/>
      <c r="D226" s="120"/>
      <c r="E226" s="120"/>
      <c r="F226" s="120"/>
      <c r="G226" s="120"/>
      <c r="H226" s="120"/>
      <c r="I226" s="191">
        <v>4</v>
      </c>
      <c r="J226" s="195"/>
      <c r="K226" s="195"/>
      <c r="L226" s="195"/>
      <c r="M226" s="195"/>
      <c r="N226" s="195"/>
      <c r="O226" s="195"/>
    </row>
    <row r="227" spans="1:15">
      <c r="A227" s="120" t="s">
        <v>115</v>
      </c>
      <c r="B227" s="120"/>
      <c r="C227" s="120"/>
      <c r="D227" s="120"/>
      <c r="E227" s="120"/>
      <c r="F227" s="120"/>
      <c r="G227" s="120"/>
      <c r="H227" s="120"/>
      <c r="I227" s="83">
        <f>I5</f>
        <v>43800</v>
      </c>
      <c r="J227" s="195"/>
      <c r="K227" s="195"/>
      <c r="L227" s="195"/>
      <c r="M227" s="195"/>
      <c r="N227" s="195"/>
      <c r="O227" s="195"/>
    </row>
    <row r="228" spans="1:15">
      <c r="A228" s="120"/>
      <c r="B228" s="120"/>
      <c r="C228" s="120"/>
      <c r="D228" s="120"/>
      <c r="E228" s="120"/>
      <c r="F228" s="120"/>
      <c r="G228" s="120"/>
      <c r="H228" s="120"/>
      <c r="I228" s="120"/>
      <c r="J228" s="195"/>
      <c r="K228" s="195"/>
      <c r="L228" s="195"/>
      <c r="M228" s="195"/>
      <c r="N228" s="195"/>
      <c r="O228" s="195"/>
    </row>
    <row r="229" spans="1:15">
      <c r="A229" s="120" t="s">
        <v>116</v>
      </c>
      <c r="B229" s="120"/>
      <c r="C229" s="84" t="str">
        <f>VLOOKUP(I226,AVANCEVENDEDOR!$A$2:$R$35,3,0)</f>
        <v>MIRANDA CCOILA PATRICIA</v>
      </c>
      <c r="D229" s="120"/>
      <c r="E229" s="120"/>
      <c r="F229" s="120"/>
      <c r="G229" s="120"/>
      <c r="H229" s="120"/>
      <c r="I229" s="120"/>
      <c r="J229" s="195"/>
      <c r="K229" s="195"/>
      <c r="L229" s="195"/>
      <c r="M229" s="195"/>
      <c r="N229" s="195"/>
      <c r="O229" s="195"/>
    </row>
    <row r="230" spans="1:15">
      <c r="A230" s="120"/>
      <c r="B230" s="120"/>
      <c r="C230" s="120"/>
      <c r="D230" s="120"/>
      <c r="E230" s="120"/>
      <c r="F230" s="120"/>
      <c r="G230" s="120"/>
      <c r="H230" s="120"/>
      <c r="I230" s="84" t="s">
        <v>118</v>
      </c>
      <c r="J230" s="195"/>
      <c r="K230" s="195"/>
      <c r="L230" s="195"/>
      <c r="M230" s="195"/>
      <c r="N230" s="195"/>
      <c r="O230" s="195"/>
    </row>
    <row r="231" spans="1:15">
      <c r="A231" s="120"/>
      <c r="B231" s="120"/>
      <c r="C231" s="120"/>
      <c r="D231" s="120"/>
      <c r="E231" s="120"/>
      <c r="F231" s="120"/>
      <c r="G231" s="120"/>
      <c r="H231" s="120"/>
      <c r="I231" s="120"/>
      <c r="J231" s="195"/>
      <c r="K231" s="195"/>
      <c r="L231" s="195"/>
      <c r="M231" s="195"/>
      <c r="N231" s="195"/>
      <c r="O231" s="195"/>
    </row>
    <row r="232" spans="1:15">
      <c r="A232" s="120" t="s">
        <v>119</v>
      </c>
      <c r="B232" s="120"/>
      <c r="C232" s="120"/>
      <c r="D232" s="120"/>
      <c r="E232" s="120"/>
      <c r="F232" s="120"/>
      <c r="G232" s="120"/>
      <c r="H232" s="120"/>
      <c r="I232" s="181">
        <v>850</v>
      </c>
      <c r="J232" s="195"/>
      <c r="K232" s="195"/>
      <c r="L232" s="195"/>
      <c r="M232" s="195"/>
      <c r="N232" s="195"/>
      <c r="O232" s="195"/>
    </row>
    <row r="233" spans="1:15" ht="20.25">
      <c r="A233" s="120" t="s">
        <v>120</v>
      </c>
      <c r="B233" s="120"/>
      <c r="C233" s="120"/>
      <c r="D233" s="120"/>
      <c r="E233" s="120"/>
      <c r="F233" s="86" t="s">
        <v>272</v>
      </c>
      <c r="G233" s="86" t="s">
        <v>122</v>
      </c>
      <c r="H233" s="86" t="s">
        <v>123</v>
      </c>
      <c r="I233" s="181">
        <v>400</v>
      </c>
      <c r="J233" s="195"/>
      <c r="K233" s="195"/>
      <c r="L233" s="195"/>
      <c r="M233" s="195"/>
      <c r="N233" s="195"/>
      <c r="O233" s="195"/>
    </row>
    <row r="234" spans="1:15">
      <c r="A234" s="120" t="s">
        <v>291</v>
      </c>
      <c r="B234" s="120"/>
      <c r="C234" s="120"/>
      <c r="D234" s="120"/>
      <c r="E234" s="120"/>
      <c r="F234" s="182">
        <v>0.5</v>
      </c>
      <c r="G234" s="182">
        <f>IF(I226=13,80,85)</f>
        <v>85</v>
      </c>
      <c r="H234" s="182">
        <f>+H247</f>
        <v>75.06181779372362</v>
      </c>
      <c r="I234" s="181">
        <f>IF(H234&gt;=G234,E247*F234%,0)</f>
        <v>0</v>
      </c>
      <c r="J234" s="195"/>
      <c r="K234" s="195"/>
      <c r="L234" s="195"/>
      <c r="M234" s="195"/>
      <c r="N234" s="195"/>
      <c r="O234" s="195"/>
    </row>
    <row r="235" spans="1:15">
      <c r="A235" s="120" t="str">
        <f>CONCATENATE("COM. MOROSIDAD AL ",G235,"%")</f>
        <v>COM. MOROSIDAD AL 5%</v>
      </c>
      <c r="B235" s="120"/>
      <c r="C235" s="120"/>
      <c r="D235" s="120"/>
      <c r="E235" s="120"/>
      <c r="F235" s="182">
        <v>0.3</v>
      </c>
      <c r="G235" s="182">
        <v>5</v>
      </c>
      <c r="H235" s="182">
        <f>+H250</f>
        <v>4.4400000000000004</v>
      </c>
      <c r="I235" s="181">
        <f>+IF(H235&lt;=G235,E247*F235%,0)</f>
        <v>465.03075000000001</v>
      </c>
      <c r="J235" s="195"/>
      <c r="K235" s="195"/>
      <c r="L235" s="195"/>
      <c r="M235" s="195"/>
      <c r="N235" s="195"/>
      <c r="O235" s="195"/>
    </row>
    <row r="236" spans="1:15">
      <c r="A236" s="120" t="s">
        <v>292</v>
      </c>
      <c r="B236" s="120"/>
      <c r="C236" s="120"/>
      <c r="D236" s="120"/>
      <c r="E236" s="120"/>
      <c r="F236" s="182">
        <f>IF(I226=3,0.1,0.2)</f>
        <v>0.2</v>
      </c>
      <c r="G236" s="182">
        <f>IF(I226=23,50,85)</f>
        <v>85</v>
      </c>
      <c r="H236" s="182">
        <f>+H254</f>
        <v>69.230769230769226</v>
      </c>
      <c r="I236" s="181">
        <f>IF(H236&gt;=G236,E247*F236%,0)</f>
        <v>0</v>
      </c>
      <c r="J236" s="195"/>
      <c r="K236" s="195"/>
      <c r="L236" s="195"/>
      <c r="M236" s="195"/>
      <c r="N236" s="195"/>
      <c r="O236" s="195"/>
    </row>
    <row r="237" spans="1:15">
      <c r="A237" s="120" t="str">
        <f>IF(I226=23,"COMISION POR TIEMPODE VIAJE",IF(I226=22,"BONIFICACION"," "))</f>
        <v xml:space="preserve"> </v>
      </c>
      <c r="B237" s="120"/>
      <c r="C237" s="120"/>
      <c r="D237" s="120"/>
      <c r="E237" s="120"/>
      <c r="F237" s="120"/>
      <c r="G237" s="120"/>
      <c r="H237" s="182"/>
      <c r="I237" s="181" t="str">
        <f>IF(I226=23,300,IF(I226=22,400," "))</f>
        <v xml:space="preserve"> </v>
      </c>
      <c r="J237" s="195"/>
      <c r="K237" s="195"/>
      <c r="L237" s="195"/>
      <c r="M237" s="195"/>
      <c r="N237" s="195"/>
      <c r="O237" s="195"/>
    </row>
    <row r="238" spans="1:15">
      <c r="A238" s="189" t="s">
        <v>274</v>
      </c>
      <c r="B238" s="189"/>
      <c r="C238" s="189"/>
      <c r="D238" s="189"/>
      <c r="E238" s="189"/>
      <c r="F238" s="374" t="s">
        <v>275</v>
      </c>
      <c r="G238" s="374"/>
      <c r="H238" s="375" t="s">
        <v>276</v>
      </c>
      <c r="I238" s="193"/>
      <c r="J238" s="195"/>
      <c r="K238" s="195"/>
      <c r="L238" s="195"/>
      <c r="M238" s="195"/>
      <c r="N238" s="195"/>
      <c r="O238" s="195"/>
    </row>
    <row r="239" spans="1:15">
      <c r="A239" s="189"/>
      <c r="B239" s="189"/>
      <c r="C239" s="189"/>
      <c r="D239" s="189"/>
      <c r="E239" s="189"/>
      <c r="F239" s="374" t="s">
        <v>277</v>
      </c>
      <c r="G239" s="374"/>
      <c r="H239" s="375"/>
      <c r="I239" s="376">
        <v>0</v>
      </c>
      <c r="J239" s="195"/>
      <c r="K239" s="195"/>
      <c r="L239" s="195"/>
      <c r="M239" s="195"/>
      <c r="N239" s="195"/>
      <c r="O239" s="195"/>
    </row>
    <row r="240" spans="1:15">
      <c r="A240" s="189"/>
      <c r="B240" s="197"/>
      <c r="C240" s="197"/>
      <c r="D240" s="197"/>
      <c r="E240" s="197"/>
      <c r="F240" s="374" t="s">
        <v>278</v>
      </c>
      <c r="G240" s="374"/>
      <c r="H240" s="375"/>
      <c r="I240" s="376"/>
      <c r="J240" s="195"/>
      <c r="K240" s="195"/>
      <c r="L240" s="195"/>
      <c r="M240" s="195"/>
      <c r="N240" s="195"/>
      <c r="O240" s="195"/>
    </row>
    <row r="241" spans="1:15">
      <c r="A241" s="189"/>
      <c r="B241" s="197"/>
      <c r="C241" s="197"/>
      <c r="D241" s="197"/>
      <c r="E241" s="197"/>
      <c r="F241" s="374" t="s">
        <v>279</v>
      </c>
      <c r="G241" s="374"/>
      <c r="H241" s="375"/>
      <c r="I241" s="198"/>
      <c r="J241" s="195"/>
      <c r="K241" s="195"/>
      <c r="L241" s="195"/>
      <c r="M241" s="195"/>
      <c r="N241" s="195"/>
      <c r="O241" s="195"/>
    </row>
    <row r="242" spans="1:15">
      <c r="A242" s="120"/>
      <c r="B242" s="84" t="str">
        <f>IF(I226=13,"Remuneracion Extra"," ")</f>
        <v xml:space="preserve"> </v>
      </c>
      <c r="C242" s="120"/>
      <c r="D242" s="120"/>
      <c r="E242" s="120"/>
      <c r="F242" s="120"/>
      <c r="G242" s="120"/>
      <c r="H242" s="120"/>
      <c r="I242" s="183"/>
      <c r="J242" s="195"/>
      <c r="K242" s="195"/>
      <c r="L242" s="195"/>
      <c r="M242" s="195"/>
      <c r="N242" s="195"/>
      <c r="O242" s="195"/>
    </row>
    <row r="243" spans="1:15" ht="15.75">
      <c r="A243" s="184" t="s">
        <v>129</v>
      </c>
      <c r="B243" s="185"/>
      <c r="C243" s="185"/>
      <c r="D243" s="185"/>
      <c r="E243" s="185"/>
      <c r="F243" s="185"/>
      <c r="G243" s="185"/>
      <c r="H243" s="185"/>
      <c r="I243" s="186">
        <f>SUM(I232:I242)</f>
        <v>1715.0307499999999</v>
      </c>
      <c r="J243" s="195"/>
      <c r="K243" s="195"/>
      <c r="L243" s="195"/>
      <c r="M243" s="195"/>
      <c r="N243" s="195"/>
      <c r="O243" s="195"/>
    </row>
    <row r="244" spans="1:15">
      <c r="A244" s="120"/>
      <c r="B244" s="120"/>
      <c r="C244" s="120"/>
      <c r="D244" s="120"/>
      <c r="E244" s="120"/>
      <c r="F244" s="120"/>
      <c r="G244" s="120"/>
      <c r="H244" s="120"/>
      <c r="I244" s="120"/>
      <c r="J244" s="195"/>
      <c r="K244" s="195"/>
      <c r="L244" s="195"/>
      <c r="M244" s="195"/>
      <c r="N244" s="195"/>
      <c r="O244" s="195"/>
    </row>
    <row r="245" spans="1:15">
      <c r="A245" s="121" t="s">
        <v>130</v>
      </c>
      <c r="B245" s="121"/>
      <c r="C245" s="121"/>
      <c r="D245" s="121"/>
      <c r="E245" s="121"/>
      <c r="F245" s="121"/>
      <c r="G245" s="121"/>
      <c r="H245" s="121"/>
      <c r="I245" s="121"/>
      <c r="J245" s="195"/>
      <c r="K245" s="195"/>
      <c r="L245" s="195"/>
      <c r="M245" s="195"/>
      <c r="N245" s="195"/>
      <c r="O245" s="195"/>
    </row>
    <row r="246" spans="1:15">
      <c r="A246" s="121"/>
      <c r="B246" s="121" t="s">
        <v>131</v>
      </c>
      <c r="C246" s="121"/>
      <c r="D246" s="121"/>
      <c r="E246" s="187">
        <f>VLOOKUP(I226,AVANCEVENDEDOR!$A$2:$R$35,7,0)</f>
        <v>206510.12</v>
      </c>
      <c r="F246" s="187"/>
      <c r="G246" s="121"/>
      <c r="H246" s="121"/>
      <c r="I246" s="121"/>
      <c r="J246" s="195"/>
      <c r="K246" s="195"/>
      <c r="L246" s="195"/>
      <c r="M246" s="199"/>
      <c r="N246" s="200"/>
      <c r="O246" s="195"/>
    </row>
    <row r="247" spans="1:15">
      <c r="A247" s="121"/>
      <c r="B247" s="121" t="s">
        <v>132</v>
      </c>
      <c r="C247" s="121"/>
      <c r="D247" s="121"/>
      <c r="E247" s="187">
        <f>IF(I226=27,(VLOOKUP(I226,AVANCEVENDEDOR!$A$2:$R$35,6,0)-I223),(VLOOKUP(I226,AVANCEVENDEDOR!$A$2:$R$35,6,0)))</f>
        <v>155010.25</v>
      </c>
      <c r="F247" s="187"/>
      <c r="G247" s="188" t="s">
        <v>133</v>
      </c>
      <c r="H247" s="187">
        <f>+E247*100/E246</f>
        <v>75.06181779372362</v>
      </c>
      <c r="I247" s="121"/>
      <c r="J247" s="195"/>
      <c r="K247" s="121"/>
      <c r="L247" s="201"/>
      <c r="M247" s="195"/>
      <c r="N247" s="195"/>
      <c r="O247" s="195"/>
    </row>
    <row r="248" spans="1:15">
      <c r="A248" s="121"/>
      <c r="B248" s="121"/>
      <c r="C248" s="121"/>
      <c r="D248" s="121"/>
      <c r="E248" s="121"/>
      <c r="F248" s="121"/>
      <c r="G248" s="188"/>
      <c r="H248" s="121"/>
      <c r="I248" s="121"/>
      <c r="J248" s="195"/>
      <c r="K248" s="195"/>
      <c r="L248" s="195"/>
      <c r="M248" s="195"/>
      <c r="N248" s="195"/>
      <c r="O248" s="195"/>
    </row>
    <row r="249" spans="1:15">
      <c r="A249" s="121"/>
      <c r="B249" s="121" t="s">
        <v>134</v>
      </c>
      <c r="C249" s="121"/>
      <c r="D249" s="121"/>
      <c r="E249" s="187">
        <f>VLOOKUP(I226,AVANCEVENDEDOR!$A$2:$R$35,10,0)</f>
        <v>368574.69</v>
      </c>
      <c r="F249" s="187"/>
      <c r="G249" s="188"/>
      <c r="H249" s="121"/>
      <c r="I249" s="121"/>
      <c r="J249" s="195"/>
      <c r="K249" s="195"/>
      <c r="L249" s="195"/>
      <c r="M249" s="195"/>
      <c r="N249" s="195"/>
      <c r="O249" s="195"/>
    </row>
    <row r="250" spans="1:15">
      <c r="A250" s="121"/>
      <c r="B250" s="121" t="s">
        <v>135</v>
      </c>
      <c r="C250" s="121"/>
      <c r="D250" s="121"/>
      <c r="E250" s="187">
        <f>VLOOKUP(I226,AVANCEVENDEDOR!$A$2:$R$35,11,0)</f>
        <v>16341.22</v>
      </c>
      <c r="F250" s="187"/>
      <c r="G250" s="188" t="s">
        <v>136</v>
      </c>
      <c r="H250" s="187">
        <f>VLOOKUP(I226,AVANCEVENDEDOR!$A$2:$R$35,15,0)</f>
        <v>4.4400000000000004</v>
      </c>
      <c r="I250" s="121"/>
      <c r="J250" s="195"/>
      <c r="K250" s="195"/>
      <c r="L250" s="195"/>
      <c r="M250" s="195"/>
      <c r="N250" s="195"/>
      <c r="O250" s="195"/>
    </row>
    <row r="251" spans="1:15">
      <c r="A251" s="121"/>
      <c r="B251" s="121" t="s">
        <v>137</v>
      </c>
      <c r="C251" s="121"/>
      <c r="D251" s="121"/>
      <c r="E251" s="187">
        <f>VLOOKUP(I226,AVANCEVENDEDOR!$A$2:$R$35,9,0)</f>
        <v>200686.73</v>
      </c>
      <c r="F251" s="187"/>
      <c r="G251" s="188"/>
      <c r="H251" s="121"/>
      <c r="I251" s="121"/>
      <c r="J251" s="195"/>
      <c r="K251" s="195"/>
      <c r="L251" s="195"/>
      <c r="M251" s="195"/>
      <c r="N251" s="195"/>
      <c r="O251" s="195"/>
    </row>
    <row r="252" spans="1:15">
      <c r="A252" s="121"/>
      <c r="B252" s="121"/>
      <c r="C252" s="121"/>
      <c r="D252" s="121"/>
      <c r="E252" s="121"/>
      <c r="F252" s="121"/>
      <c r="G252" s="188"/>
      <c r="H252" s="121"/>
      <c r="I252" s="121"/>
      <c r="J252" s="195"/>
      <c r="K252" s="195"/>
      <c r="L252" s="195"/>
      <c r="M252" s="195"/>
      <c r="N252" s="195"/>
      <c r="O252" s="195"/>
    </row>
    <row r="253" spans="1:15">
      <c r="A253" s="121"/>
      <c r="B253" s="121" t="s">
        <v>280</v>
      </c>
      <c r="C253" s="121"/>
      <c r="D253" s="121"/>
      <c r="E253" s="187">
        <f>VLOOKUP(I226,AVANCEVENDEDOR!$A$2:$R$35,13,0)</f>
        <v>52</v>
      </c>
      <c r="F253" s="187"/>
      <c r="G253" s="121"/>
      <c r="H253" s="187"/>
      <c r="I253" s="121"/>
      <c r="J253" s="195"/>
      <c r="K253" s="195"/>
      <c r="L253" s="195"/>
      <c r="M253" s="195"/>
      <c r="N253" s="195"/>
      <c r="O253" s="195"/>
    </row>
    <row r="254" spans="1:15">
      <c r="A254" s="121"/>
      <c r="B254" s="121" t="s">
        <v>281</v>
      </c>
      <c r="C254" s="121"/>
      <c r="D254" s="121"/>
      <c r="E254" s="187">
        <f>VLOOKUP(I226,AVANCEVENDEDOR!$A$2:$R$35,14,0)</f>
        <v>36</v>
      </c>
      <c r="F254" s="187"/>
      <c r="G254" s="188" t="s">
        <v>140</v>
      </c>
      <c r="H254" s="187">
        <f>+E254*100/E253</f>
        <v>69.230769230769226</v>
      </c>
      <c r="I254" s="121"/>
      <c r="J254" s="195"/>
      <c r="K254" s="195"/>
      <c r="L254" s="195"/>
      <c r="M254" s="195"/>
      <c r="N254" s="195"/>
      <c r="O254" s="195"/>
    </row>
    <row r="255" spans="1:15">
      <c r="J255" s="195"/>
      <c r="K255" s="195"/>
      <c r="L255" s="195"/>
      <c r="M255" s="195"/>
      <c r="N255" s="195"/>
      <c r="O255" s="195"/>
    </row>
    <row r="256" spans="1:15" hidden="1">
      <c r="F256">
        <v>99</v>
      </c>
    </row>
    <row r="257" spans="6:7" hidden="1">
      <c r="F257">
        <v>100</v>
      </c>
      <c r="G257">
        <v>100</v>
      </c>
    </row>
    <row r="258" spans="6:7" hidden="1">
      <c r="F258">
        <v>101</v>
      </c>
      <c r="G258">
        <v>100</v>
      </c>
    </row>
    <row r="259" spans="6:7" hidden="1">
      <c r="F259">
        <v>102</v>
      </c>
      <c r="G259">
        <v>100</v>
      </c>
    </row>
    <row r="260" spans="6:7" hidden="1">
      <c r="F260">
        <v>103</v>
      </c>
      <c r="G260">
        <v>100</v>
      </c>
    </row>
    <row r="261" spans="6:7" hidden="1">
      <c r="F261">
        <v>104</v>
      </c>
      <c r="G261">
        <v>100</v>
      </c>
    </row>
    <row r="262" spans="6:7" hidden="1">
      <c r="F262">
        <v>105</v>
      </c>
      <c r="G262">
        <v>100</v>
      </c>
    </row>
    <row r="263" spans="6:7" hidden="1">
      <c r="F263">
        <v>106</v>
      </c>
      <c r="G263">
        <v>200</v>
      </c>
    </row>
    <row r="264" spans="6:7" hidden="1">
      <c r="F264">
        <v>107</v>
      </c>
      <c r="G264">
        <v>200</v>
      </c>
    </row>
    <row r="265" spans="6:7" hidden="1">
      <c r="F265">
        <v>108</v>
      </c>
      <c r="G265">
        <v>200</v>
      </c>
    </row>
    <row r="266" spans="6:7" hidden="1">
      <c r="F266">
        <v>109</v>
      </c>
      <c r="G266">
        <v>200</v>
      </c>
    </row>
    <row r="267" spans="6:7" hidden="1">
      <c r="F267">
        <v>110</v>
      </c>
      <c r="G267">
        <v>200</v>
      </c>
    </row>
    <row r="268" spans="6:7" hidden="1">
      <c r="F268">
        <v>111</v>
      </c>
      <c r="G268">
        <v>200</v>
      </c>
    </row>
    <row r="269" spans="6:7" hidden="1">
      <c r="F269">
        <v>112</v>
      </c>
      <c r="G269">
        <v>200</v>
      </c>
    </row>
    <row r="270" spans="6:7" hidden="1">
      <c r="F270">
        <v>113</v>
      </c>
      <c r="G270">
        <v>200</v>
      </c>
    </row>
    <row r="271" spans="6:7" hidden="1">
      <c r="F271">
        <v>114</v>
      </c>
      <c r="G271">
        <v>200</v>
      </c>
    </row>
    <row r="272" spans="6:7" hidden="1">
      <c r="F272">
        <v>115</v>
      </c>
      <c r="G272">
        <v>300</v>
      </c>
    </row>
    <row r="273" spans="6:7" hidden="1">
      <c r="F273">
        <v>116</v>
      </c>
      <c r="G273">
        <v>300</v>
      </c>
    </row>
    <row r="274" spans="6:7" hidden="1">
      <c r="F274">
        <v>117</v>
      </c>
      <c r="G274">
        <v>300</v>
      </c>
    </row>
    <row r="275" spans="6:7" hidden="1">
      <c r="F275">
        <v>118</v>
      </c>
      <c r="G275">
        <v>300</v>
      </c>
    </row>
    <row r="276" spans="6:7" hidden="1">
      <c r="F276">
        <v>119</v>
      </c>
      <c r="G276">
        <v>300</v>
      </c>
    </row>
    <row r="277" spans="6:7" hidden="1">
      <c r="F277">
        <v>120</v>
      </c>
      <c r="G277">
        <v>300</v>
      </c>
    </row>
    <row r="278" spans="6:7" hidden="1">
      <c r="F278">
        <v>121</v>
      </c>
      <c r="G278">
        <v>400</v>
      </c>
    </row>
    <row r="279" spans="6:7" hidden="1">
      <c r="F279">
        <v>122</v>
      </c>
      <c r="G279">
        <v>400</v>
      </c>
    </row>
    <row r="297" spans="1:15">
      <c r="A297" s="84" t="s">
        <v>112</v>
      </c>
      <c r="B297" s="120"/>
      <c r="C297" s="120"/>
      <c r="D297" s="120"/>
      <c r="E297" s="120"/>
      <c r="F297" s="120"/>
      <c r="G297" s="120"/>
      <c r="H297" s="120"/>
      <c r="I297" s="189"/>
      <c r="J297" s="195"/>
      <c r="K297" s="195"/>
      <c r="L297" s="195"/>
      <c r="M297" s="195"/>
      <c r="N297" s="195"/>
      <c r="O297" s="195"/>
    </row>
    <row r="298" spans="1:15">
      <c r="A298" s="84" t="s">
        <v>113</v>
      </c>
      <c r="B298" s="120"/>
      <c r="C298" s="120"/>
      <c r="D298" s="120"/>
      <c r="E298" s="120"/>
      <c r="F298" s="120"/>
      <c r="G298" s="120"/>
      <c r="H298" s="120"/>
      <c r="I298" s="179" t="str">
        <f>+CONCATENATE("20142_",I300)</f>
        <v>20142_5</v>
      </c>
      <c r="J298" s="195"/>
      <c r="K298" s="195"/>
      <c r="L298" s="195"/>
      <c r="M298" s="195"/>
      <c r="N298" s="195"/>
      <c r="O298" s="195"/>
    </row>
    <row r="299" spans="1:15">
      <c r="A299" s="84" t="s">
        <v>114</v>
      </c>
      <c r="B299" s="120"/>
      <c r="C299" s="120"/>
      <c r="D299" s="120"/>
      <c r="E299" s="120"/>
      <c r="F299" s="120"/>
      <c r="G299" s="120"/>
      <c r="H299" s="120"/>
      <c r="I299" s="120"/>
      <c r="J299" s="195"/>
      <c r="K299" s="195"/>
      <c r="L299" s="195"/>
      <c r="M299" s="195"/>
      <c r="N299" s="195"/>
      <c r="O299" s="195"/>
    </row>
    <row r="300" spans="1:15">
      <c r="A300" s="120"/>
      <c r="B300" s="120"/>
      <c r="C300" s="120"/>
      <c r="D300" s="120"/>
      <c r="E300" s="120"/>
      <c r="F300" s="120"/>
      <c r="G300" s="120"/>
      <c r="H300" s="120"/>
      <c r="I300" s="191">
        <v>5</v>
      </c>
      <c r="J300" s="195"/>
      <c r="K300" s="195"/>
      <c r="L300" s="195"/>
      <c r="M300" s="195"/>
      <c r="N300" s="195"/>
      <c r="O300" s="195"/>
    </row>
    <row r="301" spans="1:15">
      <c r="A301" s="120" t="s">
        <v>115</v>
      </c>
      <c r="B301" s="120"/>
      <c r="C301" s="120"/>
      <c r="D301" s="120"/>
      <c r="E301" s="120"/>
      <c r="F301" s="120"/>
      <c r="G301" s="120"/>
      <c r="H301" s="120"/>
      <c r="I301" s="83">
        <f>I5</f>
        <v>43800</v>
      </c>
      <c r="J301" s="195"/>
      <c r="K301" s="195"/>
      <c r="L301" s="195"/>
      <c r="M301" s="195"/>
      <c r="N301" s="195"/>
      <c r="O301" s="195"/>
    </row>
    <row r="302" spans="1:15">
      <c r="A302" s="120"/>
      <c r="B302" s="120"/>
      <c r="C302" s="120"/>
      <c r="D302" s="120"/>
      <c r="E302" s="120"/>
      <c r="F302" s="120"/>
      <c r="G302" s="120"/>
      <c r="H302" s="120"/>
      <c r="I302" s="120"/>
      <c r="J302" s="195"/>
      <c r="K302" s="195"/>
      <c r="L302" s="195"/>
      <c r="M302" s="195"/>
      <c r="N302" s="195"/>
      <c r="O302" s="195"/>
    </row>
    <row r="303" spans="1:15">
      <c r="A303" s="120" t="s">
        <v>116</v>
      </c>
      <c r="B303" s="120"/>
      <c r="C303" s="84" t="e">
        <f>VLOOKUP(I300,AVANCEVENDEDOR!$A$2:$R$35,3,0)</f>
        <v>#N/A</v>
      </c>
      <c r="D303" s="120"/>
      <c r="E303" s="120"/>
      <c r="F303" s="120"/>
      <c r="G303" s="120"/>
      <c r="H303" s="120"/>
      <c r="I303" s="120"/>
      <c r="J303" s="195"/>
      <c r="K303" s="195"/>
      <c r="L303" s="195"/>
      <c r="M303" s="195"/>
      <c r="N303" s="195"/>
      <c r="O303" s="195"/>
    </row>
    <row r="304" spans="1:15">
      <c r="A304" s="120"/>
      <c r="B304" s="120"/>
      <c r="C304" s="120"/>
      <c r="D304" s="120"/>
      <c r="E304" s="120"/>
      <c r="F304" s="120"/>
      <c r="G304" s="120"/>
      <c r="H304" s="120"/>
      <c r="I304" s="84" t="s">
        <v>118</v>
      </c>
      <c r="J304" s="195"/>
      <c r="K304" s="195"/>
      <c r="L304" s="195"/>
      <c r="M304" s="195"/>
      <c r="N304" s="195"/>
      <c r="O304" s="195"/>
    </row>
    <row r="305" spans="1:15">
      <c r="A305" s="120"/>
      <c r="B305" s="120"/>
      <c r="C305" s="120"/>
      <c r="D305" s="120"/>
      <c r="E305" s="120"/>
      <c r="F305" s="120"/>
      <c r="G305" s="120"/>
      <c r="H305" s="120"/>
      <c r="I305" s="120"/>
      <c r="J305" s="195"/>
      <c r="K305" s="195"/>
      <c r="L305" s="195"/>
      <c r="M305" s="195"/>
      <c r="N305" s="195"/>
      <c r="O305" s="195"/>
    </row>
    <row r="306" spans="1:15">
      <c r="A306" s="120" t="s">
        <v>119</v>
      </c>
      <c r="B306" s="120"/>
      <c r="C306" s="120"/>
      <c r="D306" s="120"/>
      <c r="E306" s="120"/>
      <c r="F306" s="120"/>
      <c r="G306" s="120"/>
      <c r="H306" s="120"/>
      <c r="I306" s="181">
        <v>850</v>
      </c>
      <c r="J306" s="195"/>
      <c r="K306" s="195"/>
      <c r="L306" s="195"/>
      <c r="M306" s="195"/>
      <c r="N306" s="195"/>
      <c r="O306" s="195"/>
    </row>
    <row r="307" spans="1:15" ht="20.25">
      <c r="A307" s="120" t="s">
        <v>120</v>
      </c>
      <c r="B307" s="120"/>
      <c r="C307" s="120"/>
      <c r="D307" s="120"/>
      <c r="E307" s="120"/>
      <c r="F307" s="86" t="s">
        <v>272</v>
      </c>
      <c r="G307" s="86" t="s">
        <v>122</v>
      </c>
      <c r="H307" s="86" t="s">
        <v>123</v>
      </c>
      <c r="I307" s="181">
        <v>400</v>
      </c>
      <c r="J307" s="195"/>
      <c r="K307" s="195"/>
      <c r="L307" s="195"/>
      <c r="M307" s="195"/>
      <c r="N307" s="195"/>
      <c r="O307" s="195"/>
    </row>
    <row r="308" spans="1:15">
      <c r="A308" s="120" t="s">
        <v>291</v>
      </c>
      <c r="B308" s="120"/>
      <c r="C308" s="120"/>
      <c r="D308" s="120"/>
      <c r="E308" s="120"/>
      <c r="F308" s="182">
        <v>0.5</v>
      </c>
      <c r="G308" s="182">
        <f>IF(I300=13,80,85)</f>
        <v>85</v>
      </c>
      <c r="H308" s="182" t="e">
        <f>+H321</f>
        <v>#DIV/0!</v>
      </c>
      <c r="I308" s="181" t="e">
        <f>IF(H308&gt;=G308,E321*F308%,0)</f>
        <v>#DIV/0!</v>
      </c>
      <c r="J308" s="195"/>
      <c r="K308" s="195"/>
      <c r="L308" s="195"/>
      <c r="M308" s="195"/>
      <c r="N308" s="195"/>
      <c r="O308" s="195"/>
    </row>
    <row r="309" spans="1:15">
      <c r="A309" s="120" t="str">
        <f>CONCATENATE("COM. MOROSIDAD AL ",G309,"%")</f>
        <v>COM. MOROSIDAD AL 5%</v>
      </c>
      <c r="B309" s="120"/>
      <c r="C309" s="120"/>
      <c r="D309" s="120"/>
      <c r="E309" s="120"/>
      <c r="F309" s="182">
        <v>0.3</v>
      </c>
      <c r="G309" s="182">
        <v>5</v>
      </c>
      <c r="H309" s="182">
        <f>+H324</f>
        <v>0</v>
      </c>
      <c r="I309" s="181">
        <f>+IF(H309&lt;=G309,E321*F309%,0)</f>
        <v>0</v>
      </c>
      <c r="J309" s="195"/>
      <c r="K309" s="195"/>
      <c r="L309" s="195"/>
      <c r="M309" s="195"/>
      <c r="N309" s="195"/>
      <c r="O309" s="195"/>
    </row>
    <row r="310" spans="1:15">
      <c r="A310" s="120" t="s">
        <v>292</v>
      </c>
      <c r="B310" s="120"/>
      <c r="C310" s="120"/>
      <c r="D310" s="120"/>
      <c r="E310" s="120"/>
      <c r="F310" s="182">
        <f>IF(I300=3,0.1,0.2)</f>
        <v>0.2</v>
      </c>
      <c r="G310" s="182">
        <f>IF(I300=23,50,85)</f>
        <v>85</v>
      </c>
      <c r="H310" s="182" t="e">
        <f>+H328</f>
        <v>#DIV/0!</v>
      </c>
      <c r="I310" s="181" t="e">
        <f>IF(H310&gt;=G310,E321*F310%,0)</f>
        <v>#DIV/0!</v>
      </c>
      <c r="J310" s="195"/>
      <c r="K310" s="195"/>
      <c r="L310" s="195"/>
      <c r="M310" s="195"/>
      <c r="N310" s="195"/>
      <c r="O310" s="195"/>
    </row>
    <row r="311" spans="1:15">
      <c r="A311" s="120" t="str">
        <f>IF(I300=23,"COMISION POR TIEMPODE VIAJE",IF(I300=22,"BONIFICACION"," "))</f>
        <v xml:space="preserve"> </v>
      </c>
      <c r="B311" s="120"/>
      <c r="C311" s="120"/>
      <c r="D311" s="120"/>
      <c r="E311" s="120"/>
      <c r="F311" s="120"/>
      <c r="G311" s="120"/>
      <c r="H311" s="182"/>
      <c r="I311" s="181" t="str">
        <f>IF(I300=23,300,IF(I300=22,400," "))</f>
        <v xml:space="preserve"> </v>
      </c>
      <c r="J311" s="195"/>
      <c r="K311" s="195"/>
      <c r="L311" s="195"/>
      <c r="M311" s="195"/>
      <c r="N311" s="195"/>
      <c r="O311" s="195"/>
    </row>
    <row r="312" spans="1:15">
      <c r="A312" s="189" t="s">
        <v>274</v>
      </c>
      <c r="B312" s="189"/>
      <c r="C312" s="189"/>
      <c r="D312" s="189"/>
      <c r="E312" s="189"/>
      <c r="F312" s="374" t="s">
        <v>275</v>
      </c>
      <c r="G312" s="374"/>
      <c r="H312" s="375" t="s">
        <v>276</v>
      </c>
      <c r="I312" s="193"/>
      <c r="J312" s="195"/>
      <c r="K312" s="195"/>
      <c r="L312" s="195"/>
      <c r="M312" s="195"/>
      <c r="N312" s="195"/>
      <c r="O312" s="195"/>
    </row>
    <row r="313" spans="1:15">
      <c r="A313" s="189"/>
      <c r="B313" s="189"/>
      <c r="C313" s="189"/>
      <c r="D313" s="189"/>
      <c r="E313" s="189"/>
      <c r="F313" s="374" t="s">
        <v>277</v>
      </c>
      <c r="G313" s="374"/>
      <c r="H313" s="375"/>
      <c r="I313" s="376">
        <v>0</v>
      </c>
      <c r="J313" s="195"/>
      <c r="K313" s="195"/>
      <c r="L313" s="195"/>
      <c r="M313" s="195"/>
      <c r="N313" s="195"/>
      <c r="O313" s="195"/>
    </row>
    <row r="314" spans="1:15">
      <c r="A314" s="189"/>
      <c r="B314" s="197"/>
      <c r="C314" s="197"/>
      <c r="D314" s="197"/>
      <c r="E314" s="197"/>
      <c r="F314" s="374" t="s">
        <v>278</v>
      </c>
      <c r="G314" s="374"/>
      <c r="H314" s="375"/>
      <c r="I314" s="376"/>
      <c r="J314" s="195"/>
      <c r="K314" s="195"/>
      <c r="L314" s="195"/>
      <c r="M314" s="195"/>
      <c r="N314" s="195"/>
      <c r="O314" s="195"/>
    </row>
    <row r="315" spans="1:15">
      <c r="A315" s="189"/>
      <c r="B315" s="197"/>
      <c r="C315" s="197"/>
      <c r="D315" s="197"/>
      <c r="E315" s="197"/>
      <c r="F315" s="374" t="s">
        <v>279</v>
      </c>
      <c r="G315" s="374"/>
      <c r="H315" s="375"/>
      <c r="I315" s="198"/>
      <c r="J315" s="195"/>
      <c r="K315" s="195"/>
      <c r="L315" s="195"/>
      <c r="M315" s="195"/>
      <c r="N315" s="195"/>
      <c r="O315" s="195"/>
    </row>
    <row r="316" spans="1:15">
      <c r="A316" s="120"/>
      <c r="B316" s="84" t="str">
        <f>IF(I300=13,"Remuneracion Extra"," ")</f>
        <v xml:space="preserve"> </v>
      </c>
      <c r="C316" s="120"/>
      <c r="D316" s="120"/>
      <c r="E316" s="120"/>
      <c r="F316" s="120"/>
      <c r="G316" s="120"/>
      <c r="H316" s="120"/>
      <c r="I316" s="183"/>
      <c r="J316" s="195"/>
      <c r="K316" s="195"/>
      <c r="L316" s="195"/>
      <c r="M316" s="195"/>
      <c r="N316" s="195"/>
      <c r="O316" s="195"/>
    </row>
    <row r="317" spans="1:15" ht="15.75">
      <c r="A317" s="184" t="s">
        <v>129</v>
      </c>
      <c r="B317" s="185"/>
      <c r="C317" s="185"/>
      <c r="D317" s="185"/>
      <c r="E317" s="185"/>
      <c r="F317" s="185"/>
      <c r="G317" s="185"/>
      <c r="H317" s="185"/>
      <c r="I317" s="186" t="e">
        <f>SUM(I306:I316)</f>
        <v>#DIV/0!</v>
      </c>
      <c r="J317" s="195"/>
      <c r="K317" s="195"/>
      <c r="L317" s="195"/>
      <c r="M317" s="195"/>
      <c r="N317" s="195"/>
      <c r="O317" s="195"/>
    </row>
    <row r="318" spans="1:15">
      <c r="A318" s="120"/>
      <c r="B318" s="120"/>
      <c r="C318" s="120"/>
      <c r="D318" s="120"/>
      <c r="E318" s="120"/>
      <c r="F318" s="120"/>
      <c r="G318" s="120"/>
      <c r="H318" s="120"/>
      <c r="I318" s="120"/>
      <c r="J318" s="195"/>
      <c r="K318" s="195"/>
      <c r="L318" s="195"/>
      <c r="M318" s="195"/>
      <c r="N318" s="195"/>
      <c r="O318" s="195"/>
    </row>
    <row r="319" spans="1:15">
      <c r="A319" s="121" t="s">
        <v>130</v>
      </c>
      <c r="B319" s="121"/>
      <c r="C319" s="121"/>
      <c r="D319" s="121"/>
      <c r="E319" s="121"/>
      <c r="F319" s="121"/>
      <c r="G319" s="121"/>
      <c r="H319" s="121"/>
      <c r="I319" s="121"/>
      <c r="J319" s="195"/>
      <c r="K319" s="195"/>
      <c r="L319" s="195"/>
      <c r="M319" s="195"/>
      <c r="N319" s="195"/>
      <c r="O319" s="195"/>
    </row>
    <row r="320" spans="1:15">
      <c r="A320" s="121"/>
      <c r="B320" s="121" t="s">
        <v>131</v>
      </c>
      <c r="C320" s="121"/>
      <c r="D320" s="121"/>
      <c r="E320" s="187">
        <f>VLOOKUP(I300,AVANCEVENDEDOR!$A$2:$R$35,7,0)</f>
        <v>0</v>
      </c>
      <c r="F320" s="187"/>
      <c r="G320" s="121"/>
      <c r="H320" s="121"/>
      <c r="I320" s="121"/>
      <c r="J320" s="195"/>
      <c r="K320" s="195"/>
      <c r="L320" s="195"/>
      <c r="M320" s="199"/>
      <c r="N320" s="200"/>
      <c r="O320" s="195"/>
    </row>
    <row r="321" spans="1:15">
      <c r="A321" s="121"/>
      <c r="B321" s="121" t="s">
        <v>132</v>
      </c>
      <c r="C321" s="121"/>
      <c r="D321" s="121"/>
      <c r="E321" s="187">
        <f>IF(I300=27,(VLOOKUP(I300,AVANCEVENDEDOR!$A$2:$R$35,6,0)-I297),(VLOOKUP(I300,AVANCEVENDEDOR!$A$2:$R$35,6,0)))</f>
        <v>0</v>
      </c>
      <c r="F321" s="187"/>
      <c r="G321" s="188" t="s">
        <v>133</v>
      </c>
      <c r="H321" s="187" t="e">
        <f>+E321*100/E320</f>
        <v>#DIV/0!</v>
      </c>
      <c r="I321" s="121"/>
      <c r="J321" s="195"/>
      <c r="K321" s="121"/>
      <c r="L321" s="201"/>
      <c r="M321" s="195"/>
      <c r="N321" s="195"/>
      <c r="O321" s="195"/>
    </row>
    <row r="322" spans="1:15">
      <c r="A322" s="121"/>
      <c r="B322" s="121"/>
      <c r="C322" s="121"/>
      <c r="D322" s="121"/>
      <c r="E322" s="121"/>
      <c r="F322" s="121"/>
      <c r="G322" s="188"/>
      <c r="H322" s="121"/>
      <c r="I322" s="121"/>
      <c r="J322" s="195"/>
      <c r="K322" s="195"/>
      <c r="L322" s="195"/>
      <c r="M322" s="195"/>
      <c r="N322" s="195"/>
      <c r="O322" s="195"/>
    </row>
    <row r="323" spans="1:15">
      <c r="A323" s="121"/>
      <c r="B323" s="121" t="s">
        <v>134</v>
      </c>
      <c r="C323" s="121"/>
      <c r="D323" s="121"/>
      <c r="E323" s="187">
        <f>VLOOKUP(I300,AVANCEVENDEDOR!$A$2:$R$35,10,0)</f>
        <v>0</v>
      </c>
      <c r="F323" s="187"/>
      <c r="G323" s="188"/>
      <c r="H323" s="121"/>
      <c r="I323" s="121"/>
      <c r="J323" s="195"/>
      <c r="K323" s="195"/>
      <c r="L323" s="195"/>
      <c r="M323" s="195"/>
      <c r="N323" s="195"/>
      <c r="O323" s="195"/>
    </row>
    <row r="324" spans="1:15">
      <c r="A324" s="121"/>
      <c r="B324" s="121" t="s">
        <v>135</v>
      </c>
      <c r="C324" s="121"/>
      <c r="D324" s="121"/>
      <c r="E324" s="187">
        <f>VLOOKUP(I300,AVANCEVENDEDOR!$A$2:$R$35,11,0)</f>
        <v>0</v>
      </c>
      <c r="F324" s="187"/>
      <c r="G324" s="188" t="s">
        <v>136</v>
      </c>
      <c r="H324" s="187">
        <f>VLOOKUP(I300,AVANCEVENDEDOR!$A$2:$R$35,15,0)</f>
        <v>0</v>
      </c>
      <c r="I324" s="121"/>
      <c r="J324" s="195"/>
      <c r="K324" s="195"/>
      <c r="L324" s="195"/>
      <c r="M324" s="195"/>
      <c r="N324" s="195"/>
      <c r="O324" s="195"/>
    </row>
    <row r="325" spans="1:15">
      <c r="A325" s="121"/>
      <c r="B325" s="121" t="s">
        <v>137</v>
      </c>
      <c r="C325" s="121"/>
      <c r="D325" s="121"/>
      <c r="E325" s="187">
        <f>VLOOKUP(I300,AVANCEVENDEDOR!$A$2:$R$35,9,0)</f>
        <v>0</v>
      </c>
      <c r="F325" s="187"/>
      <c r="G325" s="188"/>
      <c r="H325" s="121"/>
      <c r="I325" s="121"/>
      <c r="J325" s="195"/>
      <c r="K325" s="195"/>
      <c r="L325" s="195"/>
      <c r="M325" s="195"/>
      <c r="N325" s="195"/>
      <c r="O325" s="195"/>
    </row>
    <row r="326" spans="1:15">
      <c r="A326" s="121"/>
      <c r="B326" s="121"/>
      <c r="C326" s="121"/>
      <c r="D326" s="121"/>
      <c r="E326" s="121"/>
      <c r="F326" s="121"/>
      <c r="G326" s="188"/>
      <c r="H326" s="121"/>
      <c r="I326" s="121"/>
      <c r="J326" s="195"/>
      <c r="K326" s="195"/>
      <c r="L326" s="195"/>
      <c r="M326" s="195"/>
      <c r="N326" s="195"/>
      <c r="O326" s="195"/>
    </row>
    <row r="327" spans="1:15">
      <c r="A327" s="121"/>
      <c r="B327" s="121" t="s">
        <v>280</v>
      </c>
      <c r="C327" s="121"/>
      <c r="D327" s="121"/>
      <c r="E327" s="187">
        <f>VLOOKUP(I300,AVANCEVENDEDOR!$A$2:$R$35,13,0)</f>
        <v>0</v>
      </c>
      <c r="F327" s="187"/>
      <c r="G327" s="121"/>
      <c r="H327" s="187"/>
      <c r="I327" s="121"/>
      <c r="J327" s="195"/>
      <c r="K327" s="195"/>
      <c r="L327" s="195"/>
      <c r="M327" s="195"/>
      <c r="N327" s="195"/>
      <c r="O327" s="195"/>
    </row>
    <row r="328" spans="1:15">
      <c r="A328" s="121"/>
      <c r="B328" s="121" t="s">
        <v>281</v>
      </c>
      <c r="C328" s="121"/>
      <c r="D328" s="121"/>
      <c r="E328" s="187">
        <f>VLOOKUP(I300,AVANCEVENDEDOR!$A$2:$R$35,14,0)</f>
        <v>0</v>
      </c>
      <c r="F328" s="187"/>
      <c r="G328" s="188" t="s">
        <v>140</v>
      </c>
      <c r="H328" s="187" t="e">
        <f>+E328*100/E327</f>
        <v>#DIV/0!</v>
      </c>
      <c r="I328" s="121"/>
      <c r="J328" s="195"/>
      <c r="K328" s="195"/>
      <c r="L328" s="195"/>
      <c r="M328" s="195"/>
      <c r="N328" s="195"/>
      <c r="O328" s="195"/>
    </row>
    <row r="329" spans="1:15">
      <c r="J329" s="195"/>
      <c r="K329" s="195"/>
      <c r="L329" s="195"/>
      <c r="M329" s="195"/>
      <c r="N329" s="195"/>
      <c r="O329" s="195"/>
    </row>
    <row r="330" spans="1:15" hidden="1">
      <c r="F330">
        <v>99</v>
      </c>
    </row>
    <row r="331" spans="1:15" hidden="1">
      <c r="F331">
        <v>100</v>
      </c>
      <c r="G331">
        <v>100</v>
      </c>
    </row>
    <row r="332" spans="1:15" hidden="1">
      <c r="F332">
        <v>101</v>
      </c>
      <c r="G332">
        <v>100</v>
      </c>
    </row>
    <row r="333" spans="1:15" hidden="1">
      <c r="F333">
        <v>102</v>
      </c>
      <c r="G333">
        <v>100</v>
      </c>
    </row>
    <row r="334" spans="1:15" hidden="1">
      <c r="F334">
        <v>103</v>
      </c>
      <c r="G334">
        <v>100</v>
      </c>
    </row>
    <row r="335" spans="1:15" hidden="1">
      <c r="F335">
        <v>104</v>
      </c>
      <c r="G335">
        <v>100</v>
      </c>
    </row>
    <row r="336" spans="1:15" hidden="1">
      <c r="F336">
        <v>105</v>
      </c>
      <c r="G336">
        <v>100</v>
      </c>
    </row>
    <row r="337" spans="6:7" hidden="1">
      <c r="F337">
        <v>106</v>
      </c>
      <c r="G337">
        <v>200</v>
      </c>
    </row>
    <row r="338" spans="6:7" hidden="1">
      <c r="F338">
        <v>107</v>
      </c>
      <c r="G338">
        <v>200</v>
      </c>
    </row>
    <row r="339" spans="6:7" hidden="1">
      <c r="F339">
        <v>108</v>
      </c>
      <c r="G339">
        <v>200</v>
      </c>
    </row>
    <row r="340" spans="6:7" hidden="1">
      <c r="F340">
        <v>109</v>
      </c>
      <c r="G340">
        <v>200</v>
      </c>
    </row>
    <row r="341" spans="6:7" hidden="1">
      <c r="F341">
        <v>110</v>
      </c>
      <c r="G341">
        <v>200</v>
      </c>
    </row>
    <row r="342" spans="6:7" hidden="1">
      <c r="F342">
        <v>111</v>
      </c>
      <c r="G342">
        <v>200</v>
      </c>
    </row>
    <row r="343" spans="6:7" hidden="1">
      <c r="F343">
        <v>112</v>
      </c>
      <c r="G343">
        <v>200</v>
      </c>
    </row>
    <row r="344" spans="6:7" hidden="1">
      <c r="F344">
        <v>113</v>
      </c>
      <c r="G344">
        <v>200</v>
      </c>
    </row>
    <row r="345" spans="6:7" hidden="1">
      <c r="F345">
        <v>114</v>
      </c>
      <c r="G345">
        <v>200</v>
      </c>
    </row>
    <row r="346" spans="6:7" hidden="1">
      <c r="F346">
        <v>115</v>
      </c>
      <c r="G346">
        <v>300</v>
      </c>
    </row>
    <row r="347" spans="6:7" hidden="1">
      <c r="F347">
        <v>116</v>
      </c>
      <c r="G347">
        <v>300</v>
      </c>
    </row>
    <row r="348" spans="6:7" hidden="1">
      <c r="F348">
        <v>117</v>
      </c>
      <c r="G348">
        <v>300</v>
      </c>
    </row>
    <row r="349" spans="6:7" hidden="1">
      <c r="F349">
        <v>118</v>
      </c>
      <c r="G349">
        <v>300</v>
      </c>
    </row>
    <row r="350" spans="6:7" hidden="1">
      <c r="F350">
        <v>119</v>
      </c>
      <c r="G350">
        <v>300</v>
      </c>
    </row>
    <row r="351" spans="6:7" hidden="1">
      <c r="F351">
        <v>120</v>
      </c>
      <c r="G351">
        <v>300</v>
      </c>
    </row>
    <row r="352" spans="6:7" hidden="1">
      <c r="F352">
        <v>121</v>
      </c>
      <c r="G352">
        <v>400</v>
      </c>
    </row>
    <row r="353" spans="6:7" hidden="1">
      <c r="F353">
        <v>122</v>
      </c>
      <c r="G353">
        <v>400</v>
      </c>
    </row>
    <row r="371" spans="1:15">
      <c r="A371" s="84" t="s">
        <v>112</v>
      </c>
      <c r="B371" s="120"/>
      <c r="C371" s="120"/>
      <c r="D371" s="120"/>
      <c r="E371" s="120"/>
      <c r="F371" s="120"/>
      <c r="G371" s="120"/>
      <c r="H371" s="120"/>
      <c r="I371" s="189"/>
      <c r="J371" s="195"/>
      <c r="K371" s="195"/>
      <c r="L371" s="195"/>
      <c r="M371" s="195"/>
      <c r="N371" s="195"/>
      <c r="O371" s="195"/>
    </row>
    <row r="372" spans="1:15">
      <c r="A372" s="84" t="s">
        <v>113</v>
      </c>
      <c r="B372" s="120"/>
      <c r="C372" s="120"/>
      <c r="D372" s="120"/>
      <c r="E372" s="120"/>
      <c r="F372" s="120"/>
      <c r="G372" s="120"/>
      <c r="H372" s="120"/>
      <c r="I372" s="179" t="str">
        <f>+CONCATENATE("20142_",I374)</f>
        <v>20142_6</v>
      </c>
      <c r="J372" s="195"/>
      <c r="K372" s="195"/>
      <c r="L372" s="195"/>
      <c r="M372" s="195"/>
      <c r="N372" s="195"/>
      <c r="O372" s="195"/>
    </row>
    <row r="373" spans="1:15">
      <c r="A373" s="84" t="s">
        <v>114</v>
      </c>
      <c r="B373" s="120"/>
      <c r="C373" s="120"/>
      <c r="D373" s="120"/>
      <c r="E373" s="120"/>
      <c r="F373" s="120"/>
      <c r="G373" s="120"/>
      <c r="H373" s="120"/>
      <c r="I373" s="120"/>
      <c r="J373" s="195"/>
      <c r="K373" s="195"/>
      <c r="L373" s="195"/>
      <c r="M373" s="195"/>
      <c r="N373" s="195"/>
      <c r="O373" s="195"/>
    </row>
    <row r="374" spans="1:15">
      <c r="A374" s="120"/>
      <c r="B374" s="120"/>
      <c r="C374" s="120"/>
      <c r="D374" s="120"/>
      <c r="E374" s="120"/>
      <c r="F374" s="120"/>
      <c r="G374" s="120"/>
      <c r="H374" s="120"/>
      <c r="I374" s="191">
        <v>6</v>
      </c>
      <c r="J374" s="195"/>
      <c r="K374" s="195"/>
      <c r="L374" s="195"/>
      <c r="M374" s="195"/>
      <c r="N374" s="195"/>
      <c r="O374" s="195"/>
    </row>
    <row r="375" spans="1:15">
      <c r="A375" s="120" t="s">
        <v>115</v>
      </c>
      <c r="B375" s="120"/>
      <c r="C375" s="120"/>
      <c r="D375" s="120"/>
      <c r="E375" s="120"/>
      <c r="F375" s="120"/>
      <c r="G375" s="120"/>
      <c r="H375" s="120"/>
      <c r="I375" s="83">
        <f>I5</f>
        <v>43800</v>
      </c>
      <c r="J375" s="195"/>
      <c r="K375" s="195"/>
      <c r="L375" s="195"/>
      <c r="M375" s="195"/>
      <c r="N375" s="195"/>
      <c r="O375" s="195"/>
    </row>
    <row r="376" spans="1:15">
      <c r="A376" s="120"/>
      <c r="B376" s="120"/>
      <c r="C376" s="120"/>
      <c r="D376" s="120"/>
      <c r="E376" s="120"/>
      <c r="F376" s="120"/>
      <c r="G376" s="120"/>
      <c r="H376" s="120"/>
      <c r="I376" s="120"/>
      <c r="J376" s="195"/>
      <c r="K376" s="195"/>
      <c r="L376" s="195"/>
      <c r="M376" s="195"/>
      <c r="N376" s="195"/>
      <c r="O376" s="195"/>
    </row>
    <row r="377" spans="1:15">
      <c r="A377" s="120" t="s">
        <v>116</v>
      </c>
      <c r="B377" s="120"/>
      <c r="C377" s="84" t="str">
        <f>VLOOKUP(I374,AVANCEVENDEDOR!$A$2:$R$35,3,0)</f>
        <v>SANTOS TORRES OSCAR LUIS</v>
      </c>
      <c r="D377" s="120"/>
      <c r="E377" s="120"/>
      <c r="F377" s="120"/>
      <c r="G377" s="120"/>
      <c r="H377" s="120"/>
      <c r="I377" s="120"/>
      <c r="J377" s="195"/>
      <c r="K377" s="195"/>
      <c r="L377" s="195"/>
      <c r="M377" s="195"/>
      <c r="N377" s="195"/>
      <c r="O377" s="195"/>
    </row>
    <row r="378" spans="1:15">
      <c r="A378" s="120"/>
      <c r="B378" s="120"/>
      <c r="C378" s="120"/>
      <c r="D378" s="120"/>
      <c r="E378" s="120"/>
      <c r="F378" s="120"/>
      <c r="G378" s="120"/>
      <c r="H378" s="120"/>
      <c r="I378" s="84" t="s">
        <v>118</v>
      </c>
      <c r="J378" s="195"/>
      <c r="K378" s="195"/>
      <c r="L378" s="195"/>
      <c r="M378" s="195"/>
      <c r="N378" s="195"/>
      <c r="O378" s="195"/>
    </row>
    <row r="379" spans="1:15">
      <c r="A379" s="120"/>
      <c r="B379" s="120"/>
      <c r="C379" s="120"/>
      <c r="D379" s="120"/>
      <c r="E379" s="120"/>
      <c r="F379" s="120"/>
      <c r="G379" s="120"/>
      <c r="H379" s="120"/>
      <c r="I379" s="120"/>
      <c r="J379" s="195"/>
      <c r="K379" s="195"/>
      <c r="L379" s="195"/>
      <c r="M379" s="195"/>
      <c r="N379" s="195"/>
      <c r="O379" s="195"/>
    </row>
    <row r="380" spans="1:15">
      <c r="A380" s="120" t="s">
        <v>119</v>
      </c>
      <c r="B380" s="120"/>
      <c r="C380" s="120"/>
      <c r="D380" s="120"/>
      <c r="E380" s="120"/>
      <c r="F380" s="120"/>
      <c r="G380" s="120"/>
      <c r="H380" s="120"/>
      <c r="I380" s="181">
        <v>850</v>
      </c>
      <c r="J380" s="195"/>
      <c r="K380" s="195"/>
      <c r="L380" s="195"/>
      <c r="M380" s="195"/>
      <c r="N380" s="195"/>
      <c r="O380" s="195"/>
    </row>
    <row r="381" spans="1:15" ht="20.25">
      <c r="A381" s="120" t="s">
        <v>120</v>
      </c>
      <c r="B381" s="120"/>
      <c r="C381" s="120"/>
      <c r="D381" s="120"/>
      <c r="E381" s="120"/>
      <c r="F381" s="86" t="s">
        <v>272</v>
      </c>
      <c r="G381" s="86" t="s">
        <v>122</v>
      </c>
      <c r="H381" s="86" t="s">
        <v>123</v>
      </c>
      <c r="I381" s="181">
        <v>400</v>
      </c>
      <c r="J381" s="195"/>
      <c r="K381" s="195"/>
      <c r="L381" s="195"/>
      <c r="M381" s="195"/>
      <c r="N381" s="195"/>
      <c r="O381" s="195"/>
    </row>
    <row r="382" spans="1:15">
      <c r="A382" s="120" t="s">
        <v>291</v>
      </c>
      <c r="B382" s="120"/>
      <c r="C382" s="120"/>
      <c r="D382" s="120"/>
      <c r="E382" s="120"/>
      <c r="F382" s="182">
        <v>0.5</v>
      </c>
      <c r="G382" s="182">
        <f>IF(I374=13,80,85)</f>
        <v>85</v>
      </c>
      <c r="H382" s="182">
        <f>+H395</f>
        <v>47.76101217828684</v>
      </c>
      <c r="I382" s="181">
        <f>IF(H382&gt;=G382,E395*F382%,0)</f>
        <v>0</v>
      </c>
      <c r="J382" s="195"/>
      <c r="K382" s="195"/>
      <c r="L382" s="195"/>
      <c r="M382" s="195"/>
      <c r="N382" s="195"/>
      <c r="O382" s="195"/>
    </row>
    <row r="383" spans="1:15">
      <c r="A383" s="120" t="str">
        <f>CONCATENATE("COM. MOROSIDAD AL ",G383,"%")</f>
        <v>COM. MOROSIDAD AL 5%</v>
      </c>
      <c r="B383" s="120"/>
      <c r="C383" s="120"/>
      <c r="D383" s="120"/>
      <c r="E383" s="120"/>
      <c r="F383" s="182">
        <v>0.3</v>
      </c>
      <c r="G383" s="182">
        <v>5</v>
      </c>
      <c r="H383" s="182">
        <f>+H398</f>
        <v>1.76</v>
      </c>
      <c r="I383" s="181">
        <f>+IF(H383&lt;=G383,E395*F383%,0)</f>
        <v>501.79413</v>
      </c>
      <c r="J383" s="195"/>
      <c r="K383" s="195"/>
      <c r="L383" s="195"/>
      <c r="M383" s="195"/>
      <c r="N383" s="195"/>
      <c r="O383" s="195"/>
    </row>
    <row r="384" spans="1:15">
      <c r="A384" s="120" t="s">
        <v>292</v>
      </c>
      <c r="B384" s="120"/>
      <c r="C384" s="120"/>
      <c r="D384" s="120"/>
      <c r="E384" s="120"/>
      <c r="F384" s="182">
        <f>IF(I374=3,0.1,0.2)</f>
        <v>0.2</v>
      </c>
      <c r="G384" s="182">
        <f>IF(I374=23,50,85)</f>
        <v>85</v>
      </c>
      <c r="H384" s="182">
        <f>+H402</f>
        <v>66.666666666666671</v>
      </c>
      <c r="I384" s="181">
        <f>IF(H384&gt;=G384,E395*F384%,0)</f>
        <v>0</v>
      </c>
      <c r="J384" s="195"/>
      <c r="K384" s="195"/>
      <c r="L384" s="195"/>
      <c r="M384" s="195"/>
      <c r="N384" s="195"/>
      <c r="O384" s="195"/>
    </row>
    <row r="385" spans="1:15">
      <c r="A385" s="120" t="str">
        <f>IF(I374=23,"COMISION POR TIEMPODE VIAJE",IF(I374=22,"BONIFICACION"," "))</f>
        <v xml:space="preserve"> </v>
      </c>
      <c r="B385" s="120"/>
      <c r="C385" s="120"/>
      <c r="D385" s="120"/>
      <c r="E385" s="120"/>
      <c r="F385" s="120"/>
      <c r="G385" s="120"/>
      <c r="H385" s="182"/>
      <c r="I385" s="181" t="str">
        <f>IF(I374=23,300,IF(I374=22,400," "))</f>
        <v xml:space="preserve"> </v>
      </c>
      <c r="J385" s="195"/>
      <c r="K385" s="195"/>
      <c r="L385" s="195"/>
      <c r="M385" s="195"/>
      <c r="N385" s="195"/>
      <c r="O385" s="195"/>
    </row>
    <row r="386" spans="1:15">
      <c r="A386" s="189" t="s">
        <v>274</v>
      </c>
      <c r="B386" s="189"/>
      <c r="C386" s="189"/>
      <c r="D386" s="189"/>
      <c r="E386" s="189"/>
      <c r="F386" s="374" t="s">
        <v>275</v>
      </c>
      <c r="G386" s="374"/>
      <c r="H386" s="375" t="s">
        <v>276</v>
      </c>
      <c r="I386" s="193"/>
      <c r="J386" s="195"/>
      <c r="K386" s="195"/>
      <c r="L386" s="195"/>
      <c r="M386" s="195"/>
      <c r="N386" s="195"/>
      <c r="O386" s="195"/>
    </row>
    <row r="387" spans="1:15">
      <c r="A387" s="189"/>
      <c r="B387" s="189"/>
      <c r="C387" s="189"/>
      <c r="D387" s="189"/>
      <c r="E387" s="189"/>
      <c r="F387" s="374" t="s">
        <v>277</v>
      </c>
      <c r="G387" s="374"/>
      <c r="H387" s="375"/>
      <c r="I387" s="376">
        <v>0</v>
      </c>
      <c r="J387" s="195"/>
      <c r="K387" s="195"/>
      <c r="L387" s="195"/>
      <c r="M387" s="195"/>
      <c r="N387" s="195"/>
      <c r="O387" s="195"/>
    </row>
    <row r="388" spans="1:15">
      <c r="A388" s="189"/>
      <c r="B388" s="197"/>
      <c r="C388" s="197"/>
      <c r="D388" s="197"/>
      <c r="E388" s="197"/>
      <c r="F388" s="374" t="s">
        <v>278</v>
      </c>
      <c r="G388" s="374"/>
      <c r="H388" s="375"/>
      <c r="I388" s="376"/>
      <c r="J388" s="195"/>
      <c r="K388" s="195"/>
      <c r="L388" s="195"/>
      <c r="M388" s="195"/>
      <c r="N388" s="195"/>
      <c r="O388" s="195"/>
    </row>
    <row r="389" spans="1:15">
      <c r="A389" s="189"/>
      <c r="B389" s="197"/>
      <c r="C389" s="197"/>
      <c r="D389" s="197"/>
      <c r="E389" s="197"/>
      <c r="F389" s="374" t="s">
        <v>279</v>
      </c>
      <c r="G389" s="374"/>
      <c r="H389" s="375"/>
      <c r="I389" s="198"/>
      <c r="J389" s="195"/>
      <c r="K389" s="195"/>
      <c r="L389" s="195"/>
      <c r="M389" s="195"/>
      <c r="N389" s="195"/>
      <c r="O389" s="195"/>
    </row>
    <row r="390" spans="1:15">
      <c r="A390" s="120"/>
      <c r="B390" s="84" t="str">
        <f>IF(I374=13,"Remuneracion Extra"," ")</f>
        <v xml:space="preserve"> </v>
      </c>
      <c r="C390" s="120"/>
      <c r="D390" s="120"/>
      <c r="E390" s="120"/>
      <c r="F390" s="120"/>
      <c r="G390" s="120"/>
      <c r="H390" s="120"/>
      <c r="I390" s="183"/>
      <c r="J390" s="195"/>
      <c r="K390" s="195"/>
      <c r="L390" s="195"/>
      <c r="M390" s="195"/>
      <c r="N390" s="195"/>
      <c r="O390" s="195"/>
    </row>
    <row r="391" spans="1:15" ht="15.75">
      <c r="A391" s="184" t="s">
        <v>129</v>
      </c>
      <c r="B391" s="185"/>
      <c r="C391" s="185"/>
      <c r="D391" s="185"/>
      <c r="E391" s="185"/>
      <c r="F391" s="185"/>
      <c r="G391" s="185"/>
      <c r="H391" s="185"/>
      <c r="I391" s="186">
        <f>SUM(I380:I390)</f>
        <v>1751.79413</v>
      </c>
      <c r="J391" s="195"/>
      <c r="K391" s="195"/>
      <c r="L391" s="195"/>
      <c r="M391" s="195"/>
      <c r="N391" s="195"/>
      <c r="O391" s="195"/>
    </row>
    <row r="392" spans="1:15">
      <c r="A392" s="120"/>
      <c r="B392" s="120"/>
      <c r="C392" s="120"/>
      <c r="D392" s="120"/>
      <c r="E392" s="120"/>
      <c r="F392" s="120"/>
      <c r="G392" s="120"/>
      <c r="H392" s="120"/>
      <c r="I392" s="120"/>
      <c r="J392" s="195"/>
      <c r="K392" s="195"/>
      <c r="L392" s="195"/>
      <c r="M392" s="195"/>
      <c r="N392" s="195"/>
      <c r="O392" s="195"/>
    </row>
    <row r="393" spans="1:15">
      <c r="A393" s="121" t="s">
        <v>130</v>
      </c>
      <c r="B393" s="121"/>
      <c r="C393" s="121"/>
      <c r="D393" s="121"/>
      <c r="E393" s="121"/>
      <c r="F393" s="121"/>
      <c r="G393" s="121"/>
      <c r="H393" s="121"/>
      <c r="I393" s="121"/>
      <c r="J393" s="195"/>
      <c r="K393" s="195"/>
      <c r="L393" s="195"/>
      <c r="M393" s="195"/>
      <c r="N393" s="195"/>
      <c r="O393" s="195"/>
    </row>
    <row r="394" spans="1:15">
      <c r="A394" s="121"/>
      <c r="B394" s="121" t="s">
        <v>131</v>
      </c>
      <c r="C394" s="121"/>
      <c r="D394" s="121"/>
      <c r="E394" s="187">
        <f>VLOOKUP(I374,AVANCEVENDEDOR!$A$2:$R$35,7,0)</f>
        <v>350211.82</v>
      </c>
      <c r="F394" s="187"/>
      <c r="G394" s="121"/>
      <c r="H394" s="121"/>
      <c r="I394" s="121"/>
      <c r="J394" s="195"/>
      <c r="K394" s="195"/>
      <c r="L394" s="195"/>
      <c r="M394" s="199"/>
      <c r="N394" s="200"/>
      <c r="O394" s="195"/>
    </row>
    <row r="395" spans="1:15">
      <c r="A395" s="121"/>
      <c r="B395" s="121" t="s">
        <v>132</v>
      </c>
      <c r="C395" s="121"/>
      <c r="D395" s="121"/>
      <c r="E395" s="187">
        <f>IF(I374=27,(VLOOKUP(I374,AVANCEVENDEDOR!$A$2:$R$35,6,0)-I371),(VLOOKUP(I374,AVANCEVENDEDOR!$A$2:$R$35,6,0)))</f>
        <v>167264.71</v>
      </c>
      <c r="F395" s="187"/>
      <c r="G395" s="188" t="s">
        <v>133</v>
      </c>
      <c r="H395" s="187">
        <f>+E395*100/E394</f>
        <v>47.76101217828684</v>
      </c>
      <c r="I395" s="121"/>
      <c r="J395" s="195"/>
      <c r="K395" s="121"/>
      <c r="L395" s="201"/>
      <c r="M395" s="195"/>
      <c r="N395" s="195"/>
      <c r="O395" s="195"/>
    </row>
    <row r="396" spans="1:15">
      <c r="A396" s="121"/>
      <c r="B396" s="121"/>
      <c r="C396" s="121"/>
      <c r="D396" s="121"/>
      <c r="E396" s="121"/>
      <c r="F396" s="121"/>
      <c r="G396" s="188"/>
      <c r="H396" s="121"/>
      <c r="I396" s="121"/>
      <c r="J396" s="195"/>
      <c r="K396" s="195"/>
      <c r="L396" s="195"/>
      <c r="M396" s="195"/>
      <c r="N396" s="195"/>
      <c r="O396" s="195"/>
    </row>
    <row r="397" spans="1:15">
      <c r="A397" s="121"/>
      <c r="B397" s="121" t="s">
        <v>134</v>
      </c>
      <c r="C397" s="121"/>
      <c r="D397" s="121"/>
      <c r="E397" s="187">
        <f>VLOOKUP(I374,AVANCEVENDEDOR!$A$2:$R$35,10,0)</f>
        <v>692118.64</v>
      </c>
      <c r="F397" s="187"/>
      <c r="G397" s="188"/>
      <c r="H397" s="121"/>
      <c r="I397" s="121"/>
      <c r="J397" s="195"/>
      <c r="K397" s="195"/>
      <c r="L397" s="195"/>
      <c r="M397" s="195"/>
      <c r="N397" s="195"/>
      <c r="O397" s="195"/>
    </row>
    <row r="398" spans="1:15">
      <c r="A398" s="121"/>
      <c r="B398" s="121" t="s">
        <v>135</v>
      </c>
      <c r="C398" s="121"/>
      <c r="D398" s="121"/>
      <c r="E398" s="187">
        <f>VLOOKUP(I374,AVANCEVENDEDOR!$A$2:$R$35,11,0)</f>
        <v>12189.77</v>
      </c>
      <c r="F398" s="187"/>
      <c r="G398" s="188" t="s">
        <v>136</v>
      </c>
      <c r="H398" s="187">
        <f>VLOOKUP(I374,AVANCEVENDEDOR!$A$2:$R$35,15,0)</f>
        <v>1.76</v>
      </c>
      <c r="I398" s="121"/>
      <c r="J398" s="195"/>
      <c r="K398" s="195"/>
      <c r="L398" s="195"/>
      <c r="M398" s="195"/>
      <c r="N398" s="195"/>
      <c r="O398" s="195"/>
    </row>
    <row r="399" spans="1:15">
      <c r="A399" s="121"/>
      <c r="B399" s="121" t="s">
        <v>137</v>
      </c>
      <c r="C399" s="121"/>
      <c r="D399" s="121"/>
      <c r="E399" s="187">
        <f>VLOOKUP(I374,AVANCEVENDEDOR!$A$2:$R$35,9,0)</f>
        <v>451561.19</v>
      </c>
      <c r="F399" s="187"/>
      <c r="G399" s="188"/>
      <c r="H399" s="121"/>
      <c r="I399" s="121"/>
      <c r="J399" s="195"/>
      <c r="K399" s="195"/>
      <c r="L399" s="195"/>
      <c r="M399" s="195"/>
      <c r="N399" s="195"/>
      <c r="O399" s="195"/>
    </row>
    <row r="400" spans="1:15">
      <c r="A400" s="121"/>
      <c r="B400" s="121"/>
      <c r="C400" s="121"/>
      <c r="D400" s="121"/>
      <c r="E400" s="121"/>
      <c r="F400" s="121"/>
      <c r="G400" s="188"/>
      <c r="H400" s="121"/>
      <c r="I400" s="121"/>
      <c r="J400" s="195"/>
      <c r="K400" s="195"/>
      <c r="L400" s="195"/>
      <c r="M400" s="195"/>
      <c r="N400" s="195"/>
      <c r="O400" s="195"/>
    </row>
    <row r="401" spans="1:15">
      <c r="A401" s="121"/>
      <c r="B401" s="121" t="s">
        <v>280</v>
      </c>
      <c r="C401" s="121"/>
      <c r="D401" s="121"/>
      <c r="E401" s="187">
        <f>VLOOKUP(I374,AVANCEVENDEDOR!$A$2:$R$35,13,0)</f>
        <v>15</v>
      </c>
      <c r="F401" s="187"/>
      <c r="G401" s="121"/>
      <c r="H401" s="187"/>
      <c r="I401" s="121"/>
      <c r="J401" s="195"/>
      <c r="K401" s="195"/>
      <c r="L401" s="195"/>
      <c r="M401" s="195"/>
      <c r="N401" s="195"/>
      <c r="O401" s="195"/>
    </row>
    <row r="402" spans="1:15">
      <c r="A402" s="121"/>
      <c r="B402" s="121" t="s">
        <v>281</v>
      </c>
      <c r="C402" s="121"/>
      <c r="D402" s="121"/>
      <c r="E402" s="187">
        <f>VLOOKUP(I374,AVANCEVENDEDOR!$A$2:$R$35,14,0)</f>
        <v>10</v>
      </c>
      <c r="F402" s="187"/>
      <c r="G402" s="188" t="s">
        <v>140</v>
      </c>
      <c r="H402" s="187">
        <f>+E402*100/E401</f>
        <v>66.666666666666671</v>
      </c>
      <c r="I402" s="121"/>
      <c r="J402" s="195"/>
      <c r="K402" s="195"/>
      <c r="L402" s="195"/>
      <c r="M402" s="195"/>
      <c r="N402" s="195"/>
      <c r="O402" s="195"/>
    </row>
    <row r="403" spans="1:15">
      <c r="J403" s="195"/>
      <c r="K403" s="195"/>
      <c r="L403" s="195"/>
      <c r="M403" s="195"/>
      <c r="N403" s="195"/>
      <c r="O403" s="195"/>
    </row>
    <row r="404" spans="1:15" hidden="1">
      <c r="F404">
        <v>99</v>
      </c>
    </row>
    <row r="405" spans="1:15" hidden="1">
      <c r="F405">
        <v>100</v>
      </c>
      <c r="G405">
        <v>100</v>
      </c>
    </row>
    <row r="406" spans="1:15" hidden="1">
      <c r="F406">
        <v>101</v>
      </c>
      <c r="G406">
        <v>100</v>
      </c>
    </row>
    <row r="407" spans="1:15" hidden="1">
      <c r="F407">
        <v>102</v>
      </c>
      <c r="G407">
        <v>100</v>
      </c>
    </row>
    <row r="408" spans="1:15" hidden="1">
      <c r="F408">
        <v>103</v>
      </c>
      <c r="G408">
        <v>100</v>
      </c>
    </row>
    <row r="409" spans="1:15" hidden="1">
      <c r="F409">
        <v>104</v>
      </c>
      <c r="G409">
        <v>100</v>
      </c>
    </row>
    <row r="410" spans="1:15" hidden="1">
      <c r="F410">
        <v>105</v>
      </c>
      <c r="G410">
        <v>100</v>
      </c>
    </row>
    <row r="411" spans="1:15" hidden="1">
      <c r="F411">
        <v>106</v>
      </c>
      <c r="G411">
        <v>200</v>
      </c>
    </row>
    <row r="412" spans="1:15" hidden="1">
      <c r="F412">
        <v>107</v>
      </c>
      <c r="G412">
        <v>200</v>
      </c>
    </row>
    <row r="413" spans="1:15" hidden="1">
      <c r="F413">
        <v>108</v>
      </c>
      <c r="G413">
        <v>200</v>
      </c>
    </row>
    <row r="414" spans="1:15" hidden="1">
      <c r="F414">
        <v>109</v>
      </c>
      <c r="G414">
        <v>200</v>
      </c>
    </row>
    <row r="415" spans="1:15" hidden="1">
      <c r="F415">
        <v>110</v>
      </c>
      <c r="G415">
        <v>200</v>
      </c>
    </row>
    <row r="416" spans="1:15" hidden="1">
      <c r="F416">
        <v>111</v>
      </c>
      <c r="G416">
        <v>200</v>
      </c>
    </row>
    <row r="417" spans="6:7" hidden="1">
      <c r="F417">
        <v>112</v>
      </c>
      <c r="G417">
        <v>200</v>
      </c>
    </row>
    <row r="418" spans="6:7" hidden="1">
      <c r="F418">
        <v>113</v>
      </c>
      <c r="G418">
        <v>200</v>
      </c>
    </row>
    <row r="419" spans="6:7" hidden="1">
      <c r="F419">
        <v>114</v>
      </c>
      <c r="G419">
        <v>200</v>
      </c>
    </row>
    <row r="420" spans="6:7" hidden="1">
      <c r="F420">
        <v>115</v>
      </c>
      <c r="G420">
        <v>300</v>
      </c>
    </row>
    <row r="421" spans="6:7" hidden="1">
      <c r="F421">
        <v>116</v>
      </c>
      <c r="G421">
        <v>300</v>
      </c>
    </row>
    <row r="422" spans="6:7" hidden="1">
      <c r="F422">
        <v>117</v>
      </c>
      <c r="G422">
        <v>300</v>
      </c>
    </row>
    <row r="423" spans="6:7" hidden="1">
      <c r="F423">
        <v>118</v>
      </c>
      <c r="G423">
        <v>300</v>
      </c>
    </row>
    <row r="424" spans="6:7" hidden="1">
      <c r="F424">
        <v>119</v>
      </c>
      <c r="G424">
        <v>300</v>
      </c>
    </row>
    <row r="425" spans="6:7" hidden="1">
      <c r="F425">
        <v>120</v>
      </c>
      <c r="G425">
        <v>300</v>
      </c>
    </row>
    <row r="426" spans="6:7" hidden="1">
      <c r="F426">
        <v>121</v>
      </c>
      <c r="G426">
        <v>400</v>
      </c>
    </row>
    <row r="427" spans="6:7" hidden="1">
      <c r="F427">
        <v>122</v>
      </c>
      <c r="G427">
        <v>400</v>
      </c>
    </row>
    <row r="445" spans="1:15">
      <c r="A445" s="84" t="s">
        <v>112</v>
      </c>
      <c r="B445" s="120"/>
      <c r="C445" s="120"/>
      <c r="D445" s="120"/>
      <c r="E445" s="120"/>
      <c r="F445" s="120"/>
      <c r="G445" s="120"/>
      <c r="H445" s="120"/>
      <c r="I445" s="189"/>
      <c r="J445" s="195"/>
      <c r="K445" s="195"/>
      <c r="L445" s="195"/>
      <c r="M445" s="195"/>
      <c r="N445" s="195"/>
      <c r="O445" s="195"/>
    </row>
    <row r="446" spans="1:15">
      <c r="A446" s="84" t="s">
        <v>113</v>
      </c>
      <c r="B446" s="120"/>
      <c r="C446" s="120"/>
      <c r="D446" s="120"/>
      <c r="E446" s="120"/>
      <c r="F446" s="120"/>
      <c r="G446" s="120"/>
      <c r="H446" s="120"/>
      <c r="I446" s="179" t="str">
        <f>+CONCATENATE("20142_",I448)</f>
        <v>20142_7</v>
      </c>
      <c r="J446" s="195"/>
      <c r="K446" s="195"/>
      <c r="L446" s="195"/>
      <c r="M446" s="195"/>
      <c r="N446" s="195"/>
      <c r="O446" s="195"/>
    </row>
    <row r="447" spans="1:15">
      <c r="A447" s="84" t="s">
        <v>114</v>
      </c>
      <c r="B447" s="120"/>
      <c r="C447" s="120"/>
      <c r="D447" s="120"/>
      <c r="E447" s="120"/>
      <c r="F447" s="120"/>
      <c r="G447" s="120"/>
      <c r="H447" s="120"/>
      <c r="I447" s="120"/>
      <c r="J447" s="195"/>
      <c r="K447" s="195"/>
      <c r="L447" s="195"/>
      <c r="M447" s="195"/>
      <c r="N447" s="195"/>
      <c r="O447" s="195"/>
    </row>
    <row r="448" spans="1:15">
      <c r="A448" s="120"/>
      <c r="B448" s="120"/>
      <c r="C448" s="120"/>
      <c r="D448" s="120"/>
      <c r="E448" s="120"/>
      <c r="F448" s="120"/>
      <c r="G448" s="120"/>
      <c r="H448" s="120"/>
      <c r="I448" s="191">
        <v>7</v>
      </c>
      <c r="J448" s="195"/>
      <c r="K448" s="195"/>
      <c r="L448" s="195"/>
      <c r="M448" s="195"/>
      <c r="N448" s="195"/>
      <c r="O448" s="195"/>
    </row>
    <row r="449" spans="1:15">
      <c r="A449" s="120" t="s">
        <v>115</v>
      </c>
      <c r="B449" s="120"/>
      <c r="C449" s="120"/>
      <c r="D449" s="120"/>
      <c r="E449" s="120"/>
      <c r="F449" s="120"/>
      <c r="G449" s="120"/>
      <c r="H449" s="120"/>
      <c r="I449" s="83">
        <f>I5</f>
        <v>43800</v>
      </c>
      <c r="J449" s="195"/>
      <c r="K449" s="195"/>
      <c r="L449" s="195"/>
      <c r="M449" s="195"/>
      <c r="N449" s="195"/>
      <c r="O449" s="195"/>
    </row>
    <row r="450" spans="1:15">
      <c r="A450" s="120"/>
      <c r="B450" s="120"/>
      <c r="C450" s="120"/>
      <c r="D450" s="120"/>
      <c r="E450" s="120"/>
      <c r="F450" s="120"/>
      <c r="G450" s="120"/>
      <c r="H450" s="120"/>
      <c r="I450" s="120"/>
      <c r="J450" s="195"/>
      <c r="K450" s="195"/>
      <c r="L450" s="195"/>
      <c r="M450" s="195"/>
      <c r="N450" s="195"/>
      <c r="O450" s="195"/>
    </row>
    <row r="451" spans="1:15">
      <c r="A451" s="120" t="s">
        <v>116</v>
      </c>
      <c r="B451" s="120"/>
      <c r="C451" s="84" t="str">
        <f>VLOOKUP(I448,AVANCEVENDEDOR!$A$2:$R$35,3,0)</f>
        <v>QUISPE GARCIA JACKELINE</v>
      </c>
      <c r="D451" s="120"/>
      <c r="E451" s="120"/>
      <c r="F451" s="120"/>
      <c r="G451" s="120"/>
      <c r="H451" s="120"/>
      <c r="I451" s="120"/>
      <c r="J451" s="195"/>
      <c r="K451" s="195"/>
      <c r="L451" s="195"/>
      <c r="M451" s="195"/>
      <c r="N451" s="195"/>
      <c r="O451" s="195"/>
    </row>
    <row r="452" spans="1:15">
      <c r="A452" s="120"/>
      <c r="B452" s="120"/>
      <c r="C452" s="120"/>
      <c r="D452" s="120"/>
      <c r="E452" s="120"/>
      <c r="F452" s="120"/>
      <c r="G452" s="120"/>
      <c r="H452" s="120"/>
      <c r="I452" s="84" t="s">
        <v>118</v>
      </c>
      <c r="J452" s="195"/>
      <c r="K452" s="195"/>
      <c r="L452" s="195"/>
      <c r="M452" s="195"/>
      <c r="N452" s="195"/>
      <c r="O452" s="195"/>
    </row>
    <row r="453" spans="1:15">
      <c r="A453" s="120"/>
      <c r="B453" s="120"/>
      <c r="C453" s="120"/>
      <c r="D453" s="120"/>
      <c r="E453" s="120"/>
      <c r="F453" s="120"/>
      <c r="G453" s="120"/>
      <c r="H453" s="120"/>
      <c r="I453" s="120"/>
      <c r="J453" s="195"/>
      <c r="K453" s="195"/>
      <c r="L453" s="195"/>
      <c r="M453" s="195"/>
      <c r="N453" s="195"/>
      <c r="O453" s="195"/>
    </row>
    <row r="454" spans="1:15">
      <c r="A454" s="120" t="s">
        <v>119</v>
      </c>
      <c r="B454" s="120"/>
      <c r="C454" s="120"/>
      <c r="D454" s="120"/>
      <c r="E454" s="120"/>
      <c r="F454" s="120"/>
      <c r="G454" s="120"/>
      <c r="H454" s="120"/>
      <c r="I454" s="181">
        <v>850</v>
      </c>
      <c r="J454" s="195"/>
      <c r="K454" s="195"/>
      <c r="L454" s="195"/>
      <c r="M454" s="195"/>
      <c r="N454" s="195"/>
      <c r="O454" s="195"/>
    </row>
    <row r="455" spans="1:15" ht="20.25">
      <c r="A455" s="120" t="s">
        <v>120</v>
      </c>
      <c r="B455" s="120"/>
      <c r="C455" s="120"/>
      <c r="D455" s="120"/>
      <c r="E455" s="120"/>
      <c r="F455" s="86" t="s">
        <v>272</v>
      </c>
      <c r="G455" s="86" t="s">
        <v>122</v>
      </c>
      <c r="H455" s="86" t="s">
        <v>123</v>
      </c>
      <c r="I455" s="181">
        <v>400</v>
      </c>
      <c r="J455" s="195"/>
      <c r="K455" s="195"/>
      <c r="L455" s="195"/>
      <c r="M455" s="195"/>
      <c r="N455" s="195"/>
      <c r="O455" s="195"/>
    </row>
    <row r="456" spans="1:15">
      <c r="A456" s="120" t="s">
        <v>291</v>
      </c>
      <c r="B456" s="120"/>
      <c r="C456" s="120"/>
      <c r="D456" s="120"/>
      <c r="E456" s="120"/>
      <c r="F456" s="182">
        <v>0.5</v>
      </c>
      <c r="G456" s="182">
        <f>IF(I448=13,80,85)</f>
        <v>85</v>
      </c>
      <c r="H456" s="182">
        <f>+H469</f>
        <v>52.105481495887339</v>
      </c>
      <c r="I456" s="181">
        <f>IF(H456&gt;=G456,E469*F456%,0)</f>
        <v>0</v>
      </c>
      <c r="J456" s="195"/>
      <c r="K456" s="195"/>
      <c r="L456" s="195"/>
      <c r="M456" s="195"/>
      <c r="N456" s="195"/>
      <c r="O456" s="195"/>
    </row>
    <row r="457" spans="1:15">
      <c r="A457" s="120" t="str">
        <f>CONCATENATE("COM. MOROSIDAD AL ",G457,"%")</f>
        <v>COM. MOROSIDAD AL 5%</v>
      </c>
      <c r="B457" s="120"/>
      <c r="C457" s="120"/>
      <c r="D457" s="120"/>
      <c r="E457" s="120"/>
      <c r="F457" s="182">
        <v>0.3</v>
      </c>
      <c r="G457" s="182">
        <v>5</v>
      </c>
      <c r="H457" s="182">
        <f>+H472</f>
        <v>14.29</v>
      </c>
      <c r="I457" s="181">
        <f>+IF(H457&lt;=G457,E469*F457%,0)</f>
        <v>0</v>
      </c>
      <c r="J457" s="195"/>
      <c r="K457" s="195"/>
      <c r="L457" s="195"/>
      <c r="M457" s="195"/>
      <c r="N457" s="195"/>
      <c r="O457" s="195"/>
    </row>
    <row r="458" spans="1:15">
      <c r="A458" s="120" t="s">
        <v>292</v>
      </c>
      <c r="B458" s="120"/>
      <c r="C458" s="120"/>
      <c r="D458" s="120"/>
      <c r="E458" s="120"/>
      <c r="F458" s="182">
        <f>IF(I448=3,0.1,0.2)</f>
        <v>0.2</v>
      </c>
      <c r="G458" s="182">
        <f>IF(I448=23,50,85)</f>
        <v>85</v>
      </c>
      <c r="H458" s="182">
        <f>+H476</f>
        <v>50</v>
      </c>
      <c r="I458" s="181">
        <f>IF(H458&gt;=G458,E469*F458%,0)</f>
        <v>0</v>
      </c>
      <c r="J458" s="195"/>
      <c r="K458" s="195"/>
      <c r="L458" s="195"/>
      <c r="M458" s="195"/>
      <c r="N458" s="195"/>
      <c r="O458" s="195"/>
    </row>
    <row r="459" spans="1:15">
      <c r="A459" s="120" t="str">
        <f>IF(I448=23,"COMISION POR TIEMPODE VIAJE",IF(I448=22,"BONIFICACION"," "))</f>
        <v xml:space="preserve"> </v>
      </c>
      <c r="B459" s="120"/>
      <c r="C459" s="120"/>
      <c r="D459" s="120"/>
      <c r="E459" s="120"/>
      <c r="F459" s="120"/>
      <c r="G459" s="120"/>
      <c r="H459" s="182"/>
      <c r="I459" s="181" t="str">
        <f>IF(I448=23,300,IF(I448=22,400," "))</f>
        <v xml:space="preserve"> </v>
      </c>
      <c r="J459" s="195"/>
      <c r="K459" s="195"/>
      <c r="L459" s="195"/>
      <c r="M459" s="195"/>
      <c r="N459" s="195"/>
      <c r="O459" s="195"/>
    </row>
    <row r="460" spans="1:15">
      <c r="A460" s="189" t="s">
        <v>274</v>
      </c>
      <c r="B460" s="189"/>
      <c r="C460" s="189"/>
      <c r="D460" s="189"/>
      <c r="E460" s="189"/>
      <c r="F460" s="374" t="s">
        <v>275</v>
      </c>
      <c r="G460" s="374"/>
      <c r="H460" s="375" t="s">
        <v>276</v>
      </c>
      <c r="I460" s="193"/>
      <c r="J460" s="195"/>
      <c r="K460" s="195"/>
      <c r="L460" s="195"/>
      <c r="M460" s="195"/>
      <c r="N460" s="195"/>
      <c r="O460" s="195"/>
    </row>
    <row r="461" spans="1:15">
      <c r="A461" s="189"/>
      <c r="B461" s="189"/>
      <c r="C461" s="189"/>
      <c r="D461" s="189"/>
      <c r="E461" s="189"/>
      <c r="F461" s="374" t="s">
        <v>277</v>
      </c>
      <c r="G461" s="374"/>
      <c r="H461" s="375"/>
      <c r="I461" s="376">
        <v>0</v>
      </c>
      <c r="J461" s="195"/>
      <c r="K461" s="195"/>
      <c r="L461" s="195"/>
      <c r="M461" s="195"/>
      <c r="N461" s="195"/>
      <c r="O461" s="195"/>
    </row>
    <row r="462" spans="1:15">
      <c r="A462" s="189"/>
      <c r="B462" s="197"/>
      <c r="C462" s="197"/>
      <c r="D462" s="197"/>
      <c r="E462" s="197"/>
      <c r="F462" s="374" t="s">
        <v>278</v>
      </c>
      <c r="G462" s="374"/>
      <c r="H462" s="375"/>
      <c r="I462" s="376"/>
      <c r="J462" s="195"/>
      <c r="K462" s="195"/>
      <c r="L462" s="195"/>
      <c r="M462" s="195"/>
      <c r="N462" s="195"/>
      <c r="O462" s="195"/>
    </row>
    <row r="463" spans="1:15">
      <c r="A463" s="189"/>
      <c r="B463" s="197"/>
      <c r="C463" s="197"/>
      <c r="D463" s="197"/>
      <c r="E463" s="197"/>
      <c r="F463" s="374" t="s">
        <v>279</v>
      </c>
      <c r="G463" s="374"/>
      <c r="H463" s="375"/>
      <c r="I463" s="198"/>
      <c r="J463" s="195"/>
      <c r="K463" s="195"/>
      <c r="L463" s="195"/>
      <c r="M463" s="195"/>
      <c r="N463" s="195"/>
      <c r="O463" s="195"/>
    </row>
    <row r="464" spans="1:15">
      <c r="A464" s="120"/>
      <c r="B464" s="84" t="str">
        <f>IF(I448=13,"Remuneracion Extra"," ")</f>
        <v xml:space="preserve"> </v>
      </c>
      <c r="C464" s="120"/>
      <c r="D464" s="120"/>
      <c r="E464" s="120"/>
      <c r="F464" s="120"/>
      <c r="G464" s="120"/>
      <c r="H464" s="120"/>
      <c r="I464" s="183"/>
      <c r="J464" s="195"/>
      <c r="K464" s="195"/>
      <c r="L464" s="195"/>
      <c r="M464" s="195"/>
      <c r="N464" s="195"/>
      <c r="O464" s="195"/>
    </row>
    <row r="465" spans="1:15" ht="15.75">
      <c r="A465" s="184" t="s">
        <v>129</v>
      </c>
      <c r="B465" s="185"/>
      <c r="C465" s="185"/>
      <c r="D465" s="185"/>
      <c r="E465" s="185"/>
      <c r="F465" s="185"/>
      <c r="G465" s="185"/>
      <c r="H465" s="185"/>
      <c r="I465" s="186">
        <f>SUM(I454:I464)</f>
        <v>1250</v>
      </c>
      <c r="J465" s="195"/>
      <c r="K465" s="195"/>
      <c r="L465" s="195"/>
      <c r="M465" s="195"/>
      <c r="N465" s="195"/>
      <c r="O465" s="195"/>
    </row>
    <row r="466" spans="1:15">
      <c r="A466" s="120"/>
      <c r="B466" s="120"/>
      <c r="C466" s="120"/>
      <c r="D466" s="120"/>
      <c r="E466" s="120"/>
      <c r="F466" s="120"/>
      <c r="G466" s="120"/>
      <c r="H466" s="120"/>
      <c r="I466" s="120"/>
      <c r="J466" s="195"/>
      <c r="K466" s="195"/>
      <c r="L466" s="195"/>
      <c r="M466" s="195"/>
      <c r="N466" s="195"/>
      <c r="O466" s="195"/>
    </row>
    <row r="467" spans="1:15">
      <c r="A467" s="121" t="s">
        <v>130</v>
      </c>
      <c r="B467" s="121"/>
      <c r="C467" s="121"/>
      <c r="D467" s="121"/>
      <c r="E467" s="121"/>
      <c r="F467" s="121"/>
      <c r="G467" s="121"/>
      <c r="H467" s="121"/>
      <c r="I467" s="121"/>
      <c r="J467" s="195"/>
      <c r="K467" s="195"/>
      <c r="L467" s="195"/>
      <c r="M467" s="195"/>
      <c r="N467" s="195"/>
      <c r="O467" s="195"/>
    </row>
    <row r="468" spans="1:15">
      <c r="A468" s="121"/>
      <c r="B468" s="121" t="s">
        <v>131</v>
      </c>
      <c r="C468" s="121"/>
      <c r="D468" s="121"/>
      <c r="E468" s="187">
        <f>VLOOKUP(I448,AVANCEVENDEDOR!$A$2:$R$35,7,0)</f>
        <v>114356.74</v>
      </c>
      <c r="F468" s="187"/>
      <c r="G468" s="121"/>
      <c r="H468" s="121"/>
      <c r="I468" s="121"/>
      <c r="J468" s="195"/>
      <c r="K468" s="195"/>
      <c r="L468" s="195"/>
      <c r="M468" s="199"/>
      <c r="N468" s="200"/>
      <c r="O468" s="195"/>
    </row>
    <row r="469" spans="1:15">
      <c r="A469" s="121"/>
      <c r="B469" s="121" t="s">
        <v>132</v>
      </c>
      <c r="C469" s="121"/>
      <c r="D469" s="121"/>
      <c r="E469" s="187">
        <f>IF(I448=27,(VLOOKUP(I448,AVANCEVENDEDOR!$A$2:$R$35,6,0)-I445),(VLOOKUP(I448,AVANCEVENDEDOR!$A$2:$R$35,6,0)))</f>
        <v>59586.13</v>
      </c>
      <c r="F469" s="187"/>
      <c r="G469" s="188" t="s">
        <v>133</v>
      </c>
      <c r="H469" s="187">
        <f>+E469*100/E468</f>
        <v>52.105481495887339</v>
      </c>
      <c r="I469" s="121"/>
      <c r="J469" s="195"/>
      <c r="K469" s="121"/>
      <c r="L469" s="201"/>
      <c r="M469" s="195"/>
      <c r="N469" s="195"/>
      <c r="O469" s="195"/>
    </row>
    <row r="470" spans="1:15">
      <c r="A470" s="121"/>
      <c r="B470" s="121"/>
      <c r="C470" s="121"/>
      <c r="D470" s="121"/>
      <c r="E470" s="121"/>
      <c r="F470" s="121"/>
      <c r="G470" s="188"/>
      <c r="H470" s="121"/>
      <c r="I470" s="121"/>
      <c r="J470" s="195"/>
      <c r="K470" s="195"/>
      <c r="L470" s="195"/>
      <c r="M470" s="195"/>
      <c r="N470" s="195"/>
      <c r="O470" s="195"/>
    </row>
    <row r="471" spans="1:15">
      <c r="A471" s="121"/>
      <c r="B471" s="121" t="s">
        <v>134</v>
      </c>
      <c r="C471" s="121"/>
      <c r="D471" s="121"/>
      <c r="E471" s="187">
        <f>VLOOKUP(I448,AVANCEVENDEDOR!$A$2:$R$35,10,0)</f>
        <v>232096.39</v>
      </c>
      <c r="F471" s="187"/>
      <c r="G471" s="188"/>
      <c r="H471" s="121"/>
      <c r="I471" s="121"/>
      <c r="J471" s="195"/>
      <c r="K471" s="195"/>
      <c r="L471" s="195"/>
      <c r="M471" s="195"/>
      <c r="N471" s="195"/>
      <c r="O471" s="195"/>
    </row>
    <row r="472" spans="1:15">
      <c r="A472" s="121"/>
      <c r="B472" s="121" t="s">
        <v>135</v>
      </c>
      <c r="C472" s="121"/>
      <c r="D472" s="121"/>
      <c r="E472" s="187">
        <f>VLOOKUP(I448,AVANCEVENDEDOR!$A$2:$R$35,11,0)</f>
        <v>33178.550000000003</v>
      </c>
      <c r="F472" s="187"/>
      <c r="G472" s="188" t="s">
        <v>136</v>
      </c>
      <c r="H472" s="187">
        <f>VLOOKUP(I448,AVANCEVENDEDOR!$A$2:$R$35,15,0)</f>
        <v>14.29</v>
      </c>
      <c r="I472" s="121"/>
      <c r="J472" s="195"/>
      <c r="K472" s="195"/>
      <c r="L472" s="195"/>
      <c r="M472" s="195"/>
      <c r="N472" s="195"/>
      <c r="O472" s="195"/>
    </row>
    <row r="473" spans="1:15">
      <c r="A473" s="121"/>
      <c r="B473" s="121" t="s">
        <v>137</v>
      </c>
      <c r="C473" s="121"/>
      <c r="D473" s="121"/>
      <c r="E473" s="187">
        <f>VLOOKUP(I448,AVANCEVENDEDOR!$A$2:$R$35,9,0)</f>
        <v>117829.09</v>
      </c>
      <c r="F473" s="187"/>
      <c r="G473" s="188"/>
      <c r="H473" s="121"/>
      <c r="I473" s="121"/>
      <c r="J473" s="195"/>
      <c r="K473" s="195"/>
      <c r="L473" s="195"/>
      <c r="M473" s="195"/>
      <c r="N473" s="195"/>
      <c r="O473" s="195"/>
    </row>
    <row r="474" spans="1:15">
      <c r="A474" s="121"/>
      <c r="B474" s="121"/>
      <c r="C474" s="121"/>
      <c r="D474" s="121"/>
      <c r="E474" s="121"/>
      <c r="F474" s="121"/>
      <c r="G474" s="188"/>
      <c r="H474" s="121"/>
      <c r="I474" s="121"/>
      <c r="J474" s="195"/>
      <c r="K474" s="195"/>
      <c r="L474" s="195"/>
      <c r="M474" s="195"/>
      <c r="N474" s="195"/>
      <c r="O474" s="195"/>
    </row>
    <row r="475" spans="1:15">
      <c r="A475" s="121"/>
      <c r="B475" s="121" t="s">
        <v>280</v>
      </c>
      <c r="C475" s="121"/>
      <c r="D475" s="121"/>
      <c r="E475" s="187">
        <f>VLOOKUP(I448,AVANCEVENDEDOR!$A$2:$R$35,13,0)</f>
        <v>108</v>
      </c>
      <c r="F475" s="187"/>
      <c r="G475" s="121"/>
      <c r="H475" s="187"/>
      <c r="I475" s="121"/>
      <c r="J475" s="195"/>
      <c r="K475" s="195"/>
      <c r="L475" s="195"/>
      <c r="M475" s="195"/>
      <c r="N475" s="195"/>
      <c r="O475" s="195"/>
    </row>
    <row r="476" spans="1:15">
      <c r="A476" s="121"/>
      <c r="B476" s="121" t="s">
        <v>281</v>
      </c>
      <c r="C476" s="121"/>
      <c r="D476" s="121"/>
      <c r="E476" s="187">
        <f>VLOOKUP(I448,AVANCEVENDEDOR!$A$2:$R$35,14,0)</f>
        <v>54</v>
      </c>
      <c r="F476" s="187"/>
      <c r="G476" s="188" t="s">
        <v>140</v>
      </c>
      <c r="H476" s="187">
        <f>+E476*100/E475</f>
        <v>50</v>
      </c>
      <c r="I476" s="121"/>
      <c r="J476" s="195"/>
      <c r="K476" s="195"/>
      <c r="L476" s="195"/>
      <c r="M476" s="195"/>
      <c r="N476" s="195"/>
      <c r="O476" s="195"/>
    </row>
    <row r="477" spans="1:15">
      <c r="J477" s="195"/>
      <c r="K477" s="195"/>
      <c r="L477" s="195"/>
      <c r="M477" s="195"/>
      <c r="N477" s="195"/>
      <c r="O477" s="195"/>
    </row>
    <row r="478" spans="1:15" hidden="1">
      <c r="F478">
        <v>99</v>
      </c>
    </row>
    <row r="479" spans="1:15" hidden="1">
      <c r="F479">
        <v>100</v>
      </c>
      <c r="G479">
        <v>100</v>
      </c>
    </row>
    <row r="480" spans="1:15" hidden="1">
      <c r="F480">
        <v>101</v>
      </c>
      <c r="G480">
        <v>100</v>
      </c>
    </row>
    <row r="481" spans="6:7" hidden="1">
      <c r="F481">
        <v>102</v>
      </c>
      <c r="G481">
        <v>100</v>
      </c>
    </row>
    <row r="482" spans="6:7" hidden="1">
      <c r="F482">
        <v>103</v>
      </c>
      <c r="G482">
        <v>100</v>
      </c>
    </row>
    <row r="483" spans="6:7" hidden="1">
      <c r="F483">
        <v>104</v>
      </c>
      <c r="G483">
        <v>100</v>
      </c>
    </row>
    <row r="484" spans="6:7" hidden="1">
      <c r="F484">
        <v>105</v>
      </c>
      <c r="G484">
        <v>100</v>
      </c>
    </row>
    <row r="485" spans="6:7" hidden="1">
      <c r="F485">
        <v>106</v>
      </c>
      <c r="G485">
        <v>200</v>
      </c>
    </row>
    <row r="486" spans="6:7" hidden="1">
      <c r="F486">
        <v>107</v>
      </c>
      <c r="G486">
        <v>200</v>
      </c>
    </row>
    <row r="487" spans="6:7" hidden="1">
      <c r="F487">
        <v>108</v>
      </c>
      <c r="G487">
        <v>200</v>
      </c>
    </row>
    <row r="488" spans="6:7" hidden="1">
      <c r="F488">
        <v>109</v>
      </c>
      <c r="G488">
        <v>200</v>
      </c>
    </row>
    <row r="489" spans="6:7" hidden="1">
      <c r="F489">
        <v>110</v>
      </c>
      <c r="G489">
        <v>200</v>
      </c>
    </row>
    <row r="490" spans="6:7" hidden="1">
      <c r="F490">
        <v>111</v>
      </c>
      <c r="G490">
        <v>200</v>
      </c>
    </row>
    <row r="491" spans="6:7" hidden="1">
      <c r="F491">
        <v>112</v>
      </c>
      <c r="G491">
        <v>200</v>
      </c>
    </row>
    <row r="492" spans="6:7" hidden="1">
      <c r="F492">
        <v>113</v>
      </c>
      <c r="G492">
        <v>200</v>
      </c>
    </row>
    <row r="493" spans="6:7" hidden="1">
      <c r="F493">
        <v>114</v>
      </c>
      <c r="G493">
        <v>200</v>
      </c>
    </row>
    <row r="494" spans="6:7" hidden="1">
      <c r="F494">
        <v>115</v>
      </c>
      <c r="G494">
        <v>300</v>
      </c>
    </row>
    <row r="495" spans="6:7" hidden="1">
      <c r="F495">
        <v>116</v>
      </c>
      <c r="G495">
        <v>300</v>
      </c>
    </row>
    <row r="496" spans="6:7" hidden="1">
      <c r="F496">
        <v>117</v>
      </c>
      <c r="G496">
        <v>300</v>
      </c>
    </row>
    <row r="497" spans="6:7" hidden="1">
      <c r="F497">
        <v>118</v>
      </c>
      <c r="G497">
        <v>300</v>
      </c>
    </row>
    <row r="498" spans="6:7" hidden="1">
      <c r="F498">
        <v>119</v>
      </c>
      <c r="G498">
        <v>300</v>
      </c>
    </row>
    <row r="499" spans="6:7" hidden="1">
      <c r="F499">
        <v>120</v>
      </c>
      <c r="G499">
        <v>300</v>
      </c>
    </row>
    <row r="500" spans="6:7" hidden="1">
      <c r="F500">
        <v>121</v>
      </c>
      <c r="G500">
        <v>400</v>
      </c>
    </row>
    <row r="501" spans="6:7" hidden="1">
      <c r="F501">
        <v>122</v>
      </c>
      <c r="G501">
        <v>400</v>
      </c>
    </row>
    <row r="519" spans="1:15">
      <c r="A519" s="84" t="s">
        <v>112</v>
      </c>
      <c r="B519" s="120"/>
      <c r="C519" s="120"/>
      <c r="D519" s="120"/>
      <c r="E519" s="120"/>
      <c r="F519" s="120"/>
      <c r="G519" s="120"/>
      <c r="H519" s="120"/>
      <c r="I519" s="189"/>
      <c r="J519" s="195"/>
      <c r="K519" s="195"/>
      <c r="L519" s="195"/>
      <c r="M519" s="195"/>
      <c r="N519" s="195"/>
      <c r="O519" s="195"/>
    </row>
    <row r="520" spans="1:15">
      <c r="A520" s="84" t="s">
        <v>113</v>
      </c>
      <c r="B520" s="120"/>
      <c r="C520" s="120"/>
      <c r="D520" s="120"/>
      <c r="E520" s="120"/>
      <c r="F520" s="120"/>
      <c r="G520" s="120"/>
      <c r="H520" s="120"/>
      <c r="I520" s="179" t="str">
        <f>+CONCATENATE("20142_",I522)</f>
        <v>20142_8</v>
      </c>
      <c r="J520" s="195"/>
      <c r="K520" s="195"/>
      <c r="L520" s="195"/>
      <c r="M520" s="195"/>
      <c r="N520" s="195"/>
      <c r="O520" s="195"/>
    </row>
    <row r="521" spans="1:15">
      <c r="A521" s="84" t="s">
        <v>114</v>
      </c>
      <c r="B521" s="120"/>
      <c r="C521" s="120"/>
      <c r="D521" s="120"/>
      <c r="E521" s="120"/>
      <c r="F521" s="120"/>
      <c r="G521" s="120"/>
      <c r="H521" s="120"/>
      <c r="I521" s="120"/>
      <c r="J521" s="195"/>
      <c r="K521" s="195"/>
      <c r="L521" s="195"/>
      <c r="M521" s="195"/>
      <c r="N521" s="195"/>
      <c r="O521" s="195"/>
    </row>
    <row r="522" spans="1:15">
      <c r="A522" s="120"/>
      <c r="B522" s="120"/>
      <c r="C522" s="120"/>
      <c r="D522" s="120"/>
      <c r="E522" s="120"/>
      <c r="F522" s="120"/>
      <c r="G522" s="120"/>
      <c r="H522" s="120"/>
      <c r="I522" s="191">
        <v>8</v>
      </c>
      <c r="J522" s="195"/>
      <c r="K522" s="195"/>
      <c r="L522" s="195"/>
      <c r="M522" s="195"/>
      <c r="N522" s="195"/>
      <c r="O522" s="195"/>
    </row>
    <row r="523" spans="1:15">
      <c r="A523" s="120" t="s">
        <v>115</v>
      </c>
      <c r="B523" s="120"/>
      <c r="C523" s="120"/>
      <c r="D523" s="120"/>
      <c r="E523" s="120"/>
      <c r="F523" s="120"/>
      <c r="G523" s="120"/>
      <c r="H523" s="120"/>
      <c r="I523" s="83">
        <f>I5</f>
        <v>43800</v>
      </c>
      <c r="J523" s="195"/>
      <c r="K523" s="195"/>
      <c r="L523" s="195"/>
      <c r="M523" s="195"/>
      <c r="N523" s="195"/>
      <c r="O523" s="195"/>
    </row>
    <row r="524" spans="1:15">
      <c r="A524" s="120"/>
      <c r="B524" s="120"/>
      <c r="C524" s="120"/>
      <c r="D524" s="120"/>
      <c r="E524" s="120"/>
      <c r="F524" s="120"/>
      <c r="G524" s="120"/>
      <c r="H524" s="120"/>
      <c r="I524" s="120"/>
      <c r="J524" s="195"/>
      <c r="K524" s="195"/>
      <c r="L524" s="195"/>
      <c r="M524" s="195"/>
      <c r="N524" s="195"/>
      <c r="O524" s="195"/>
    </row>
    <row r="525" spans="1:15">
      <c r="A525" s="120" t="s">
        <v>116</v>
      </c>
      <c r="B525" s="120"/>
      <c r="C525" s="84" t="str">
        <f>VLOOKUP(I522,AVANCEVENDEDOR!$A$2:$R$35,3,0)</f>
        <v>APAZA YANA SANDRA</v>
      </c>
      <c r="D525" s="120"/>
      <c r="E525" s="120"/>
      <c r="F525" s="120"/>
      <c r="G525" s="120"/>
      <c r="H525" s="120"/>
      <c r="I525" s="120"/>
      <c r="J525" s="195"/>
      <c r="K525" s="195"/>
      <c r="L525" s="195"/>
      <c r="M525" s="195"/>
      <c r="N525" s="195"/>
      <c r="O525" s="195"/>
    </row>
    <row r="526" spans="1:15">
      <c r="A526" s="120"/>
      <c r="B526" s="120"/>
      <c r="C526" s="120"/>
      <c r="D526" s="120"/>
      <c r="E526" s="120"/>
      <c r="F526" s="120"/>
      <c r="G526" s="120"/>
      <c r="H526" s="120"/>
      <c r="I526" s="84" t="s">
        <v>118</v>
      </c>
      <c r="J526" s="195"/>
      <c r="K526" s="195"/>
      <c r="L526" s="195"/>
      <c r="M526" s="195"/>
      <c r="N526" s="195"/>
      <c r="O526" s="195"/>
    </row>
    <row r="527" spans="1:15">
      <c r="A527" s="120"/>
      <c r="B527" s="120"/>
      <c r="C527" s="120"/>
      <c r="D527" s="120"/>
      <c r="E527" s="120"/>
      <c r="F527" s="120"/>
      <c r="G527" s="120"/>
      <c r="H527" s="120"/>
      <c r="I527" s="120"/>
      <c r="J527" s="195"/>
      <c r="K527" s="195"/>
      <c r="L527" s="195"/>
      <c r="M527" s="195"/>
      <c r="N527" s="195"/>
      <c r="O527" s="195"/>
    </row>
    <row r="528" spans="1:15">
      <c r="A528" s="120" t="s">
        <v>119</v>
      </c>
      <c r="B528" s="120"/>
      <c r="C528" s="120"/>
      <c r="D528" s="120"/>
      <c r="E528" s="120"/>
      <c r="F528" s="120"/>
      <c r="G528" s="120"/>
      <c r="H528" s="120"/>
      <c r="I528" s="181">
        <v>850</v>
      </c>
      <c r="J528" s="195"/>
      <c r="K528" s="195"/>
      <c r="L528" s="195"/>
      <c r="M528" s="195"/>
      <c r="N528" s="195"/>
      <c r="O528" s="195"/>
    </row>
    <row r="529" spans="1:15" ht="20.25">
      <c r="A529" s="120" t="s">
        <v>120</v>
      </c>
      <c r="B529" s="120"/>
      <c r="C529" s="120"/>
      <c r="D529" s="120"/>
      <c r="E529" s="120"/>
      <c r="F529" s="86" t="s">
        <v>272</v>
      </c>
      <c r="G529" s="86" t="s">
        <v>122</v>
      </c>
      <c r="H529" s="86" t="s">
        <v>123</v>
      </c>
      <c r="I529" s="181">
        <v>400</v>
      </c>
      <c r="J529" s="195"/>
      <c r="K529" s="195"/>
      <c r="L529" s="195"/>
      <c r="M529" s="195"/>
      <c r="N529" s="195"/>
      <c r="O529" s="195"/>
    </row>
    <row r="530" spans="1:15">
      <c r="A530" s="120" t="s">
        <v>291</v>
      </c>
      <c r="B530" s="120"/>
      <c r="C530" s="120"/>
      <c r="D530" s="120"/>
      <c r="E530" s="120"/>
      <c r="F530" s="182">
        <v>0.5</v>
      </c>
      <c r="G530" s="182">
        <f>IF(I522=13,80,85)</f>
        <v>85</v>
      </c>
      <c r="H530" s="182">
        <f>+H543</f>
        <v>99.974714133201033</v>
      </c>
      <c r="I530" s="181">
        <f>IF(H530&gt;=G530,E543*F530%,0)</f>
        <v>1188.3081</v>
      </c>
      <c r="J530" s="195"/>
      <c r="K530" s="195"/>
      <c r="L530" s="195"/>
      <c r="M530" s="195"/>
      <c r="N530" s="195"/>
      <c r="O530" s="195"/>
    </row>
    <row r="531" spans="1:15">
      <c r="A531" s="120" t="str">
        <f>CONCATENATE("COM. MOROSIDAD AL ",G531,"%")</f>
        <v>COM. MOROSIDAD AL 5%</v>
      </c>
      <c r="B531" s="120"/>
      <c r="C531" s="120"/>
      <c r="D531" s="120"/>
      <c r="E531" s="120"/>
      <c r="F531" s="182">
        <v>0.3</v>
      </c>
      <c r="G531" s="182">
        <v>5</v>
      </c>
      <c r="H531" s="182">
        <f>+H546</f>
        <v>5.45</v>
      </c>
      <c r="I531" s="181">
        <f>+IF(H531&lt;=G531,E543*F531%,0)</f>
        <v>0</v>
      </c>
      <c r="J531" s="195"/>
      <c r="K531" s="195"/>
      <c r="L531" s="195"/>
      <c r="M531" s="195"/>
      <c r="N531" s="195"/>
      <c r="O531" s="195"/>
    </row>
    <row r="532" spans="1:15">
      <c r="A532" s="120" t="s">
        <v>292</v>
      </c>
      <c r="B532" s="120"/>
      <c r="C532" s="120"/>
      <c r="D532" s="120"/>
      <c r="E532" s="120"/>
      <c r="F532" s="182">
        <f>IF(I522=3,0.1,0.2)</f>
        <v>0.2</v>
      </c>
      <c r="G532" s="182">
        <f>IF(I522=23,50,85)</f>
        <v>85</v>
      </c>
      <c r="H532" s="182">
        <f>+H550</f>
        <v>58.904109589041099</v>
      </c>
      <c r="I532" s="181">
        <f>IF(H532&gt;=G532,E543*F532%,0)</f>
        <v>0</v>
      </c>
      <c r="J532" s="195"/>
      <c r="K532" s="195"/>
      <c r="L532" s="195"/>
      <c r="M532" s="195"/>
      <c r="N532" s="195"/>
      <c r="O532" s="195"/>
    </row>
    <row r="533" spans="1:15">
      <c r="A533" s="120" t="str">
        <f>IF(I522=23,"COMISION POR TIEMPODE VIAJE",IF(I522=22,"BONIFICACION"," "))</f>
        <v xml:space="preserve"> </v>
      </c>
      <c r="B533" s="120"/>
      <c r="C533" s="120"/>
      <c r="D533" s="120"/>
      <c r="E533" s="120"/>
      <c r="F533" s="120"/>
      <c r="G533" s="120"/>
      <c r="H533" s="182"/>
      <c r="I533" s="181" t="str">
        <f>IF(I522=23,300,IF(I522=22,400," "))</f>
        <v xml:space="preserve"> </v>
      </c>
      <c r="J533" s="195"/>
      <c r="K533" s="195"/>
      <c r="L533" s="195"/>
      <c r="M533" s="195"/>
      <c r="N533" s="195"/>
      <c r="O533" s="195"/>
    </row>
    <row r="534" spans="1:15">
      <c r="A534" s="189" t="s">
        <v>274</v>
      </c>
      <c r="B534" s="189"/>
      <c r="C534" s="189"/>
      <c r="D534" s="189"/>
      <c r="E534" s="189"/>
      <c r="F534" s="374" t="s">
        <v>275</v>
      </c>
      <c r="G534" s="374"/>
      <c r="H534" s="375" t="s">
        <v>276</v>
      </c>
      <c r="I534" s="193"/>
      <c r="J534" s="195"/>
      <c r="K534" s="195"/>
      <c r="L534" s="195"/>
      <c r="M534" s="195"/>
      <c r="N534" s="195"/>
      <c r="O534" s="195"/>
    </row>
    <row r="535" spans="1:15">
      <c r="A535" s="189"/>
      <c r="B535" s="189"/>
      <c r="C535" s="189"/>
      <c r="D535" s="189"/>
      <c r="E535" s="189"/>
      <c r="F535" s="374" t="s">
        <v>277</v>
      </c>
      <c r="G535" s="374"/>
      <c r="H535" s="375"/>
      <c r="I535" s="376">
        <v>0</v>
      </c>
      <c r="J535" s="195"/>
      <c r="K535" s="195"/>
      <c r="L535" s="195"/>
      <c r="M535" s="195"/>
      <c r="N535" s="195"/>
      <c r="O535" s="195"/>
    </row>
    <row r="536" spans="1:15">
      <c r="A536" s="189"/>
      <c r="B536" s="197"/>
      <c r="C536" s="197"/>
      <c r="D536" s="197"/>
      <c r="E536" s="197"/>
      <c r="F536" s="374" t="s">
        <v>278</v>
      </c>
      <c r="G536" s="374"/>
      <c r="H536" s="375"/>
      <c r="I536" s="376"/>
      <c r="J536" s="195"/>
      <c r="K536" s="195"/>
      <c r="L536" s="195"/>
      <c r="M536" s="195"/>
      <c r="N536" s="195"/>
      <c r="O536" s="195"/>
    </row>
    <row r="537" spans="1:15">
      <c r="A537" s="189"/>
      <c r="B537" s="197"/>
      <c r="C537" s="197"/>
      <c r="D537" s="197"/>
      <c r="E537" s="197"/>
      <c r="F537" s="374" t="s">
        <v>279</v>
      </c>
      <c r="G537" s="374"/>
      <c r="H537" s="375"/>
      <c r="I537" s="198"/>
      <c r="J537" s="195"/>
      <c r="K537" s="195"/>
      <c r="L537" s="195"/>
      <c r="M537" s="195"/>
      <c r="N537" s="195"/>
      <c r="O537" s="195"/>
    </row>
    <row r="538" spans="1:15">
      <c r="A538" s="120"/>
      <c r="B538" s="84" t="str">
        <f>IF(I522=13,"Remuneracion Extra"," ")</f>
        <v xml:space="preserve"> </v>
      </c>
      <c r="C538" s="120"/>
      <c r="D538" s="120"/>
      <c r="E538" s="120"/>
      <c r="F538" s="120"/>
      <c r="G538" s="120"/>
      <c r="H538" s="120"/>
      <c r="I538" s="183"/>
      <c r="J538" s="195"/>
      <c r="K538" s="195"/>
      <c r="L538" s="195"/>
      <c r="M538" s="195"/>
      <c r="N538" s="195"/>
      <c r="O538" s="195"/>
    </row>
    <row r="539" spans="1:15" ht="15.75">
      <c r="A539" s="184" t="s">
        <v>129</v>
      </c>
      <c r="B539" s="185"/>
      <c r="C539" s="185"/>
      <c r="D539" s="185"/>
      <c r="E539" s="185"/>
      <c r="F539" s="185"/>
      <c r="G539" s="185"/>
      <c r="H539" s="185"/>
      <c r="I539" s="186">
        <f>SUM(I528:I538)</f>
        <v>2438.3081000000002</v>
      </c>
      <c r="J539" s="195"/>
      <c r="K539" s="195"/>
      <c r="L539" s="195"/>
      <c r="M539" s="195"/>
      <c r="N539" s="195"/>
      <c r="O539" s="195"/>
    </row>
    <row r="540" spans="1:15">
      <c r="A540" s="120"/>
      <c r="B540" s="120"/>
      <c r="C540" s="120"/>
      <c r="D540" s="120"/>
      <c r="E540" s="120"/>
      <c r="F540" s="120"/>
      <c r="G540" s="120"/>
      <c r="H540" s="120"/>
      <c r="I540" s="120"/>
      <c r="J540" s="195"/>
      <c r="K540" s="195"/>
      <c r="L540" s="195"/>
      <c r="M540" s="195"/>
      <c r="N540" s="195"/>
      <c r="O540" s="195"/>
    </row>
    <row r="541" spans="1:15">
      <c r="A541" s="121" t="s">
        <v>130</v>
      </c>
      <c r="B541" s="121"/>
      <c r="C541" s="121"/>
      <c r="D541" s="121"/>
      <c r="E541" s="121"/>
      <c r="F541" s="121"/>
      <c r="G541" s="121"/>
      <c r="H541" s="121"/>
      <c r="I541" s="121"/>
      <c r="J541" s="195"/>
      <c r="K541" s="195"/>
      <c r="L541" s="195"/>
      <c r="M541" s="195"/>
      <c r="N541" s="195"/>
      <c r="O541" s="195"/>
    </row>
    <row r="542" spans="1:15">
      <c r="A542" s="121"/>
      <c r="B542" s="121" t="s">
        <v>131</v>
      </c>
      <c r="C542" s="121"/>
      <c r="D542" s="121"/>
      <c r="E542" s="187">
        <f>VLOOKUP(I522,AVANCEVENDEDOR!$A$2:$R$35,7,0)</f>
        <v>237721.73</v>
      </c>
      <c r="F542" s="187"/>
      <c r="G542" s="121"/>
      <c r="H542" s="121"/>
      <c r="I542" s="121"/>
      <c r="J542" s="195"/>
      <c r="K542" s="195"/>
      <c r="L542" s="195"/>
      <c r="M542" s="199"/>
      <c r="N542" s="200"/>
      <c r="O542" s="195"/>
    </row>
    <row r="543" spans="1:15">
      <c r="A543" s="121"/>
      <c r="B543" s="121" t="s">
        <v>132</v>
      </c>
      <c r="C543" s="121"/>
      <c r="D543" s="121"/>
      <c r="E543" s="187">
        <f>IF(I522=27,(VLOOKUP(I522,AVANCEVENDEDOR!$A$2:$R$35,6,0)-I519),(VLOOKUP(I522,AVANCEVENDEDOR!$A$2:$R$35,6,0)))</f>
        <v>237661.62</v>
      </c>
      <c r="F543" s="187"/>
      <c r="G543" s="188" t="s">
        <v>133</v>
      </c>
      <c r="H543" s="187">
        <f>+E543*100/E542</f>
        <v>99.974714133201033</v>
      </c>
      <c r="I543" s="121"/>
      <c r="J543" s="195"/>
      <c r="K543" s="121"/>
      <c r="L543" s="201"/>
      <c r="M543" s="195"/>
      <c r="N543" s="195"/>
      <c r="O543" s="195"/>
    </row>
    <row r="544" spans="1:15">
      <c r="A544" s="121"/>
      <c r="B544" s="121"/>
      <c r="C544" s="121"/>
      <c r="D544" s="121"/>
      <c r="E544" s="121"/>
      <c r="F544" s="121"/>
      <c r="G544" s="188"/>
      <c r="H544" s="121"/>
      <c r="I544" s="121"/>
      <c r="J544" s="195"/>
      <c r="K544" s="195"/>
      <c r="L544" s="195"/>
      <c r="M544" s="195"/>
      <c r="N544" s="195"/>
      <c r="O544" s="195"/>
    </row>
    <row r="545" spans="1:15">
      <c r="A545" s="121"/>
      <c r="B545" s="121" t="s">
        <v>134</v>
      </c>
      <c r="C545" s="121"/>
      <c r="D545" s="121"/>
      <c r="E545" s="187">
        <f>VLOOKUP(I522,AVANCEVENDEDOR!$A$2:$R$35,10,0)</f>
        <v>702678.59</v>
      </c>
      <c r="F545" s="187"/>
      <c r="G545" s="188"/>
      <c r="H545" s="121"/>
      <c r="I545" s="121"/>
      <c r="J545" s="195"/>
      <c r="K545" s="195"/>
      <c r="L545" s="195"/>
      <c r="M545" s="195"/>
      <c r="N545" s="195"/>
      <c r="O545" s="195"/>
    </row>
    <row r="546" spans="1:15">
      <c r="A546" s="121"/>
      <c r="B546" s="121" t="s">
        <v>135</v>
      </c>
      <c r="C546" s="121"/>
      <c r="D546" s="121"/>
      <c r="E546" s="187">
        <f>VLOOKUP(I522,AVANCEVENDEDOR!$A$2:$R$35,11,0)</f>
        <v>38295.089999999997</v>
      </c>
      <c r="F546" s="187"/>
      <c r="G546" s="188" t="s">
        <v>136</v>
      </c>
      <c r="H546" s="187">
        <f>VLOOKUP(I522,AVANCEVENDEDOR!$A$2:$R$35,15,0)</f>
        <v>5.45</v>
      </c>
      <c r="I546" s="121"/>
      <c r="J546" s="195"/>
      <c r="K546" s="195"/>
      <c r="L546" s="195"/>
      <c r="M546" s="195"/>
      <c r="N546" s="195"/>
      <c r="O546" s="195"/>
    </row>
    <row r="547" spans="1:15">
      <c r="A547" s="121"/>
      <c r="B547" s="121" t="s">
        <v>137</v>
      </c>
      <c r="C547" s="121"/>
      <c r="D547" s="121"/>
      <c r="E547" s="187">
        <f>VLOOKUP(I522,AVANCEVENDEDOR!$A$2:$R$35,9,0)</f>
        <v>286939.84999999998</v>
      </c>
      <c r="F547" s="187"/>
      <c r="G547" s="188"/>
      <c r="H547" s="121"/>
      <c r="I547" s="121"/>
      <c r="J547" s="195"/>
      <c r="K547" s="195"/>
      <c r="L547" s="195"/>
      <c r="M547" s="195"/>
      <c r="N547" s="195"/>
      <c r="O547" s="195"/>
    </row>
    <row r="548" spans="1:15">
      <c r="A548" s="121"/>
      <c r="B548" s="121"/>
      <c r="C548" s="121"/>
      <c r="D548" s="121"/>
      <c r="E548" s="121"/>
      <c r="F548" s="121"/>
      <c r="G548" s="188"/>
      <c r="H548" s="121"/>
      <c r="I548" s="121"/>
      <c r="J548" s="195"/>
      <c r="K548" s="195"/>
      <c r="L548" s="195"/>
      <c r="M548" s="195"/>
      <c r="N548" s="195"/>
      <c r="O548" s="195"/>
    </row>
    <row r="549" spans="1:15">
      <c r="A549" s="121"/>
      <c r="B549" s="121" t="s">
        <v>280</v>
      </c>
      <c r="C549" s="121"/>
      <c r="D549" s="121"/>
      <c r="E549" s="187">
        <f>VLOOKUP(I522,AVANCEVENDEDOR!$A$2:$R$35,13,0)</f>
        <v>73</v>
      </c>
      <c r="F549" s="187"/>
      <c r="G549" s="121"/>
      <c r="H549" s="187"/>
      <c r="I549" s="121"/>
      <c r="J549" s="195"/>
      <c r="K549" s="195"/>
      <c r="L549" s="195"/>
      <c r="M549" s="195"/>
      <c r="N549" s="195"/>
      <c r="O549" s="195"/>
    </row>
    <row r="550" spans="1:15">
      <c r="A550" s="121"/>
      <c r="B550" s="121" t="s">
        <v>281</v>
      </c>
      <c r="C550" s="121"/>
      <c r="D550" s="121"/>
      <c r="E550" s="187">
        <f>VLOOKUP(I522,AVANCEVENDEDOR!$A$2:$R$35,14,0)</f>
        <v>43</v>
      </c>
      <c r="F550" s="187"/>
      <c r="G550" s="188" t="s">
        <v>140</v>
      </c>
      <c r="H550" s="187">
        <f>+E550*100/E549</f>
        <v>58.904109589041099</v>
      </c>
      <c r="I550" s="121"/>
      <c r="J550" s="195"/>
      <c r="K550" s="195"/>
      <c r="L550" s="195"/>
      <c r="M550" s="195"/>
      <c r="N550" s="195"/>
      <c r="O550" s="195"/>
    </row>
    <row r="551" spans="1:15">
      <c r="J551" s="195"/>
      <c r="K551" s="195"/>
      <c r="L551" s="195"/>
      <c r="M551" s="195"/>
      <c r="N551" s="195"/>
      <c r="O551" s="195"/>
    </row>
    <row r="552" spans="1:15" hidden="1">
      <c r="F552">
        <v>99</v>
      </c>
    </row>
    <row r="553" spans="1:15" hidden="1">
      <c r="F553">
        <v>100</v>
      </c>
      <c r="G553">
        <v>100</v>
      </c>
    </row>
    <row r="554" spans="1:15" hidden="1">
      <c r="F554">
        <v>101</v>
      </c>
      <c r="G554">
        <v>100</v>
      </c>
    </row>
    <row r="555" spans="1:15" hidden="1">
      <c r="F555">
        <v>102</v>
      </c>
      <c r="G555">
        <v>100</v>
      </c>
    </row>
    <row r="556" spans="1:15" hidden="1">
      <c r="F556">
        <v>103</v>
      </c>
      <c r="G556">
        <v>100</v>
      </c>
    </row>
    <row r="557" spans="1:15" hidden="1">
      <c r="F557">
        <v>104</v>
      </c>
      <c r="G557">
        <v>100</v>
      </c>
    </row>
    <row r="558" spans="1:15" hidden="1">
      <c r="F558">
        <v>105</v>
      </c>
      <c r="G558">
        <v>100</v>
      </c>
    </row>
    <row r="559" spans="1:15" hidden="1">
      <c r="F559">
        <v>106</v>
      </c>
      <c r="G559">
        <v>200</v>
      </c>
    </row>
    <row r="560" spans="1:15" hidden="1">
      <c r="F560">
        <v>107</v>
      </c>
      <c r="G560">
        <v>200</v>
      </c>
    </row>
    <row r="561" spans="6:7" hidden="1">
      <c r="F561">
        <v>108</v>
      </c>
      <c r="G561">
        <v>200</v>
      </c>
    </row>
    <row r="562" spans="6:7" hidden="1">
      <c r="F562">
        <v>109</v>
      </c>
      <c r="G562">
        <v>200</v>
      </c>
    </row>
    <row r="563" spans="6:7" hidden="1">
      <c r="F563">
        <v>110</v>
      </c>
      <c r="G563">
        <v>200</v>
      </c>
    </row>
    <row r="564" spans="6:7" hidden="1">
      <c r="F564">
        <v>111</v>
      </c>
      <c r="G564">
        <v>200</v>
      </c>
    </row>
    <row r="565" spans="6:7" hidden="1">
      <c r="F565">
        <v>112</v>
      </c>
      <c r="G565">
        <v>200</v>
      </c>
    </row>
    <row r="566" spans="6:7" hidden="1">
      <c r="F566">
        <v>113</v>
      </c>
      <c r="G566">
        <v>200</v>
      </c>
    </row>
    <row r="567" spans="6:7" hidden="1">
      <c r="F567">
        <v>114</v>
      </c>
      <c r="G567">
        <v>200</v>
      </c>
    </row>
    <row r="568" spans="6:7" hidden="1">
      <c r="F568">
        <v>115</v>
      </c>
      <c r="G568">
        <v>300</v>
      </c>
    </row>
    <row r="569" spans="6:7" hidden="1">
      <c r="F569">
        <v>116</v>
      </c>
      <c r="G569">
        <v>300</v>
      </c>
    </row>
    <row r="570" spans="6:7" hidden="1">
      <c r="F570">
        <v>117</v>
      </c>
      <c r="G570">
        <v>300</v>
      </c>
    </row>
    <row r="571" spans="6:7" hidden="1">
      <c r="F571">
        <v>118</v>
      </c>
      <c r="G571">
        <v>300</v>
      </c>
    </row>
    <row r="572" spans="6:7" hidden="1">
      <c r="F572">
        <v>119</v>
      </c>
      <c r="G572">
        <v>300</v>
      </c>
    </row>
    <row r="573" spans="6:7" hidden="1">
      <c r="F573">
        <v>120</v>
      </c>
      <c r="G573">
        <v>300</v>
      </c>
    </row>
    <row r="574" spans="6:7" hidden="1">
      <c r="F574">
        <v>121</v>
      </c>
      <c r="G574">
        <v>400</v>
      </c>
    </row>
    <row r="575" spans="6:7" hidden="1">
      <c r="F575">
        <v>122</v>
      </c>
      <c r="G575">
        <v>400</v>
      </c>
    </row>
    <row r="593" spans="1:15">
      <c r="A593" s="84" t="s">
        <v>112</v>
      </c>
      <c r="B593" s="120"/>
      <c r="C593" s="120"/>
      <c r="D593" s="120"/>
      <c r="E593" s="120"/>
      <c r="F593" s="120"/>
      <c r="G593" s="120"/>
      <c r="H593" s="120"/>
      <c r="I593" s="189"/>
      <c r="J593" s="195"/>
      <c r="K593" s="195"/>
      <c r="L593" s="195"/>
      <c r="M593" s="195"/>
      <c r="N593" s="195"/>
      <c r="O593" s="195"/>
    </row>
    <row r="594" spans="1:15">
      <c r="A594" s="84" t="s">
        <v>113</v>
      </c>
      <c r="B594" s="120"/>
      <c r="C594" s="120"/>
      <c r="D594" s="120"/>
      <c r="E594" s="120"/>
      <c r="F594" s="120"/>
      <c r="G594" s="120"/>
      <c r="H594" s="120"/>
      <c r="I594" s="179" t="str">
        <f>+CONCATENATE("20142_",I596)</f>
        <v>20142_9</v>
      </c>
      <c r="J594" s="195"/>
      <c r="K594" s="195"/>
      <c r="L594" s="195"/>
      <c r="M594" s="195"/>
      <c r="N594" s="195"/>
      <c r="O594" s="195"/>
    </row>
    <row r="595" spans="1:15">
      <c r="A595" s="84" t="s">
        <v>114</v>
      </c>
      <c r="B595" s="120"/>
      <c r="C595" s="120"/>
      <c r="D595" s="120"/>
      <c r="E595" s="120"/>
      <c r="F595" s="120"/>
      <c r="G595" s="120"/>
      <c r="H595" s="120"/>
      <c r="I595" s="120"/>
      <c r="J595" s="195"/>
      <c r="K595" s="195"/>
      <c r="L595" s="195"/>
      <c r="M595" s="195"/>
      <c r="N595" s="195"/>
      <c r="O595" s="195"/>
    </row>
    <row r="596" spans="1:15">
      <c r="A596" s="120"/>
      <c r="B596" s="120"/>
      <c r="C596" s="120"/>
      <c r="D596" s="120"/>
      <c r="E596" s="120"/>
      <c r="F596" s="120"/>
      <c r="G596" s="120"/>
      <c r="H596" s="120"/>
      <c r="I596" s="191">
        <v>9</v>
      </c>
      <c r="J596" s="195"/>
      <c r="K596" s="195"/>
      <c r="L596" s="195"/>
      <c r="M596" s="195"/>
      <c r="N596" s="195"/>
      <c r="O596" s="195"/>
    </row>
    <row r="597" spans="1:15">
      <c r="A597" s="120" t="s">
        <v>115</v>
      </c>
      <c r="B597" s="120"/>
      <c r="C597" s="120"/>
      <c r="D597" s="120"/>
      <c r="E597" s="120"/>
      <c r="F597" s="120"/>
      <c r="G597" s="120"/>
      <c r="H597" s="120"/>
      <c r="I597" s="83">
        <f>I5</f>
        <v>43800</v>
      </c>
      <c r="J597" s="195"/>
      <c r="K597" s="195"/>
      <c r="L597" s="195"/>
      <c r="M597" s="195"/>
      <c r="N597" s="195"/>
      <c r="O597" s="195"/>
    </row>
    <row r="598" spans="1:15">
      <c r="A598" s="120"/>
      <c r="B598" s="120"/>
      <c r="C598" s="120"/>
      <c r="D598" s="120"/>
      <c r="E598" s="120"/>
      <c r="F598" s="120"/>
      <c r="G598" s="120"/>
      <c r="H598" s="120"/>
      <c r="I598" s="120"/>
      <c r="J598" s="195"/>
      <c r="K598" s="195"/>
      <c r="L598" s="195"/>
      <c r="M598" s="195"/>
      <c r="N598" s="195"/>
      <c r="O598" s="195"/>
    </row>
    <row r="599" spans="1:15">
      <c r="A599" s="120" t="s">
        <v>116</v>
      </c>
      <c r="B599" s="120"/>
      <c r="C599" s="84" t="str">
        <f>VLOOKUP(I596,AVANCEVENDEDOR!$A$2:$R$35,3,0)</f>
        <v>ESPEJO RODRIGUEZ GABRIEL</v>
      </c>
      <c r="D599" s="120"/>
      <c r="E599" s="120"/>
      <c r="F599" s="120"/>
      <c r="G599" s="120"/>
      <c r="H599" s="120"/>
      <c r="I599" s="120"/>
      <c r="J599" s="195"/>
      <c r="K599" s="195"/>
      <c r="L599" s="195"/>
      <c r="M599" s="195"/>
      <c r="N599" s="195"/>
      <c r="O599" s="195"/>
    </row>
    <row r="600" spans="1:15">
      <c r="A600" s="120"/>
      <c r="B600" s="120"/>
      <c r="C600" s="120"/>
      <c r="D600" s="120"/>
      <c r="E600" s="120"/>
      <c r="F600" s="120"/>
      <c r="G600" s="120"/>
      <c r="H600" s="120"/>
      <c r="I600" s="84" t="s">
        <v>118</v>
      </c>
      <c r="J600" s="195"/>
      <c r="K600" s="195"/>
      <c r="L600" s="195"/>
      <c r="M600" s="195"/>
      <c r="N600" s="195"/>
      <c r="O600" s="195"/>
    </row>
    <row r="601" spans="1:15">
      <c r="A601" s="120"/>
      <c r="B601" s="120"/>
      <c r="C601" s="120"/>
      <c r="D601" s="120"/>
      <c r="E601" s="120"/>
      <c r="F601" s="120"/>
      <c r="G601" s="120"/>
      <c r="H601" s="120"/>
      <c r="I601" s="120"/>
      <c r="J601" s="195"/>
      <c r="K601" s="195"/>
      <c r="L601" s="195"/>
      <c r="M601" s="195"/>
      <c r="N601" s="195"/>
      <c r="O601" s="195"/>
    </row>
    <row r="602" spans="1:15">
      <c r="A602" s="120" t="s">
        <v>119</v>
      </c>
      <c r="B602" s="120"/>
      <c r="C602" s="120"/>
      <c r="D602" s="120"/>
      <c r="E602" s="120"/>
      <c r="F602" s="120"/>
      <c r="G602" s="120"/>
      <c r="H602" s="120"/>
      <c r="I602" s="181">
        <v>850</v>
      </c>
      <c r="J602" s="195"/>
      <c r="K602" s="195"/>
      <c r="L602" s="195"/>
      <c r="M602" s="195"/>
      <c r="N602" s="195"/>
      <c r="O602" s="195"/>
    </row>
    <row r="603" spans="1:15" ht="20.25">
      <c r="A603" s="120" t="s">
        <v>120</v>
      </c>
      <c r="B603" s="120"/>
      <c r="C603" s="120"/>
      <c r="D603" s="120"/>
      <c r="E603" s="120"/>
      <c r="F603" s="86" t="s">
        <v>272</v>
      </c>
      <c r="G603" s="86" t="s">
        <v>122</v>
      </c>
      <c r="H603" s="86" t="s">
        <v>123</v>
      </c>
      <c r="I603" s="181">
        <v>400</v>
      </c>
      <c r="J603" s="195"/>
      <c r="K603" s="195"/>
      <c r="L603" s="195"/>
      <c r="M603" s="195"/>
      <c r="N603" s="195"/>
      <c r="O603" s="195"/>
    </row>
    <row r="604" spans="1:15">
      <c r="A604" s="120" t="s">
        <v>291</v>
      </c>
      <c r="B604" s="120"/>
      <c r="C604" s="120"/>
      <c r="D604" s="120"/>
      <c r="E604" s="120"/>
      <c r="F604" s="182">
        <v>0.5</v>
      </c>
      <c r="G604" s="182">
        <f>IF(I596=13,80,85)</f>
        <v>85</v>
      </c>
      <c r="H604" s="182">
        <f>+H617</f>
        <v>92.020626719397669</v>
      </c>
      <c r="I604" s="181">
        <f>IF(H604&gt;=G604,E617*F604%,0)</f>
        <v>642.34635000000003</v>
      </c>
      <c r="J604" s="195"/>
      <c r="K604" s="195"/>
      <c r="L604" s="195"/>
      <c r="M604" s="195"/>
      <c r="N604" s="195"/>
      <c r="O604" s="195"/>
    </row>
    <row r="605" spans="1:15">
      <c r="A605" s="120" t="str">
        <f>CONCATENATE("COM. MOROSIDAD AL ",G605,"%")</f>
        <v>COM. MOROSIDAD AL 5%</v>
      </c>
      <c r="B605" s="120"/>
      <c r="C605" s="120"/>
      <c r="D605" s="120"/>
      <c r="E605" s="120"/>
      <c r="F605" s="182">
        <v>0.3</v>
      </c>
      <c r="G605" s="182">
        <v>5</v>
      </c>
      <c r="H605" s="182">
        <f>+H620</f>
        <v>13.93</v>
      </c>
      <c r="I605" s="181">
        <f>+IF(H605&lt;=G605,E617*F605%,0)</f>
        <v>0</v>
      </c>
      <c r="J605" s="195"/>
      <c r="K605" s="195"/>
      <c r="L605" s="195"/>
      <c r="M605" s="195"/>
      <c r="N605" s="195"/>
      <c r="O605" s="195"/>
    </row>
    <row r="606" spans="1:15">
      <c r="A606" s="120" t="s">
        <v>292</v>
      </c>
      <c r="B606" s="120"/>
      <c r="C606" s="120"/>
      <c r="D606" s="120"/>
      <c r="E606" s="120"/>
      <c r="F606" s="182">
        <f>IF(I596=3,0.1,0.2)</f>
        <v>0.2</v>
      </c>
      <c r="G606" s="182">
        <f>IF(I596=23,50,85)</f>
        <v>85</v>
      </c>
      <c r="H606" s="182">
        <f>+H624</f>
        <v>50.769230769230766</v>
      </c>
      <c r="I606" s="181">
        <f>IF(H606&gt;=G606,E617*F606%,0)</f>
        <v>0</v>
      </c>
      <c r="J606" s="195"/>
      <c r="K606" s="195"/>
      <c r="L606" s="195"/>
      <c r="M606" s="195"/>
      <c r="N606" s="195"/>
      <c r="O606" s="195"/>
    </row>
    <row r="607" spans="1:15">
      <c r="A607" s="120" t="str">
        <f>IF(I596=23,"COMISION POR TIEMPODE VIAJE",IF(I596=22,"BONIFICACION"," "))</f>
        <v xml:space="preserve"> </v>
      </c>
      <c r="B607" s="120"/>
      <c r="C607" s="120"/>
      <c r="D607" s="120"/>
      <c r="E607" s="120"/>
      <c r="F607" s="120"/>
      <c r="G607" s="120"/>
      <c r="H607" s="182"/>
      <c r="I607" s="181" t="str">
        <f>IF(I596=23,300,IF(I596=22,400," "))</f>
        <v xml:space="preserve"> </v>
      </c>
      <c r="J607" s="195"/>
      <c r="K607" s="195"/>
      <c r="L607" s="195"/>
      <c r="M607" s="195"/>
      <c r="N607" s="195"/>
      <c r="O607" s="195"/>
    </row>
    <row r="608" spans="1:15">
      <c r="A608" s="189" t="s">
        <v>274</v>
      </c>
      <c r="B608" s="189"/>
      <c r="C608" s="189"/>
      <c r="D608" s="189"/>
      <c r="E608" s="189"/>
      <c r="F608" s="374" t="s">
        <v>275</v>
      </c>
      <c r="G608" s="374"/>
      <c r="H608" s="375" t="s">
        <v>276</v>
      </c>
      <c r="I608" s="193"/>
      <c r="J608" s="195"/>
      <c r="K608" s="195"/>
      <c r="L608" s="195"/>
      <c r="M608" s="195"/>
      <c r="N608" s="195"/>
      <c r="O608" s="195"/>
    </row>
    <row r="609" spans="1:15">
      <c r="A609" s="189"/>
      <c r="B609" s="189"/>
      <c r="C609" s="189"/>
      <c r="D609" s="189"/>
      <c r="E609" s="189"/>
      <c r="F609" s="374" t="s">
        <v>277</v>
      </c>
      <c r="G609" s="374"/>
      <c r="H609" s="375"/>
      <c r="I609" s="376">
        <v>0</v>
      </c>
      <c r="J609" s="195"/>
      <c r="K609" s="195"/>
      <c r="L609" s="195"/>
      <c r="M609" s="195"/>
      <c r="N609" s="195"/>
      <c r="O609" s="195"/>
    </row>
    <row r="610" spans="1:15">
      <c r="A610" s="189"/>
      <c r="B610" s="197"/>
      <c r="C610" s="197"/>
      <c r="D610" s="197"/>
      <c r="E610" s="197"/>
      <c r="F610" s="374" t="s">
        <v>278</v>
      </c>
      <c r="G610" s="374"/>
      <c r="H610" s="375"/>
      <c r="I610" s="376"/>
      <c r="J610" s="195"/>
      <c r="K610" s="195"/>
      <c r="L610" s="195"/>
      <c r="M610" s="195"/>
      <c r="N610" s="195"/>
      <c r="O610" s="195"/>
    </row>
    <row r="611" spans="1:15">
      <c r="A611" s="189"/>
      <c r="B611" s="197"/>
      <c r="C611" s="197"/>
      <c r="D611" s="197"/>
      <c r="E611" s="197"/>
      <c r="F611" s="374" t="s">
        <v>279</v>
      </c>
      <c r="G611" s="374"/>
      <c r="H611" s="375"/>
      <c r="I611" s="198"/>
      <c r="J611" s="195"/>
      <c r="K611" s="195"/>
      <c r="L611" s="195"/>
      <c r="M611" s="195"/>
      <c r="N611" s="195"/>
      <c r="O611" s="195"/>
    </row>
    <row r="612" spans="1:15">
      <c r="A612" s="120"/>
      <c r="B612" s="84" t="str">
        <f>IF(I596=13,"Remuneracion Extra"," ")</f>
        <v xml:space="preserve"> </v>
      </c>
      <c r="C612" s="120"/>
      <c r="D612" s="120"/>
      <c r="E612" s="120"/>
      <c r="F612" s="120"/>
      <c r="G612" s="120"/>
      <c r="H612" s="120"/>
      <c r="I612" s="183"/>
      <c r="J612" s="195"/>
      <c r="K612" s="195"/>
      <c r="L612" s="195"/>
      <c r="M612" s="195"/>
      <c r="N612" s="195"/>
      <c r="O612" s="195"/>
    </row>
    <row r="613" spans="1:15" ht="15.75">
      <c r="A613" s="184" t="s">
        <v>129</v>
      </c>
      <c r="B613" s="185"/>
      <c r="C613" s="185"/>
      <c r="D613" s="185"/>
      <c r="E613" s="185"/>
      <c r="F613" s="185"/>
      <c r="G613" s="185"/>
      <c r="H613" s="185"/>
      <c r="I613" s="186">
        <f>SUM(I602:I612)</f>
        <v>1892.34635</v>
      </c>
      <c r="J613" s="195"/>
      <c r="K613" s="195"/>
      <c r="L613" s="195"/>
      <c r="M613" s="195"/>
      <c r="N613" s="195"/>
      <c r="O613" s="195"/>
    </row>
    <row r="614" spans="1:15">
      <c r="A614" s="120"/>
      <c r="B614" s="120"/>
      <c r="C614" s="120"/>
      <c r="D614" s="120"/>
      <c r="E614" s="120"/>
      <c r="F614" s="120"/>
      <c r="G614" s="120"/>
      <c r="H614" s="120"/>
      <c r="I614" s="120"/>
      <c r="J614" s="195"/>
      <c r="K614" s="195"/>
      <c r="L614" s="195"/>
      <c r="M614" s="195"/>
      <c r="N614" s="195"/>
      <c r="O614" s="195"/>
    </row>
    <row r="615" spans="1:15">
      <c r="A615" s="121" t="s">
        <v>130</v>
      </c>
      <c r="B615" s="121"/>
      <c r="C615" s="121"/>
      <c r="D615" s="121"/>
      <c r="E615" s="121"/>
      <c r="F615" s="121"/>
      <c r="G615" s="121"/>
      <c r="H615" s="121"/>
      <c r="I615" s="121"/>
      <c r="J615" s="195"/>
      <c r="K615" s="195"/>
      <c r="L615" s="195"/>
      <c r="M615" s="195"/>
      <c r="N615" s="195"/>
      <c r="O615" s="195"/>
    </row>
    <row r="616" spans="1:15">
      <c r="A616" s="121"/>
      <c r="B616" s="121" t="s">
        <v>131</v>
      </c>
      <c r="C616" s="121"/>
      <c r="D616" s="121"/>
      <c r="E616" s="187">
        <f>VLOOKUP(I596,AVANCEVENDEDOR!$A$2:$R$35,7,0)</f>
        <v>139609.21</v>
      </c>
      <c r="F616" s="187"/>
      <c r="G616" s="121"/>
      <c r="H616" s="121"/>
      <c r="I616" s="121"/>
      <c r="J616" s="195"/>
      <c r="K616" s="195"/>
      <c r="L616" s="195"/>
      <c r="M616" s="199"/>
      <c r="N616" s="200"/>
      <c r="O616" s="195"/>
    </row>
    <row r="617" spans="1:15">
      <c r="A617" s="121"/>
      <c r="B617" s="121" t="s">
        <v>132</v>
      </c>
      <c r="C617" s="121"/>
      <c r="D617" s="121"/>
      <c r="E617" s="187">
        <f>IF(I596=27,(VLOOKUP(I596,AVANCEVENDEDOR!$A$2:$R$35,6,0)-I593),(VLOOKUP(I596,AVANCEVENDEDOR!$A$2:$R$35,6,0)))</f>
        <v>128469.27</v>
      </c>
      <c r="F617" s="187"/>
      <c r="G617" s="188" t="s">
        <v>133</v>
      </c>
      <c r="H617" s="187">
        <f>+E617*100/E616</f>
        <v>92.020626719397669</v>
      </c>
      <c r="I617" s="121"/>
      <c r="J617" s="195"/>
      <c r="K617" s="121"/>
      <c r="L617" s="201"/>
      <c r="M617" s="195"/>
      <c r="N617" s="195"/>
      <c r="O617" s="195"/>
    </row>
    <row r="618" spans="1:15">
      <c r="A618" s="121"/>
      <c r="B618" s="121"/>
      <c r="C618" s="121"/>
      <c r="D618" s="121"/>
      <c r="E618" s="121"/>
      <c r="F618" s="121"/>
      <c r="G618" s="188"/>
      <c r="H618" s="121"/>
      <c r="I618" s="121"/>
      <c r="J618" s="195"/>
      <c r="K618" s="195"/>
      <c r="L618" s="195"/>
      <c r="M618" s="195"/>
      <c r="N618" s="195"/>
      <c r="O618" s="195"/>
    </row>
    <row r="619" spans="1:15">
      <c r="A619" s="121"/>
      <c r="B619" s="121" t="s">
        <v>134</v>
      </c>
      <c r="C619" s="121"/>
      <c r="D619" s="121"/>
      <c r="E619" s="187">
        <f>VLOOKUP(I596,AVANCEVENDEDOR!$A$2:$R$35,10,0)</f>
        <v>395290.44</v>
      </c>
      <c r="F619" s="187"/>
      <c r="G619" s="188"/>
      <c r="H619" s="121"/>
      <c r="I619" s="121"/>
      <c r="J619" s="195"/>
      <c r="K619" s="195"/>
      <c r="L619" s="195"/>
      <c r="M619" s="195"/>
      <c r="N619" s="195"/>
      <c r="O619" s="195"/>
    </row>
    <row r="620" spans="1:15">
      <c r="A620" s="121"/>
      <c r="B620" s="121" t="s">
        <v>135</v>
      </c>
      <c r="C620" s="121"/>
      <c r="D620" s="121"/>
      <c r="E620" s="187">
        <f>VLOOKUP(I596,AVANCEVENDEDOR!$A$2:$R$35,11,0)</f>
        <v>55068.61</v>
      </c>
      <c r="F620" s="187"/>
      <c r="G620" s="188" t="s">
        <v>136</v>
      </c>
      <c r="H620" s="187">
        <f>VLOOKUP(I596,AVANCEVENDEDOR!$A$2:$R$35,15,0)</f>
        <v>13.93</v>
      </c>
      <c r="I620" s="121"/>
      <c r="J620" s="195"/>
      <c r="K620" s="195"/>
      <c r="L620" s="195"/>
      <c r="M620" s="195"/>
      <c r="N620" s="195"/>
      <c r="O620" s="195"/>
    </row>
    <row r="621" spans="1:15">
      <c r="A621" s="121"/>
      <c r="B621" s="121" t="s">
        <v>137</v>
      </c>
      <c r="C621" s="121"/>
      <c r="D621" s="121"/>
      <c r="E621" s="187">
        <f>VLOOKUP(I596,AVANCEVENDEDOR!$A$2:$R$35,9,0)</f>
        <v>147707.32</v>
      </c>
      <c r="F621" s="187"/>
      <c r="G621" s="188"/>
      <c r="H621" s="121"/>
      <c r="I621" s="121"/>
      <c r="J621" s="195"/>
      <c r="K621" s="195"/>
      <c r="L621" s="195"/>
      <c r="M621" s="195"/>
      <c r="N621" s="195"/>
      <c r="O621" s="195"/>
    </row>
    <row r="622" spans="1:15">
      <c r="A622" s="121"/>
      <c r="B622" s="121"/>
      <c r="C622" s="121"/>
      <c r="D622" s="121"/>
      <c r="E622" s="121"/>
      <c r="F622" s="121"/>
      <c r="G622" s="188"/>
      <c r="H622" s="121"/>
      <c r="I622" s="121"/>
      <c r="J622" s="195"/>
      <c r="K622" s="195"/>
      <c r="L622" s="195"/>
      <c r="M622" s="195"/>
      <c r="N622" s="195"/>
      <c r="O622" s="195"/>
    </row>
    <row r="623" spans="1:15">
      <c r="A623" s="121"/>
      <c r="B623" s="121" t="s">
        <v>280</v>
      </c>
      <c r="C623" s="121"/>
      <c r="D623" s="121"/>
      <c r="E623" s="187">
        <f>VLOOKUP(I596,AVANCEVENDEDOR!$A$2:$R$35,13,0)</f>
        <v>65</v>
      </c>
      <c r="F623" s="187"/>
      <c r="G623" s="121"/>
      <c r="H623" s="187"/>
      <c r="I623" s="121"/>
      <c r="J623" s="195"/>
      <c r="K623" s="195"/>
      <c r="L623" s="195"/>
      <c r="M623" s="195"/>
      <c r="N623" s="195"/>
      <c r="O623" s="195"/>
    </row>
    <row r="624" spans="1:15">
      <c r="A624" s="121"/>
      <c r="B624" s="121" t="s">
        <v>281</v>
      </c>
      <c r="C624" s="121"/>
      <c r="D624" s="121"/>
      <c r="E624" s="187">
        <f>VLOOKUP(I596,AVANCEVENDEDOR!$A$2:$R$35,14,0)</f>
        <v>33</v>
      </c>
      <c r="F624" s="187"/>
      <c r="G624" s="188" t="s">
        <v>140</v>
      </c>
      <c r="H624" s="187">
        <f>+E624*100/E623</f>
        <v>50.769230769230766</v>
      </c>
      <c r="I624" s="121"/>
      <c r="J624" s="195"/>
      <c r="K624" s="195"/>
      <c r="L624" s="195"/>
      <c r="M624" s="195"/>
      <c r="N624" s="195"/>
      <c r="O624" s="195"/>
    </row>
    <row r="625" spans="6:15">
      <c r="J625" s="195"/>
      <c r="K625" s="195"/>
      <c r="L625" s="195"/>
      <c r="M625" s="195"/>
      <c r="N625" s="195"/>
      <c r="O625" s="195"/>
    </row>
    <row r="626" spans="6:15" hidden="1">
      <c r="F626">
        <v>99</v>
      </c>
    </row>
    <row r="627" spans="6:15" hidden="1">
      <c r="F627">
        <v>100</v>
      </c>
      <c r="G627">
        <v>100</v>
      </c>
    </row>
    <row r="628" spans="6:15" hidden="1">
      <c r="F628">
        <v>101</v>
      </c>
      <c r="G628">
        <v>100</v>
      </c>
    </row>
    <row r="629" spans="6:15" hidden="1">
      <c r="F629">
        <v>102</v>
      </c>
      <c r="G629">
        <v>100</v>
      </c>
    </row>
    <row r="630" spans="6:15" hidden="1">
      <c r="F630">
        <v>103</v>
      </c>
      <c r="G630">
        <v>100</v>
      </c>
    </row>
    <row r="631" spans="6:15" hidden="1">
      <c r="F631">
        <v>104</v>
      </c>
      <c r="G631">
        <v>100</v>
      </c>
    </row>
    <row r="632" spans="6:15" hidden="1">
      <c r="F632">
        <v>105</v>
      </c>
      <c r="G632">
        <v>100</v>
      </c>
    </row>
    <row r="633" spans="6:15" hidden="1">
      <c r="F633">
        <v>106</v>
      </c>
      <c r="G633">
        <v>200</v>
      </c>
    </row>
    <row r="634" spans="6:15" hidden="1">
      <c r="F634">
        <v>107</v>
      </c>
      <c r="G634">
        <v>200</v>
      </c>
    </row>
    <row r="635" spans="6:15" hidden="1">
      <c r="F635">
        <v>108</v>
      </c>
      <c r="G635">
        <v>200</v>
      </c>
    </row>
    <row r="636" spans="6:15" hidden="1">
      <c r="F636">
        <v>109</v>
      </c>
      <c r="G636">
        <v>200</v>
      </c>
    </row>
    <row r="637" spans="6:15" hidden="1">
      <c r="F637">
        <v>110</v>
      </c>
      <c r="G637">
        <v>200</v>
      </c>
    </row>
    <row r="638" spans="6:15" hidden="1">
      <c r="F638">
        <v>111</v>
      </c>
      <c r="G638">
        <v>200</v>
      </c>
    </row>
    <row r="639" spans="6:15" hidden="1">
      <c r="F639">
        <v>112</v>
      </c>
      <c r="G639">
        <v>200</v>
      </c>
    </row>
    <row r="640" spans="6:15" hidden="1">
      <c r="F640">
        <v>113</v>
      </c>
      <c r="G640">
        <v>200</v>
      </c>
    </row>
    <row r="641" spans="6:7" hidden="1">
      <c r="F641">
        <v>114</v>
      </c>
      <c r="G641">
        <v>200</v>
      </c>
    </row>
    <row r="642" spans="6:7" hidden="1">
      <c r="F642">
        <v>115</v>
      </c>
      <c r="G642">
        <v>300</v>
      </c>
    </row>
    <row r="643" spans="6:7" hidden="1">
      <c r="F643">
        <v>116</v>
      </c>
      <c r="G643">
        <v>300</v>
      </c>
    </row>
    <row r="644" spans="6:7" hidden="1">
      <c r="F644">
        <v>117</v>
      </c>
      <c r="G644">
        <v>300</v>
      </c>
    </row>
    <row r="645" spans="6:7" hidden="1">
      <c r="F645">
        <v>118</v>
      </c>
      <c r="G645">
        <v>300</v>
      </c>
    </row>
    <row r="646" spans="6:7" hidden="1">
      <c r="F646">
        <v>119</v>
      </c>
      <c r="G646">
        <v>300</v>
      </c>
    </row>
    <row r="647" spans="6:7" hidden="1">
      <c r="F647">
        <v>120</v>
      </c>
      <c r="G647">
        <v>300</v>
      </c>
    </row>
    <row r="648" spans="6:7" hidden="1">
      <c r="F648">
        <v>121</v>
      </c>
      <c r="G648">
        <v>400</v>
      </c>
    </row>
    <row r="649" spans="6:7" hidden="1">
      <c r="F649">
        <v>122</v>
      </c>
      <c r="G649">
        <v>400</v>
      </c>
    </row>
    <row r="667" spans="1:15">
      <c r="A667" s="84" t="s">
        <v>112</v>
      </c>
      <c r="B667" s="120"/>
      <c r="C667" s="120"/>
      <c r="D667" s="120"/>
      <c r="E667" s="120"/>
      <c r="F667" s="120"/>
      <c r="G667" s="120"/>
      <c r="H667" s="120"/>
      <c r="I667" s="189"/>
      <c r="J667" s="195"/>
      <c r="K667" s="195"/>
      <c r="L667" s="195"/>
      <c r="M667" s="195"/>
      <c r="N667" s="195"/>
      <c r="O667" s="195"/>
    </row>
    <row r="668" spans="1:15">
      <c r="A668" s="84" t="s">
        <v>113</v>
      </c>
      <c r="B668" s="120"/>
      <c r="C668" s="120"/>
      <c r="D668" s="120"/>
      <c r="E668" s="120"/>
      <c r="F668" s="120"/>
      <c r="G668" s="120"/>
      <c r="H668" s="120"/>
      <c r="I668" s="179" t="str">
        <f>+CONCATENATE("20142_",I670)</f>
        <v>20142_10</v>
      </c>
      <c r="J668" s="195"/>
      <c r="K668" s="195"/>
      <c r="L668" s="195"/>
      <c r="M668" s="195"/>
      <c r="N668" s="195"/>
      <c r="O668" s="195"/>
    </row>
    <row r="669" spans="1:15">
      <c r="A669" s="84" t="s">
        <v>114</v>
      </c>
      <c r="B669" s="120"/>
      <c r="C669" s="120"/>
      <c r="D669" s="120"/>
      <c r="E669" s="120"/>
      <c r="F669" s="120"/>
      <c r="G669" s="120"/>
      <c r="H669" s="120"/>
      <c r="I669" s="120"/>
      <c r="J669" s="195"/>
      <c r="K669" s="195"/>
      <c r="L669" s="195"/>
      <c r="M669" s="195"/>
      <c r="N669" s="195"/>
      <c r="O669" s="195"/>
    </row>
    <row r="670" spans="1:15">
      <c r="A670" s="120"/>
      <c r="B670" s="120"/>
      <c r="C670" s="120"/>
      <c r="D670" s="120"/>
      <c r="E670" s="120"/>
      <c r="F670" s="120"/>
      <c r="G670" s="120"/>
      <c r="H670" s="120"/>
      <c r="I670" s="191">
        <v>10</v>
      </c>
      <c r="J670" s="195"/>
      <c r="K670" s="195"/>
      <c r="L670" s="195"/>
      <c r="M670" s="195"/>
      <c r="N670" s="195"/>
      <c r="O670" s="195"/>
    </row>
    <row r="671" spans="1:15">
      <c r="A671" s="120" t="s">
        <v>115</v>
      </c>
      <c r="B671" s="120"/>
      <c r="C671" s="120"/>
      <c r="D671" s="120"/>
      <c r="E671" s="120"/>
      <c r="F671" s="120"/>
      <c r="G671" s="120"/>
      <c r="H671" s="120"/>
      <c r="I671" s="83">
        <f>I5</f>
        <v>43800</v>
      </c>
      <c r="J671" s="195"/>
      <c r="K671" s="195"/>
      <c r="L671" s="195"/>
      <c r="M671" s="195"/>
      <c r="N671" s="195"/>
      <c r="O671" s="195"/>
    </row>
    <row r="672" spans="1:15">
      <c r="A672" s="120"/>
      <c r="B672" s="120"/>
      <c r="C672" s="120"/>
      <c r="D672" s="120"/>
      <c r="E672" s="120"/>
      <c r="F672" s="120"/>
      <c r="G672" s="120"/>
      <c r="H672" s="120"/>
      <c r="I672" s="120"/>
      <c r="J672" s="195"/>
      <c r="K672" s="195"/>
      <c r="L672" s="195"/>
      <c r="M672" s="195"/>
      <c r="N672" s="195"/>
      <c r="O672" s="195"/>
    </row>
    <row r="673" spans="1:15">
      <c r="A673" s="120" t="s">
        <v>116</v>
      </c>
      <c r="B673" s="120"/>
      <c r="C673" s="84" t="str">
        <f>VLOOKUP(I670,AVANCEVENDEDOR!$A$2:$R$35,3,0)</f>
        <v>FLORES GARCIA DIEGO</v>
      </c>
      <c r="D673" s="120"/>
      <c r="E673" s="120"/>
      <c r="F673" s="120"/>
      <c r="G673" s="120"/>
      <c r="H673" s="120"/>
      <c r="I673" s="120"/>
      <c r="J673" s="195"/>
      <c r="K673" s="195"/>
      <c r="L673" s="195"/>
      <c r="M673" s="195"/>
      <c r="N673" s="195"/>
      <c r="O673" s="195"/>
    </row>
    <row r="674" spans="1:15">
      <c r="A674" s="120"/>
      <c r="B674" s="120"/>
      <c r="C674" s="120"/>
      <c r="D674" s="120"/>
      <c r="E674" s="120"/>
      <c r="F674" s="120"/>
      <c r="G674" s="120"/>
      <c r="H674" s="120"/>
      <c r="I674" s="84" t="s">
        <v>118</v>
      </c>
      <c r="J674" s="195"/>
      <c r="K674" s="195"/>
      <c r="L674" s="195"/>
      <c r="M674" s="195"/>
      <c r="N674" s="195"/>
      <c r="O674" s="195"/>
    </row>
    <row r="675" spans="1:15">
      <c r="A675" s="120"/>
      <c r="B675" s="120"/>
      <c r="C675" s="120"/>
      <c r="D675" s="120"/>
      <c r="E675" s="120"/>
      <c r="F675" s="120"/>
      <c r="G675" s="120"/>
      <c r="H675" s="120"/>
      <c r="I675" s="120"/>
      <c r="J675" s="195"/>
      <c r="K675" s="195"/>
      <c r="L675" s="195"/>
      <c r="M675" s="195"/>
      <c r="N675" s="195"/>
      <c r="O675" s="195"/>
    </row>
    <row r="676" spans="1:15">
      <c r="A676" s="120" t="s">
        <v>119</v>
      </c>
      <c r="B676" s="120"/>
      <c r="C676" s="120"/>
      <c r="D676" s="120"/>
      <c r="E676" s="120"/>
      <c r="F676" s="120"/>
      <c r="G676" s="120"/>
      <c r="H676" s="120"/>
      <c r="I676" s="181">
        <v>850</v>
      </c>
      <c r="J676" s="195"/>
      <c r="K676" s="195"/>
      <c r="L676" s="195"/>
      <c r="M676" s="195"/>
      <c r="N676" s="195"/>
      <c r="O676" s="195"/>
    </row>
    <row r="677" spans="1:15" ht="20.25">
      <c r="A677" s="120" t="s">
        <v>120</v>
      </c>
      <c r="B677" s="120"/>
      <c r="C677" s="120"/>
      <c r="D677" s="120"/>
      <c r="E677" s="120"/>
      <c r="F677" s="86" t="s">
        <v>272</v>
      </c>
      <c r="G677" s="86" t="s">
        <v>122</v>
      </c>
      <c r="H677" s="86" t="s">
        <v>123</v>
      </c>
      <c r="I677" s="181">
        <v>400</v>
      </c>
      <c r="J677" s="195"/>
      <c r="K677" s="195"/>
      <c r="L677" s="195"/>
      <c r="M677" s="195"/>
      <c r="N677" s="195"/>
      <c r="O677" s="195"/>
    </row>
    <row r="678" spans="1:15">
      <c r="A678" s="120" t="s">
        <v>291</v>
      </c>
      <c r="B678" s="120"/>
      <c r="C678" s="120"/>
      <c r="D678" s="120"/>
      <c r="E678" s="120"/>
      <c r="F678" s="182">
        <v>0.5</v>
      </c>
      <c r="G678" s="182">
        <f>IF(I670=13,80,85)</f>
        <v>85</v>
      </c>
      <c r="H678" s="182">
        <f>+H691</f>
        <v>85.985087936871651</v>
      </c>
      <c r="I678" s="181">
        <f>IF(H678&gt;=G678,E691*F678%,0)</f>
        <v>575.29385000000002</v>
      </c>
      <c r="J678" s="195"/>
      <c r="K678" s="195"/>
      <c r="L678" s="195"/>
      <c r="M678" s="195"/>
      <c r="N678" s="195"/>
      <c r="O678" s="195"/>
    </row>
    <row r="679" spans="1:15">
      <c r="A679" s="120" t="str">
        <f>CONCATENATE("COM. MOROSIDAD AL ",G679,"%")</f>
        <v>COM. MOROSIDAD AL 5%</v>
      </c>
      <c r="B679" s="120"/>
      <c r="C679" s="120"/>
      <c r="D679" s="120"/>
      <c r="E679" s="120"/>
      <c r="F679" s="182">
        <v>0.3</v>
      </c>
      <c r="G679" s="182">
        <v>5</v>
      </c>
      <c r="H679" s="182">
        <f>+H694</f>
        <v>10.58</v>
      </c>
      <c r="I679" s="181">
        <f>+IF(H679&lt;=G679,E691*F679%,0)</f>
        <v>0</v>
      </c>
      <c r="J679" s="195"/>
      <c r="K679" s="195"/>
      <c r="L679" s="195"/>
      <c r="M679" s="195"/>
      <c r="N679" s="195"/>
      <c r="O679" s="195"/>
    </row>
    <row r="680" spans="1:15">
      <c r="A680" s="120" t="s">
        <v>292</v>
      </c>
      <c r="B680" s="120"/>
      <c r="C680" s="120"/>
      <c r="D680" s="120"/>
      <c r="E680" s="120"/>
      <c r="F680" s="182">
        <f>IF(I670=3,0.1,0.2)</f>
        <v>0.2</v>
      </c>
      <c r="G680" s="182">
        <f>IF(I670=23,50,85)</f>
        <v>85</v>
      </c>
      <c r="H680" s="182">
        <f>+H698</f>
        <v>64.38356164383562</v>
      </c>
      <c r="I680" s="181">
        <f>IF(H680&gt;=G680,E691*F680%,0)</f>
        <v>0</v>
      </c>
      <c r="J680" s="195"/>
      <c r="K680" s="195"/>
      <c r="L680" s="195"/>
      <c r="M680" s="195"/>
      <c r="N680" s="195"/>
      <c r="O680" s="195"/>
    </row>
    <row r="681" spans="1:15">
      <c r="A681" s="120" t="str">
        <f>IF(I670=23,"COMISION POR TIEMPODE VIAJE",IF(I670=22,"BONIFICACION"," "))</f>
        <v xml:space="preserve"> </v>
      </c>
      <c r="B681" s="120"/>
      <c r="C681" s="120"/>
      <c r="D681" s="120"/>
      <c r="E681" s="120"/>
      <c r="F681" s="120"/>
      <c r="G681" s="120"/>
      <c r="H681" s="182"/>
      <c r="I681" s="181" t="str">
        <f>IF(I670=23,300,IF(I670=22,400," "))</f>
        <v xml:space="preserve"> </v>
      </c>
      <c r="J681" s="195"/>
      <c r="K681" s="195"/>
      <c r="L681" s="195"/>
      <c r="M681" s="195"/>
      <c r="N681" s="195"/>
      <c r="O681" s="195"/>
    </row>
    <row r="682" spans="1:15">
      <c r="A682" s="189" t="s">
        <v>274</v>
      </c>
      <c r="B682" s="189"/>
      <c r="C682" s="189"/>
      <c r="D682" s="189"/>
      <c r="E682" s="189"/>
      <c r="F682" s="374" t="s">
        <v>275</v>
      </c>
      <c r="G682" s="374"/>
      <c r="H682" s="375" t="s">
        <v>276</v>
      </c>
      <c r="I682" s="193"/>
      <c r="J682" s="195"/>
      <c r="K682" s="195"/>
      <c r="L682" s="195"/>
      <c r="M682" s="195"/>
      <c r="N682" s="195"/>
      <c r="O682" s="195"/>
    </row>
    <row r="683" spans="1:15">
      <c r="A683" s="189"/>
      <c r="B683" s="189"/>
      <c r="C683" s="189"/>
      <c r="D683" s="189"/>
      <c r="E683" s="189"/>
      <c r="F683" s="374" t="s">
        <v>277</v>
      </c>
      <c r="G683" s="374"/>
      <c r="H683" s="375"/>
      <c r="I683" s="376">
        <v>0</v>
      </c>
      <c r="J683" s="195"/>
      <c r="K683" s="195"/>
      <c r="L683" s="195"/>
      <c r="M683" s="195"/>
      <c r="N683" s="195"/>
      <c r="O683" s="195"/>
    </row>
    <row r="684" spans="1:15">
      <c r="A684" s="189"/>
      <c r="B684" s="197"/>
      <c r="C684" s="197"/>
      <c r="D684" s="197"/>
      <c r="E684" s="197"/>
      <c r="F684" s="374" t="s">
        <v>278</v>
      </c>
      <c r="G684" s="374"/>
      <c r="H684" s="375"/>
      <c r="I684" s="376"/>
      <c r="J684" s="195"/>
      <c r="K684" s="195"/>
      <c r="L684" s="195"/>
      <c r="M684" s="195"/>
      <c r="N684" s="195"/>
      <c r="O684" s="195"/>
    </row>
    <row r="685" spans="1:15">
      <c r="A685" s="189"/>
      <c r="B685" s="197"/>
      <c r="C685" s="197"/>
      <c r="D685" s="197"/>
      <c r="E685" s="197"/>
      <c r="F685" s="374" t="s">
        <v>279</v>
      </c>
      <c r="G685" s="374"/>
      <c r="H685" s="375"/>
      <c r="I685" s="198"/>
      <c r="J685" s="195"/>
      <c r="K685" s="195"/>
      <c r="L685" s="195"/>
      <c r="M685" s="195"/>
      <c r="N685" s="195"/>
      <c r="O685" s="195"/>
    </row>
    <row r="686" spans="1:15">
      <c r="A686" s="120"/>
      <c r="B686" s="84" t="str">
        <f>IF(I670=13,"Remuneracion Extra"," ")</f>
        <v xml:space="preserve"> </v>
      </c>
      <c r="C686" s="120"/>
      <c r="D686" s="120"/>
      <c r="E686" s="120"/>
      <c r="F686" s="120"/>
      <c r="G686" s="120"/>
      <c r="H686" s="120"/>
      <c r="I686" s="183"/>
      <c r="J686" s="195"/>
      <c r="K686" s="195"/>
      <c r="L686" s="195"/>
      <c r="M686" s="195"/>
      <c r="N686" s="195"/>
      <c r="O686" s="195"/>
    </row>
    <row r="687" spans="1:15" ht="15.75">
      <c r="A687" s="184" t="s">
        <v>129</v>
      </c>
      <c r="B687" s="185"/>
      <c r="C687" s="185"/>
      <c r="D687" s="185"/>
      <c r="E687" s="185"/>
      <c r="F687" s="185"/>
      <c r="G687" s="185"/>
      <c r="H687" s="185"/>
      <c r="I687" s="186">
        <f>SUM(I676:I686)</f>
        <v>1825.29385</v>
      </c>
      <c r="J687" s="195"/>
      <c r="K687" s="195"/>
      <c r="L687" s="195"/>
      <c r="M687" s="195"/>
      <c r="N687" s="195"/>
      <c r="O687" s="195"/>
    </row>
    <row r="688" spans="1:15">
      <c r="A688" s="120"/>
      <c r="B688" s="120"/>
      <c r="C688" s="120"/>
      <c r="D688" s="120"/>
      <c r="E688" s="120"/>
      <c r="F688" s="120"/>
      <c r="G688" s="120"/>
      <c r="H688" s="120"/>
      <c r="I688" s="120"/>
      <c r="J688" s="195"/>
      <c r="K688" s="195"/>
      <c r="L688" s="195"/>
      <c r="M688" s="195"/>
      <c r="N688" s="195"/>
      <c r="O688" s="195"/>
    </row>
    <row r="689" spans="1:15">
      <c r="A689" s="121" t="s">
        <v>130</v>
      </c>
      <c r="B689" s="121"/>
      <c r="C689" s="121"/>
      <c r="D689" s="121"/>
      <c r="E689" s="121"/>
      <c r="F689" s="121"/>
      <c r="G689" s="121"/>
      <c r="H689" s="121"/>
      <c r="I689" s="121"/>
      <c r="J689" s="195"/>
      <c r="K689" s="195"/>
      <c r="L689" s="195"/>
      <c r="M689" s="195"/>
      <c r="N689" s="195"/>
      <c r="O689" s="195"/>
    </row>
    <row r="690" spans="1:15">
      <c r="A690" s="121"/>
      <c r="B690" s="121" t="s">
        <v>131</v>
      </c>
      <c r="C690" s="121"/>
      <c r="D690" s="121"/>
      <c r="E690" s="187">
        <f>VLOOKUP(I670,AVANCEVENDEDOR!$A$2:$R$35,7,0)</f>
        <v>133812.47</v>
      </c>
      <c r="F690" s="187"/>
      <c r="G690" s="121"/>
      <c r="H690" s="121"/>
      <c r="I690" s="121"/>
      <c r="J690" s="195"/>
      <c r="K690" s="195"/>
      <c r="L690" s="195"/>
      <c r="M690" s="199"/>
      <c r="N690" s="200"/>
      <c r="O690" s="195"/>
    </row>
    <row r="691" spans="1:15">
      <c r="A691" s="121"/>
      <c r="B691" s="121" t="s">
        <v>132</v>
      </c>
      <c r="C691" s="121"/>
      <c r="D691" s="121"/>
      <c r="E691" s="187">
        <f>IF(I670=27,(VLOOKUP(I670,AVANCEVENDEDOR!$A$2:$R$35,6,0)-I667),(VLOOKUP(I670,AVANCEVENDEDOR!$A$2:$R$35,6,0)))</f>
        <v>115058.77</v>
      </c>
      <c r="F691" s="187"/>
      <c r="G691" s="188" t="s">
        <v>133</v>
      </c>
      <c r="H691" s="187">
        <f>+E691*100/E690</f>
        <v>85.985087936871651</v>
      </c>
      <c r="I691" s="121"/>
      <c r="J691" s="195"/>
      <c r="K691" s="121"/>
      <c r="L691" s="201"/>
      <c r="M691" s="195"/>
      <c r="N691" s="195"/>
      <c r="O691" s="195"/>
    </row>
    <row r="692" spans="1:15">
      <c r="A692" s="121"/>
      <c r="B692" s="121"/>
      <c r="C692" s="121"/>
      <c r="D692" s="121"/>
      <c r="E692" s="121"/>
      <c r="F692" s="121"/>
      <c r="G692" s="188"/>
      <c r="H692" s="121"/>
      <c r="I692" s="121"/>
      <c r="J692" s="195"/>
      <c r="K692" s="195"/>
      <c r="L692" s="195"/>
      <c r="M692" s="195"/>
      <c r="N692" s="195"/>
      <c r="O692" s="195"/>
    </row>
    <row r="693" spans="1:15">
      <c r="A693" s="121"/>
      <c r="B693" s="121" t="s">
        <v>134</v>
      </c>
      <c r="C693" s="121"/>
      <c r="D693" s="121"/>
      <c r="E693" s="187">
        <f>VLOOKUP(I670,AVANCEVENDEDOR!$A$2:$R$35,10,0)</f>
        <v>336089.79</v>
      </c>
      <c r="F693" s="187"/>
      <c r="G693" s="188"/>
      <c r="H693" s="121"/>
      <c r="I693" s="121"/>
      <c r="J693" s="195"/>
      <c r="K693" s="195"/>
      <c r="L693" s="195"/>
      <c r="M693" s="195"/>
      <c r="N693" s="195"/>
      <c r="O693" s="195"/>
    </row>
    <row r="694" spans="1:15">
      <c r="A694" s="121"/>
      <c r="B694" s="121" t="s">
        <v>135</v>
      </c>
      <c r="C694" s="121"/>
      <c r="D694" s="121"/>
      <c r="E694" s="187">
        <f>VLOOKUP(I670,AVANCEVENDEDOR!$A$2:$R$35,11,0)</f>
        <v>35563.64</v>
      </c>
      <c r="F694" s="187"/>
      <c r="G694" s="188" t="s">
        <v>136</v>
      </c>
      <c r="H694" s="187">
        <f>VLOOKUP(I670,AVANCEVENDEDOR!$A$2:$R$35,15,0)</f>
        <v>10.58</v>
      </c>
      <c r="I694" s="121"/>
      <c r="J694" s="195"/>
      <c r="K694" s="195"/>
      <c r="L694" s="195"/>
      <c r="M694" s="195"/>
      <c r="N694" s="195"/>
      <c r="O694" s="195"/>
    </row>
    <row r="695" spans="1:15">
      <c r="A695" s="121"/>
      <c r="B695" s="121" t="s">
        <v>137</v>
      </c>
      <c r="C695" s="121"/>
      <c r="D695" s="121"/>
      <c r="E695" s="187">
        <f>VLOOKUP(I670,AVANCEVENDEDOR!$A$2:$R$35,9,0)</f>
        <v>161610.26999999999</v>
      </c>
      <c r="F695" s="187"/>
      <c r="G695" s="188"/>
      <c r="H695" s="121"/>
      <c r="I695" s="121"/>
      <c r="J695" s="195"/>
      <c r="K695" s="195"/>
      <c r="L695" s="195"/>
      <c r="M695" s="195"/>
      <c r="N695" s="195"/>
      <c r="O695" s="195"/>
    </row>
    <row r="696" spans="1:15">
      <c r="A696" s="121"/>
      <c r="B696" s="121"/>
      <c r="C696" s="121"/>
      <c r="D696" s="121"/>
      <c r="E696" s="121"/>
      <c r="F696" s="121"/>
      <c r="G696" s="188"/>
      <c r="H696" s="121"/>
      <c r="I696" s="121"/>
      <c r="J696" s="195"/>
      <c r="K696" s="195"/>
      <c r="L696" s="195"/>
      <c r="M696" s="195"/>
      <c r="N696" s="195"/>
      <c r="O696" s="195"/>
    </row>
    <row r="697" spans="1:15">
      <c r="A697" s="121"/>
      <c r="B697" s="121" t="s">
        <v>280</v>
      </c>
      <c r="C697" s="121"/>
      <c r="D697" s="121"/>
      <c r="E697" s="187">
        <f>VLOOKUP(I670,AVANCEVENDEDOR!$A$2:$R$35,13,0)</f>
        <v>73</v>
      </c>
      <c r="F697" s="187"/>
      <c r="G697" s="121"/>
      <c r="H697" s="187"/>
      <c r="I697" s="121"/>
      <c r="J697" s="195"/>
      <c r="K697" s="195"/>
      <c r="L697" s="195"/>
      <c r="M697" s="195"/>
      <c r="N697" s="195"/>
      <c r="O697" s="195"/>
    </row>
    <row r="698" spans="1:15">
      <c r="A698" s="121"/>
      <c r="B698" s="121" t="s">
        <v>281</v>
      </c>
      <c r="C698" s="121"/>
      <c r="D698" s="121"/>
      <c r="E698" s="187">
        <f>VLOOKUP(I670,AVANCEVENDEDOR!$A$2:$R$35,14,0)</f>
        <v>47</v>
      </c>
      <c r="F698" s="187"/>
      <c r="G698" s="188" t="s">
        <v>140</v>
      </c>
      <c r="H698" s="187">
        <f>+E698*100/E697</f>
        <v>64.38356164383562</v>
      </c>
      <c r="I698" s="121"/>
      <c r="J698" s="195"/>
      <c r="K698" s="195"/>
      <c r="L698" s="195"/>
      <c r="M698" s="195"/>
      <c r="N698" s="195"/>
      <c r="O698" s="195"/>
    </row>
    <row r="699" spans="1:15">
      <c r="J699" s="195"/>
      <c r="K699" s="195"/>
      <c r="L699" s="195"/>
      <c r="M699" s="195"/>
      <c r="N699" s="195"/>
      <c r="O699" s="195"/>
    </row>
    <row r="700" spans="1:15" hidden="1">
      <c r="F700">
        <v>99</v>
      </c>
    </row>
    <row r="701" spans="1:15" hidden="1">
      <c r="F701">
        <v>100</v>
      </c>
      <c r="G701">
        <v>100</v>
      </c>
    </row>
    <row r="702" spans="1:15" hidden="1">
      <c r="F702">
        <v>101</v>
      </c>
      <c r="G702">
        <v>100</v>
      </c>
    </row>
    <row r="703" spans="1:15" hidden="1">
      <c r="F703">
        <v>102</v>
      </c>
      <c r="G703">
        <v>100</v>
      </c>
    </row>
    <row r="704" spans="1:15" hidden="1">
      <c r="F704">
        <v>103</v>
      </c>
      <c r="G704">
        <v>100</v>
      </c>
    </row>
    <row r="705" spans="6:7" hidden="1">
      <c r="F705">
        <v>104</v>
      </c>
      <c r="G705">
        <v>100</v>
      </c>
    </row>
    <row r="706" spans="6:7" hidden="1">
      <c r="F706">
        <v>105</v>
      </c>
      <c r="G706">
        <v>100</v>
      </c>
    </row>
    <row r="707" spans="6:7" hidden="1">
      <c r="F707">
        <v>106</v>
      </c>
      <c r="G707">
        <v>200</v>
      </c>
    </row>
    <row r="708" spans="6:7" hidden="1">
      <c r="F708">
        <v>107</v>
      </c>
      <c r="G708">
        <v>200</v>
      </c>
    </row>
    <row r="709" spans="6:7" hidden="1">
      <c r="F709">
        <v>108</v>
      </c>
      <c r="G709">
        <v>200</v>
      </c>
    </row>
    <row r="710" spans="6:7" hidden="1">
      <c r="F710">
        <v>109</v>
      </c>
      <c r="G710">
        <v>200</v>
      </c>
    </row>
    <row r="711" spans="6:7" hidden="1">
      <c r="F711">
        <v>110</v>
      </c>
      <c r="G711">
        <v>200</v>
      </c>
    </row>
    <row r="712" spans="6:7" hidden="1">
      <c r="F712">
        <v>111</v>
      </c>
      <c r="G712">
        <v>200</v>
      </c>
    </row>
    <row r="713" spans="6:7" hidden="1">
      <c r="F713">
        <v>112</v>
      </c>
      <c r="G713">
        <v>200</v>
      </c>
    </row>
    <row r="714" spans="6:7" hidden="1">
      <c r="F714">
        <v>113</v>
      </c>
      <c r="G714">
        <v>200</v>
      </c>
    </row>
    <row r="715" spans="6:7" hidden="1">
      <c r="F715">
        <v>114</v>
      </c>
      <c r="G715">
        <v>200</v>
      </c>
    </row>
    <row r="716" spans="6:7" hidden="1">
      <c r="F716">
        <v>115</v>
      </c>
      <c r="G716">
        <v>300</v>
      </c>
    </row>
    <row r="717" spans="6:7" hidden="1">
      <c r="F717">
        <v>116</v>
      </c>
      <c r="G717">
        <v>300</v>
      </c>
    </row>
    <row r="718" spans="6:7" hidden="1">
      <c r="F718">
        <v>117</v>
      </c>
      <c r="G718">
        <v>300</v>
      </c>
    </row>
    <row r="719" spans="6:7" hidden="1">
      <c r="F719">
        <v>118</v>
      </c>
      <c r="G719">
        <v>300</v>
      </c>
    </row>
    <row r="720" spans="6:7" hidden="1">
      <c r="F720">
        <v>119</v>
      </c>
      <c r="G720">
        <v>300</v>
      </c>
    </row>
    <row r="721" spans="6:7" hidden="1">
      <c r="F721">
        <v>120</v>
      </c>
      <c r="G721">
        <v>300</v>
      </c>
    </row>
    <row r="722" spans="6:7" hidden="1">
      <c r="F722">
        <v>121</v>
      </c>
      <c r="G722">
        <v>400</v>
      </c>
    </row>
    <row r="723" spans="6:7" hidden="1">
      <c r="F723">
        <v>122</v>
      </c>
      <c r="G723">
        <v>400</v>
      </c>
    </row>
    <row r="741" spans="1:15">
      <c r="A741" s="84" t="s">
        <v>112</v>
      </c>
      <c r="B741" s="120"/>
      <c r="C741" s="120"/>
      <c r="D741" s="120"/>
      <c r="E741" s="120"/>
      <c r="F741" s="120"/>
      <c r="G741" s="120"/>
      <c r="H741" s="120"/>
      <c r="I741" s="189"/>
      <c r="J741" s="195"/>
      <c r="K741" s="195"/>
      <c r="L741" s="195"/>
      <c r="M741" s="195"/>
      <c r="N741" s="195"/>
      <c r="O741" s="195"/>
    </row>
    <row r="742" spans="1:15">
      <c r="A742" s="84" t="s">
        <v>113</v>
      </c>
      <c r="B742" s="120"/>
      <c r="C742" s="120"/>
      <c r="D742" s="120"/>
      <c r="E742" s="120"/>
      <c r="F742" s="120"/>
      <c r="G742" s="120"/>
      <c r="H742" s="120"/>
      <c r="I742" s="179" t="str">
        <f>+CONCATENATE("20142_",I744)</f>
        <v>20142_11</v>
      </c>
      <c r="J742" s="195"/>
      <c r="K742" s="195"/>
      <c r="L742" s="195"/>
      <c r="M742" s="195"/>
      <c r="N742" s="195"/>
      <c r="O742" s="195"/>
    </row>
    <row r="743" spans="1:15">
      <c r="A743" s="84" t="s">
        <v>114</v>
      </c>
      <c r="B743" s="120"/>
      <c r="C743" s="120"/>
      <c r="D743" s="120"/>
      <c r="E743" s="120"/>
      <c r="F743" s="120"/>
      <c r="G743" s="120"/>
      <c r="H743" s="120"/>
      <c r="I743" s="120"/>
      <c r="J743" s="195"/>
      <c r="K743" s="195"/>
      <c r="L743" s="195"/>
      <c r="M743" s="195"/>
      <c r="N743" s="195"/>
      <c r="O743" s="195"/>
    </row>
    <row r="744" spans="1:15">
      <c r="A744" s="120"/>
      <c r="B744" s="120"/>
      <c r="C744" s="120"/>
      <c r="D744" s="120"/>
      <c r="E744" s="120"/>
      <c r="F744" s="120"/>
      <c r="G744" s="120"/>
      <c r="H744" s="120"/>
      <c r="I744" s="191">
        <v>11</v>
      </c>
      <c r="J744" s="195"/>
      <c r="K744" s="195"/>
      <c r="L744" s="195"/>
      <c r="M744" s="195"/>
      <c r="N744" s="195"/>
      <c r="O744" s="195"/>
    </row>
    <row r="745" spans="1:15">
      <c r="A745" s="120" t="s">
        <v>115</v>
      </c>
      <c r="B745" s="120"/>
      <c r="C745" s="120"/>
      <c r="D745" s="120"/>
      <c r="E745" s="120"/>
      <c r="F745" s="120"/>
      <c r="G745" s="120"/>
      <c r="H745" s="120"/>
      <c r="I745" s="83">
        <f>I5</f>
        <v>43800</v>
      </c>
      <c r="J745" s="195"/>
      <c r="K745" s="195"/>
      <c r="L745" s="195"/>
      <c r="M745" s="195"/>
      <c r="N745" s="195"/>
      <c r="O745" s="195"/>
    </row>
    <row r="746" spans="1:15">
      <c r="A746" s="120"/>
      <c r="B746" s="120"/>
      <c r="C746" s="120"/>
      <c r="D746" s="120"/>
      <c r="E746" s="120"/>
      <c r="F746" s="120"/>
      <c r="G746" s="120"/>
      <c r="H746" s="120"/>
      <c r="I746" s="120"/>
      <c r="J746" s="195"/>
      <c r="K746" s="195"/>
      <c r="L746" s="195"/>
      <c r="M746" s="195"/>
      <c r="N746" s="195"/>
      <c r="O746" s="195"/>
    </row>
    <row r="747" spans="1:15">
      <c r="A747" s="120" t="s">
        <v>116</v>
      </c>
      <c r="B747" s="120"/>
      <c r="C747" s="84" t="str">
        <f>VLOOKUP(I744,AVANCEVENDEDOR!$A$2:$R$35,3,0)</f>
        <v xml:space="preserve"> MILLA CHAMBI MARIA ELENA</v>
      </c>
      <c r="D747" s="120"/>
      <c r="E747" s="120"/>
      <c r="F747" s="120"/>
      <c r="G747" s="120"/>
      <c r="H747" s="120"/>
      <c r="I747" s="120"/>
      <c r="J747" s="195"/>
      <c r="K747" s="195"/>
      <c r="L747" s="195"/>
      <c r="M747" s="195"/>
      <c r="N747" s="195"/>
      <c r="O747" s="195"/>
    </row>
    <row r="748" spans="1:15">
      <c r="A748" s="120"/>
      <c r="B748" s="120"/>
      <c r="C748" s="120"/>
      <c r="D748" s="120"/>
      <c r="E748" s="120"/>
      <c r="F748" s="120"/>
      <c r="G748" s="120"/>
      <c r="H748" s="120"/>
      <c r="I748" s="84" t="s">
        <v>118</v>
      </c>
      <c r="J748" s="195"/>
      <c r="K748" s="195"/>
      <c r="L748" s="195"/>
      <c r="M748" s="195"/>
      <c r="N748" s="195"/>
      <c r="O748" s="195"/>
    </row>
    <row r="749" spans="1:15">
      <c r="A749" s="120"/>
      <c r="B749" s="120"/>
      <c r="C749" s="120"/>
      <c r="D749" s="120"/>
      <c r="E749" s="120"/>
      <c r="F749" s="120"/>
      <c r="G749" s="120"/>
      <c r="H749" s="120"/>
      <c r="I749" s="120"/>
      <c r="J749" s="195"/>
      <c r="K749" s="195"/>
      <c r="L749" s="195"/>
      <c r="M749" s="195"/>
      <c r="N749" s="195"/>
      <c r="O749" s="195"/>
    </row>
    <row r="750" spans="1:15">
      <c r="A750" s="120" t="s">
        <v>119</v>
      </c>
      <c r="B750" s="120"/>
      <c r="C750" s="120"/>
      <c r="D750" s="120"/>
      <c r="E750" s="120"/>
      <c r="F750" s="120"/>
      <c r="G750" s="120"/>
      <c r="H750" s="120"/>
      <c r="I750" s="181">
        <v>850</v>
      </c>
      <c r="J750" s="195"/>
      <c r="K750" s="195"/>
      <c r="L750" s="195"/>
      <c r="M750" s="195"/>
      <c r="N750" s="195"/>
      <c r="O750" s="195"/>
    </row>
    <row r="751" spans="1:15" ht="20.25">
      <c r="A751" s="120" t="s">
        <v>120</v>
      </c>
      <c r="B751" s="120"/>
      <c r="C751" s="120"/>
      <c r="D751" s="120"/>
      <c r="E751" s="120"/>
      <c r="F751" s="86" t="s">
        <v>272</v>
      </c>
      <c r="G751" s="86" t="s">
        <v>122</v>
      </c>
      <c r="H751" s="86" t="s">
        <v>123</v>
      </c>
      <c r="I751" s="181">
        <v>400</v>
      </c>
      <c r="J751" s="195"/>
      <c r="K751" s="195"/>
      <c r="L751" s="195"/>
      <c r="M751" s="195"/>
      <c r="N751" s="195"/>
      <c r="O751" s="195"/>
    </row>
    <row r="752" spans="1:15">
      <c r="A752" s="120" t="s">
        <v>291</v>
      </c>
      <c r="B752" s="120"/>
      <c r="C752" s="120"/>
      <c r="D752" s="120"/>
      <c r="E752" s="120"/>
      <c r="F752" s="182">
        <v>0.5</v>
      </c>
      <c r="G752" s="182">
        <f>IF(I744=13,80,85)</f>
        <v>85</v>
      </c>
      <c r="H752" s="182">
        <f>+H765</f>
        <v>100.08161932804768</v>
      </c>
      <c r="I752" s="181">
        <f>IF(H752&gt;=G752,E765*F752%,0)</f>
        <v>1382.2952499999999</v>
      </c>
      <c r="J752" s="195"/>
      <c r="K752" s="195"/>
      <c r="L752" s="195"/>
      <c r="M752" s="195"/>
      <c r="N752" s="195"/>
      <c r="O752" s="195"/>
    </row>
    <row r="753" spans="1:15">
      <c r="A753" s="120" t="str">
        <f>CONCATENATE("COM. MOROSIDAD AL ",G753,"%")</f>
        <v>COM. MOROSIDAD AL 5%</v>
      </c>
      <c r="B753" s="120"/>
      <c r="C753" s="120"/>
      <c r="D753" s="120"/>
      <c r="E753" s="120"/>
      <c r="F753" s="182">
        <v>0.3</v>
      </c>
      <c r="G753" s="182">
        <v>5</v>
      </c>
      <c r="H753" s="182">
        <f>+H768</f>
        <v>4.53</v>
      </c>
      <c r="I753" s="181">
        <f>+IF(H753&lt;=G753,E765*F753%,0)</f>
        <v>829.37715000000003</v>
      </c>
      <c r="J753" s="195"/>
      <c r="K753" s="195"/>
      <c r="L753" s="195"/>
      <c r="M753" s="195"/>
      <c r="N753" s="195"/>
      <c r="O753" s="195"/>
    </row>
    <row r="754" spans="1:15">
      <c r="A754" s="120" t="s">
        <v>292</v>
      </c>
      <c r="B754" s="120"/>
      <c r="C754" s="120"/>
      <c r="D754" s="120"/>
      <c r="E754" s="120"/>
      <c r="F754" s="182">
        <f>IF(I744=3,0.1,0.2)</f>
        <v>0.2</v>
      </c>
      <c r="G754" s="182">
        <f>IF(I744=23,50,85)</f>
        <v>85</v>
      </c>
      <c r="H754" s="182">
        <f>+H772</f>
        <v>56.25</v>
      </c>
      <c r="I754" s="181">
        <f>IF(H754&gt;=G754,E765*F754%,0)</f>
        <v>0</v>
      </c>
      <c r="J754" s="195"/>
      <c r="K754" s="195"/>
      <c r="L754" s="195"/>
      <c r="M754" s="195"/>
      <c r="N754" s="195"/>
      <c r="O754" s="195"/>
    </row>
    <row r="755" spans="1:15">
      <c r="A755" s="120" t="str">
        <f>IF(I744=23,"COMISION POR TIEMPODE VIAJE",IF(I744=22,"BONIFICACION"," "))</f>
        <v xml:space="preserve"> </v>
      </c>
      <c r="B755" s="120"/>
      <c r="C755" s="120"/>
      <c r="D755" s="120"/>
      <c r="E755" s="120"/>
      <c r="F755" s="120"/>
      <c r="G755" s="120"/>
      <c r="H755" s="182"/>
      <c r="I755" s="181" t="str">
        <f>IF(I744=23,300,IF(I744=22,400," "))</f>
        <v xml:space="preserve"> </v>
      </c>
      <c r="J755" s="195"/>
      <c r="K755" s="195"/>
      <c r="L755" s="195"/>
      <c r="M755" s="195"/>
      <c r="N755" s="195"/>
      <c r="O755" s="195"/>
    </row>
    <row r="756" spans="1:15">
      <c r="A756" s="189" t="s">
        <v>274</v>
      </c>
      <c r="B756" s="189"/>
      <c r="C756" s="189"/>
      <c r="D756" s="189"/>
      <c r="E756" s="189"/>
      <c r="F756" s="374" t="s">
        <v>275</v>
      </c>
      <c r="G756" s="374"/>
      <c r="H756" s="375" t="s">
        <v>276</v>
      </c>
      <c r="I756" s="193"/>
      <c r="J756" s="195"/>
      <c r="K756" s="195"/>
      <c r="L756" s="195"/>
      <c r="M756" s="195"/>
      <c r="N756" s="195"/>
      <c r="O756" s="195"/>
    </row>
    <row r="757" spans="1:15">
      <c r="A757" s="189"/>
      <c r="B757" s="189"/>
      <c r="C757" s="189"/>
      <c r="D757" s="189"/>
      <c r="E757" s="189"/>
      <c r="F757" s="374" t="s">
        <v>277</v>
      </c>
      <c r="G757" s="374"/>
      <c r="H757" s="375"/>
      <c r="I757" s="376">
        <v>0</v>
      </c>
      <c r="J757" s="195"/>
      <c r="K757" s="195"/>
      <c r="L757" s="195"/>
      <c r="M757" s="195"/>
      <c r="N757" s="195"/>
      <c r="O757" s="195"/>
    </row>
    <row r="758" spans="1:15">
      <c r="A758" s="189"/>
      <c r="B758" s="197"/>
      <c r="C758" s="197"/>
      <c r="D758" s="197"/>
      <c r="E758" s="197"/>
      <c r="F758" s="374" t="s">
        <v>278</v>
      </c>
      <c r="G758" s="374"/>
      <c r="H758" s="375"/>
      <c r="I758" s="376"/>
      <c r="J758" s="195"/>
      <c r="K758" s="195"/>
      <c r="L758" s="195"/>
      <c r="M758" s="195"/>
      <c r="N758" s="195"/>
      <c r="O758" s="195"/>
    </row>
    <row r="759" spans="1:15">
      <c r="A759" s="189"/>
      <c r="B759" s="197"/>
      <c r="C759" s="197"/>
      <c r="D759" s="197"/>
      <c r="E759" s="197"/>
      <c r="F759" s="374" t="s">
        <v>279</v>
      </c>
      <c r="G759" s="374"/>
      <c r="H759" s="375"/>
      <c r="I759" s="198"/>
      <c r="J759" s="195"/>
      <c r="K759" s="195"/>
      <c r="L759" s="195"/>
      <c r="M759" s="195"/>
      <c r="N759" s="195"/>
      <c r="O759" s="195"/>
    </row>
    <row r="760" spans="1:15">
      <c r="A760" s="120"/>
      <c r="B760" s="84" t="str">
        <f>IF(I744=13,"Remuneracion Extra"," ")</f>
        <v xml:space="preserve"> </v>
      </c>
      <c r="C760" s="120"/>
      <c r="D760" s="120"/>
      <c r="E760" s="120"/>
      <c r="F760" s="120"/>
      <c r="G760" s="120"/>
      <c r="H760" s="120"/>
      <c r="I760" s="183"/>
      <c r="J760" s="195"/>
      <c r="K760" s="195"/>
      <c r="L760" s="195"/>
      <c r="M760" s="195"/>
      <c r="N760" s="195"/>
      <c r="O760" s="195"/>
    </row>
    <row r="761" spans="1:15" ht="15.75">
      <c r="A761" s="184" t="s">
        <v>129</v>
      </c>
      <c r="B761" s="185"/>
      <c r="C761" s="185"/>
      <c r="D761" s="185"/>
      <c r="E761" s="185"/>
      <c r="F761" s="185"/>
      <c r="G761" s="185"/>
      <c r="H761" s="185"/>
      <c r="I761" s="186">
        <f>SUM(I750:I760)</f>
        <v>3461.6724000000004</v>
      </c>
      <c r="J761" s="195"/>
      <c r="K761" s="195"/>
      <c r="L761" s="195"/>
      <c r="M761" s="195"/>
      <c r="N761" s="195"/>
      <c r="O761" s="195"/>
    </row>
    <row r="762" spans="1:15">
      <c r="A762" s="120"/>
      <c r="B762" s="120"/>
      <c r="C762" s="120"/>
      <c r="D762" s="120"/>
      <c r="E762" s="120"/>
      <c r="F762" s="120"/>
      <c r="G762" s="120"/>
      <c r="H762" s="120"/>
      <c r="I762" s="120"/>
      <c r="J762" s="195"/>
      <c r="K762" s="195"/>
      <c r="L762" s="195"/>
      <c r="M762" s="195"/>
      <c r="N762" s="195"/>
      <c r="O762" s="195"/>
    </row>
    <row r="763" spans="1:15">
      <c r="A763" s="121" t="s">
        <v>130</v>
      </c>
      <c r="B763" s="121"/>
      <c r="C763" s="121"/>
      <c r="D763" s="121"/>
      <c r="E763" s="121"/>
      <c r="F763" s="121"/>
      <c r="G763" s="121"/>
      <c r="H763" s="121"/>
      <c r="I763" s="121"/>
      <c r="J763" s="195"/>
      <c r="K763" s="195"/>
      <c r="L763" s="195"/>
      <c r="M763" s="195"/>
      <c r="N763" s="195"/>
      <c r="O763" s="195"/>
    </row>
    <row r="764" spans="1:15">
      <c r="A764" s="121"/>
      <c r="B764" s="121" t="s">
        <v>131</v>
      </c>
      <c r="C764" s="121"/>
      <c r="D764" s="121"/>
      <c r="E764" s="187">
        <f>VLOOKUP(I744,AVANCEVENDEDOR!$A$2:$R$35,7,0)</f>
        <v>276233.59000000003</v>
      </c>
      <c r="F764" s="187"/>
      <c r="G764" s="121"/>
      <c r="H764" s="121"/>
      <c r="I764" s="121"/>
      <c r="J764" s="195"/>
      <c r="K764" s="195"/>
      <c r="L764" s="195"/>
      <c r="M764" s="199"/>
      <c r="N764" s="200"/>
      <c r="O764" s="195"/>
    </row>
    <row r="765" spans="1:15">
      <c r="A765" s="121"/>
      <c r="B765" s="121" t="s">
        <v>132</v>
      </c>
      <c r="C765" s="121"/>
      <c r="D765" s="121"/>
      <c r="E765" s="187">
        <f>IF(I744=27,(VLOOKUP(I744,AVANCEVENDEDOR!$A$2:$R$35,6,0)-I741),(VLOOKUP(I744,AVANCEVENDEDOR!$A$2:$R$35,6,0)))</f>
        <v>276459.05</v>
      </c>
      <c r="F765" s="187"/>
      <c r="G765" s="188" t="s">
        <v>133</v>
      </c>
      <c r="H765" s="187">
        <f>+E765*100/E764</f>
        <v>100.08161932804768</v>
      </c>
      <c r="I765" s="121"/>
      <c r="J765" s="195"/>
      <c r="K765" s="121"/>
      <c r="L765" s="201"/>
      <c r="M765" s="195"/>
      <c r="N765" s="195"/>
      <c r="O765" s="195"/>
    </row>
    <row r="766" spans="1:15">
      <c r="A766" s="121"/>
      <c r="B766" s="121"/>
      <c r="C766" s="121"/>
      <c r="D766" s="121"/>
      <c r="E766" s="121"/>
      <c r="F766" s="121"/>
      <c r="G766" s="188"/>
      <c r="H766" s="121"/>
      <c r="I766" s="121"/>
      <c r="J766" s="195"/>
      <c r="K766" s="195"/>
      <c r="L766" s="195"/>
      <c r="M766" s="195"/>
      <c r="N766" s="195"/>
      <c r="O766" s="195"/>
    </row>
    <row r="767" spans="1:15">
      <c r="A767" s="121"/>
      <c r="B767" s="121" t="s">
        <v>134</v>
      </c>
      <c r="C767" s="121"/>
      <c r="D767" s="121"/>
      <c r="E767" s="187">
        <f>VLOOKUP(I744,AVANCEVENDEDOR!$A$2:$R$35,10,0)</f>
        <v>691894.11</v>
      </c>
      <c r="F767" s="187"/>
      <c r="G767" s="188"/>
      <c r="H767" s="121"/>
      <c r="I767" s="121"/>
      <c r="J767" s="195"/>
      <c r="K767" s="195"/>
      <c r="L767" s="195"/>
      <c r="M767" s="195"/>
      <c r="N767" s="195"/>
      <c r="O767" s="195"/>
    </row>
    <row r="768" spans="1:15">
      <c r="A768" s="121"/>
      <c r="B768" s="121" t="s">
        <v>135</v>
      </c>
      <c r="C768" s="121"/>
      <c r="D768" s="121"/>
      <c r="E768" s="187">
        <f>VLOOKUP(I744,AVANCEVENDEDOR!$A$2:$R$35,11,0)</f>
        <v>31381.71</v>
      </c>
      <c r="F768" s="187"/>
      <c r="G768" s="188" t="s">
        <v>136</v>
      </c>
      <c r="H768" s="187">
        <f>VLOOKUP(I744,AVANCEVENDEDOR!$A$2:$R$35,15,0)</f>
        <v>4.53</v>
      </c>
      <c r="I768" s="121"/>
      <c r="J768" s="195"/>
      <c r="K768" s="195"/>
      <c r="L768" s="195"/>
      <c r="M768" s="195"/>
      <c r="N768" s="195"/>
      <c r="O768" s="195"/>
    </row>
    <row r="769" spans="1:15">
      <c r="A769" s="121"/>
      <c r="B769" s="121" t="s">
        <v>137</v>
      </c>
      <c r="C769" s="121"/>
      <c r="D769" s="121"/>
      <c r="E769" s="187">
        <f>VLOOKUP(I744,AVANCEVENDEDOR!$A$2:$R$35,9,0)</f>
        <v>327057.65000000002</v>
      </c>
      <c r="F769" s="187"/>
      <c r="G769" s="188"/>
      <c r="H769" s="121"/>
      <c r="I769" s="121"/>
      <c r="J769" s="195"/>
      <c r="K769" s="195"/>
      <c r="L769" s="195"/>
      <c r="M769" s="195"/>
      <c r="N769" s="195"/>
      <c r="O769" s="195"/>
    </row>
    <row r="770" spans="1:15">
      <c r="A770" s="121"/>
      <c r="B770" s="121"/>
      <c r="C770" s="121"/>
      <c r="D770" s="121"/>
      <c r="E770" s="121"/>
      <c r="F770" s="121"/>
      <c r="G770" s="188"/>
      <c r="H770" s="121"/>
      <c r="I770" s="121"/>
      <c r="J770" s="195"/>
      <c r="K770" s="195"/>
      <c r="L770" s="195"/>
      <c r="M770" s="195"/>
      <c r="N770" s="195"/>
      <c r="O770" s="195"/>
    </row>
    <row r="771" spans="1:15">
      <c r="A771" s="121"/>
      <c r="B771" s="121" t="s">
        <v>280</v>
      </c>
      <c r="C771" s="121"/>
      <c r="D771" s="121"/>
      <c r="E771" s="187">
        <f>VLOOKUP(I744,AVANCEVENDEDOR!$A$2:$R$35,13,0)</f>
        <v>80</v>
      </c>
      <c r="F771" s="187"/>
      <c r="G771" s="121"/>
      <c r="H771" s="187"/>
      <c r="I771" s="121"/>
      <c r="J771" s="195"/>
      <c r="K771" s="195"/>
      <c r="L771" s="195"/>
      <c r="M771" s="195"/>
      <c r="N771" s="195"/>
      <c r="O771" s="195"/>
    </row>
    <row r="772" spans="1:15">
      <c r="A772" s="121"/>
      <c r="B772" s="121" t="s">
        <v>281</v>
      </c>
      <c r="C772" s="121"/>
      <c r="D772" s="121"/>
      <c r="E772" s="187">
        <f>VLOOKUP(I744,AVANCEVENDEDOR!$A$2:$R$35,14,0)</f>
        <v>45</v>
      </c>
      <c r="F772" s="187"/>
      <c r="G772" s="188" t="s">
        <v>140</v>
      </c>
      <c r="H772" s="187">
        <f>+E772*100/E771</f>
        <v>56.25</v>
      </c>
      <c r="I772" s="121"/>
      <c r="J772" s="195"/>
      <c r="K772" s="195"/>
      <c r="L772" s="195"/>
      <c r="M772" s="195"/>
      <c r="N772" s="195"/>
      <c r="O772" s="195"/>
    </row>
    <row r="773" spans="1:15">
      <c r="J773" s="195"/>
      <c r="K773" s="195"/>
      <c r="L773" s="195"/>
      <c r="M773" s="195"/>
      <c r="N773" s="195"/>
      <c r="O773" s="195"/>
    </row>
    <row r="774" spans="1:15" hidden="1">
      <c r="F774">
        <v>99</v>
      </c>
    </row>
    <row r="775" spans="1:15" hidden="1">
      <c r="F775">
        <v>100</v>
      </c>
      <c r="G775">
        <v>100</v>
      </c>
    </row>
    <row r="776" spans="1:15" hidden="1">
      <c r="F776">
        <v>101</v>
      </c>
      <c r="G776">
        <v>100</v>
      </c>
    </row>
    <row r="777" spans="1:15" hidden="1">
      <c r="F777">
        <v>102</v>
      </c>
      <c r="G777">
        <v>100</v>
      </c>
    </row>
    <row r="778" spans="1:15" hidden="1">
      <c r="F778">
        <v>103</v>
      </c>
      <c r="G778">
        <v>100</v>
      </c>
    </row>
    <row r="779" spans="1:15" hidden="1">
      <c r="F779">
        <v>104</v>
      </c>
      <c r="G779">
        <v>100</v>
      </c>
    </row>
    <row r="780" spans="1:15" hidden="1">
      <c r="F780">
        <v>105</v>
      </c>
      <c r="G780">
        <v>100</v>
      </c>
    </row>
    <row r="781" spans="1:15" hidden="1">
      <c r="F781">
        <v>106</v>
      </c>
      <c r="G781">
        <v>200</v>
      </c>
    </row>
    <row r="782" spans="1:15" hidden="1">
      <c r="F782">
        <v>107</v>
      </c>
      <c r="G782">
        <v>200</v>
      </c>
    </row>
    <row r="783" spans="1:15" hidden="1">
      <c r="F783">
        <v>108</v>
      </c>
      <c r="G783">
        <v>200</v>
      </c>
    </row>
    <row r="784" spans="1:15" hidden="1">
      <c r="F784">
        <v>109</v>
      </c>
      <c r="G784">
        <v>200</v>
      </c>
    </row>
    <row r="785" spans="6:7" hidden="1">
      <c r="F785">
        <v>110</v>
      </c>
      <c r="G785">
        <v>200</v>
      </c>
    </row>
    <row r="786" spans="6:7" hidden="1">
      <c r="F786">
        <v>111</v>
      </c>
      <c r="G786">
        <v>200</v>
      </c>
    </row>
    <row r="787" spans="6:7" hidden="1">
      <c r="F787">
        <v>112</v>
      </c>
      <c r="G787">
        <v>200</v>
      </c>
    </row>
    <row r="788" spans="6:7" hidden="1">
      <c r="F788">
        <v>113</v>
      </c>
      <c r="G788">
        <v>200</v>
      </c>
    </row>
    <row r="789" spans="6:7" hidden="1">
      <c r="F789">
        <v>114</v>
      </c>
      <c r="G789">
        <v>200</v>
      </c>
    </row>
    <row r="790" spans="6:7" hidden="1">
      <c r="F790">
        <v>115</v>
      </c>
      <c r="G790">
        <v>300</v>
      </c>
    </row>
    <row r="791" spans="6:7" hidden="1">
      <c r="F791">
        <v>116</v>
      </c>
      <c r="G791">
        <v>300</v>
      </c>
    </row>
    <row r="792" spans="6:7" hidden="1">
      <c r="F792">
        <v>117</v>
      </c>
      <c r="G792">
        <v>300</v>
      </c>
    </row>
    <row r="793" spans="6:7" hidden="1">
      <c r="F793">
        <v>118</v>
      </c>
      <c r="G793">
        <v>300</v>
      </c>
    </row>
    <row r="794" spans="6:7" hidden="1">
      <c r="F794">
        <v>119</v>
      </c>
      <c r="G794">
        <v>300</v>
      </c>
    </row>
    <row r="795" spans="6:7" hidden="1">
      <c r="F795">
        <v>120</v>
      </c>
      <c r="G795">
        <v>300</v>
      </c>
    </row>
    <row r="796" spans="6:7" hidden="1">
      <c r="F796">
        <v>121</v>
      </c>
      <c r="G796">
        <v>400</v>
      </c>
    </row>
    <row r="797" spans="6:7" hidden="1">
      <c r="F797">
        <v>122</v>
      </c>
      <c r="G797">
        <v>400</v>
      </c>
    </row>
    <row r="815" spans="1:15">
      <c r="A815" s="84" t="s">
        <v>112</v>
      </c>
      <c r="B815" s="120"/>
      <c r="C815" s="120"/>
      <c r="D815" s="120"/>
      <c r="E815" s="120"/>
      <c r="F815" s="120"/>
      <c r="G815" s="120"/>
      <c r="H815" s="120"/>
      <c r="I815" s="189"/>
      <c r="J815" s="195"/>
      <c r="K815" s="195"/>
      <c r="L815" s="195"/>
      <c r="M815" s="195"/>
      <c r="N815" s="195"/>
      <c r="O815" s="195"/>
    </row>
    <row r="816" spans="1:15">
      <c r="A816" s="84" t="s">
        <v>113</v>
      </c>
      <c r="B816" s="120"/>
      <c r="C816" s="120"/>
      <c r="D816" s="120"/>
      <c r="E816" s="120"/>
      <c r="F816" s="120"/>
      <c r="G816" s="120"/>
      <c r="H816" s="120"/>
      <c r="I816" s="179" t="str">
        <f>+CONCATENATE("20142_",I818)</f>
        <v>20142_23</v>
      </c>
      <c r="J816" s="195"/>
      <c r="K816" s="195"/>
      <c r="L816" s="195"/>
      <c r="M816" s="195"/>
      <c r="N816" s="195"/>
      <c r="O816" s="195"/>
    </row>
    <row r="817" spans="1:15">
      <c r="A817" s="84" t="s">
        <v>114</v>
      </c>
      <c r="B817" s="120"/>
      <c r="C817" s="120"/>
      <c r="D817" s="120"/>
      <c r="E817" s="120"/>
      <c r="F817" s="120"/>
      <c r="G817" s="120"/>
      <c r="H817" s="120"/>
      <c r="I817" s="120"/>
      <c r="J817" s="195"/>
      <c r="K817" s="195"/>
      <c r="L817" s="195"/>
      <c r="M817" s="195"/>
      <c r="N817" s="195"/>
      <c r="O817" s="195"/>
    </row>
    <row r="818" spans="1:15">
      <c r="A818" s="120"/>
      <c r="B818" s="120"/>
      <c r="C818" s="120"/>
      <c r="D818" s="120"/>
      <c r="E818" s="120"/>
      <c r="F818" s="120"/>
      <c r="G818" s="120"/>
      <c r="H818" s="120"/>
      <c r="I818" s="191">
        <v>23</v>
      </c>
      <c r="J818" s="195"/>
      <c r="K818" s="195"/>
      <c r="L818" s="195"/>
      <c r="M818" s="195"/>
      <c r="N818" s="195"/>
      <c r="O818" s="195"/>
    </row>
    <row r="819" spans="1:15">
      <c r="A819" s="120" t="s">
        <v>115</v>
      </c>
      <c r="B819" s="120"/>
      <c r="C819" s="120"/>
      <c r="D819" s="120"/>
      <c r="E819" s="120"/>
      <c r="F819" s="120"/>
      <c r="G819" s="120"/>
      <c r="H819" s="120"/>
      <c r="I819" s="83">
        <f>I5</f>
        <v>43800</v>
      </c>
      <c r="J819" s="195"/>
      <c r="K819" s="195"/>
      <c r="L819" s="195"/>
      <c r="M819" s="195"/>
      <c r="N819" s="195"/>
      <c r="O819" s="195"/>
    </row>
    <row r="820" spans="1:15">
      <c r="A820" s="120"/>
      <c r="B820" s="120"/>
      <c r="C820" s="120"/>
      <c r="D820" s="120"/>
      <c r="E820" s="120"/>
      <c r="F820" s="120"/>
      <c r="G820" s="120"/>
      <c r="H820" s="120"/>
      <c r="I820" s="120"/>
      <c r="J820" s="195"/>
      <c r="K820" s="195"/>
      <c r="L820" s="195"/>
      <c r="M820" s="195"/>
      <c r="N820" s="195"/>
      <c r="O820" s="195"/>
    </row>
    <row r="821" spans="1:15">
      <c r="A821" s="120" t="s">
        <v>116</v>
      </c>
      <c r="B821" s="120"/>
      <c r="C821" s="84" t="str">
        <f>VLOOKUP(I818,AVANCEVENDEDOR!$A$2:$R$35,3,0)</f>
        <v>DOLMOS PACHECO CARMEN ROSA</v>
      </c>
      <c r="D821" s="120"/>
      <c r="E821" s="120"/>
      <c r="F821" s="120"/>
      <c r="G821" s="120"/>
      <c r="H821" s="120"/>
      <c r="I821" s="120"/>
      <c r="J821" s="195"/>
      <c r="K821" s="195"/>
      <c r="L821" s="195"/>
      <c r="M821" s="195"/>
      <c r="N821" s="195"/>
      <c r="O821" s="195"/>
    </row>
    <row r="822" spans="1:15">
      <c r="A822" s="120"/>
      <c r="B822" s="120"/>
      <c r="C822" s="120"/>
      <c r="D822" s="120"/>
      <c r="E822" s="120"/>
      <c r="F822" s="120"/>
      <c r="G822" s="120"/>
      <c r="H822" s="120"/>
      <c r="I822" s="84" t="s">
        <v>118</v>
      </c>
      <c r="J822" s="195"/>
      <c r="K822" s="195"/>
      <c r="L822" s="195"/>
      <c r="M822" s="195"/>
      <c r="N822" s="195"/>
      <c r="O822" s="195"/>
    </row>
    <row r="823" spans="1:15">
      <c r="A823" s="120"/>
      <c r="B823" s="120"/>
      <c r="C823" s="120"/>
      <c r="D823" s="120"/>
      <c r="E823" s="120"/>
      <c r="F823" s="120"/>
      <c r="G823" s="120"/>
      <c r="H823" s="120"/>
      <c r="I823" s="120"/>
      <c r="J823" s="195"/>
      <c r="K823" s="195"/>
      <c r="L823" s="195"/>
      <c r="M823" s="195"/>
      <c r="N823" s="195"/>
      <c r="O823" s="195"/>
    </row>
    <row r="824" spans="1:15">
      <c r="A824" s="120" t="s">
        <v>119</v>
      </c>
      <c r="B824" s="120"/>
      <c r="C824" s="120"/>
      <c r="D824" s="120"/>
      <c r="E824" s="120"/>
      <c r="F824" s="120"/>
      <c r="G824" s="120"/>
      <c r="H824" s="120"/>
      <c r="I824" s="181">
        <v>850</v>
      </c>
      <c r="J824" s="195"/>
      <c r="K824" s="195"/>
      <c r="L824" s="195"/>
      <c r="M824" s="195"/>
      <c r="N824" s="195"/>
      <c r="O824" s="195"/>
    </row>
    <row r="825" spans="1:15" ht="20.25">
      <c r="A825" s="120" t="s">
        <v>120</v>
      </c>
      <c r="B825" s="120"/>
      <c r="C825" s="120"/>
      <c r="D825" s="120"/>
      <c r="E825" s="120"/>
      <c r="F825" s="86" t="s">
        <v>272</v>
      </c>
      <c r="G825" s="86" t="s">
        <v>122</v>
      </c>
      <c r="H825" s="86" t="s">
        <v>123</v>
      </c>
      <c r="I825" s="181">
        <v>400</v>
      </c>
      <c r="J825" s="195"/>
      <c r="K825" s="195"/>
      <c r="L825" s="195"/>
      <c r="M825" s="195"/>
      <c r="N825" s="195"/>
      <c r="O825" s="195"/>
    </row>
    <row r="826" spans="1:15">
      <c r="A826" s="120" t="s">
        <v>291</v>
      </c>
      <c r="B826" s="120"/>
      <c r="C826" s="120"/>
      <c r="D826" s="120"/>
      <c r="E826" s="120"/>
      <c r="F826" s="182">
        <v>0.5</v>
      </c>
      <c r="G826" s="182">
        <f>IF(I818=13,80,85)</f>
        <v>85</v>
      </c>
      <c r="H826" s="182">
        <f>+H839</f>
        <v>62.493318067682345</v>
      </c>
      <c r="I826" s="181">
        <f>IF(H826&gt;=G826,E839*F826%,0)</f>
        <v>0</v>
      </c>
      <c r="J826" s="195"/>
      <c r="K826" s="195"/>
      <c r="L826" s="195"/>
      <c r="M826" s="195"/>
      <c r="N826" s="195"/>
      <c r="O826" s="195"/>
    </row>
    <row r="827" spans="1:15">
      <c r="A827" s="120" t="str">
        <f>CONCATENATE("COM. MOROSIDAD AL ",G827,"%")</f>
        <v>COM. MOROSIDAD AL 5%</v>
      </c>
      <c r="B827" s="120"/>
      <c r="C827" s="120"/>
      <c r="D827" s="120"/>
      <c r="E827" s="120"/>
      <c r="F827" s="182">
        <v>0.3</v>
      </c>
      <c r="G827" s="182">
        <v>5</v>
      </c>
      <c r="H827" s="182">
        <f>+H842</f>
        <v>11.61</v>
      </c>
      <c r="I827" s="181">
        <f>+IF(H827&lt;=G827,E839*F827%,0)</f>
        <v>0</v>
      </c>
      <c r="J827" s="195"/>
      <c r="K827" s="195"/>
      <c r="L827" s="195"/>
      <c r="M827" s="195"/>
      <c r="N827" s="195"/>
      <c r="O827" s="195"/>
    </row>
    <row r="828" spans="1:15">
      <c r="A828" s="120" t="s">
        <v>292</v>
      </c>
      <c r="B828" s="120"/>
      <c r="C828" s="120"/>
      <c r="D828" s="120"/>
      <c r="E828" s="120"/>
      <c r="F828" s="182">
        <f>IF(I818=3,0.1,0.2)</f>
        <v>0.2</v>
      </c>
      <c r="G828" s="182">
        <f>IF(I818=23,50,85)</f>
        <v>50</v>
      </c>
      <c r="H828" s="182">
        <f>+H846</f>
        <v>58.333333333333336</v>
      </c>
      <c r="I828" s="181">
        <f>IF(H828&gt;=G828,E839*F828%,0)</f>
        <v>285.53432000000004</v>
      </c>
      <c r="J828" s="195"/>
      <c r="K828" s="195"/>
      <c r="L828" s="195"/>
      <c r="M828" s="195"/>
      <c r="N828" s="195"/>
      <c r="O828" s="195"/>
    </row>
    <row r="829" spans="1:15">
      <c r="A829" s="120" t="str">
        <f>IF(I818=23,"COMISION POR TIEMPODE VIAJE",IF(I818=22,"BONIFICACION"," "))</f>
        <v>COMISION POR TIEMPODE VIAJE</v>
      </c>
      <c r="B829" s="120"/>
      <c r="C829" s="120"/>
      <c r="D829" s="120"/>
      <c r="E829" s="120"/>
      <c r="F829" s="120"/>
      <c r="G829" s="120"/>
      <c r="H829" s="182"/>
      <c r="I829" s="181">
        <f>IF(I818=23,300,IF(I818=22,400," "))</f>
        <v>300</v>
      </c>
      <c r="J829" s="195"/>
      <c r="K829" s="195"/>
      <c r="L829" s="195"/>
      <c r="M829" s="195"/>
      <c r="N829" s="195"/>
      <c r="O829" s="195"/>
    </row>
    <row r="830" spans="1:15">
      <c r="A830" s="189" t="s">
        <v>274</v>
      </c>
      <c r="B830" s="189"/>
      <c r="C830" s="189"/>
      <c r="D830" s="189"/>
      <c r="E830" s="189"/>
      <c r="F830" s="374" t="s">
        <v>275</v>
      </c>
      <c r="G830" s="374"/>
      <c r="H830" s="375" t="s">
        <v>276</v>
      </c>
      <c r="I830" s="193"/>
      <c r="J830" s="195"/>
      <c r="K830" s="195"/>
      <c r="L830" s="195"/>
      <c r="M830" s="195"/>
      <c r="N830" s="195"/>
      <c r="O830" s="195"/>
    </row>
    <row r="831" spans="1:15">
      <c r="A831" s="189"/>
      <c r="B831" s="189"/>
      <c r="C831" s="189"/>
      <c r="D831" s="189"/>
      <c r="E831" s="189"/>
      <c r="F831" s="374" t="s">
        <v>277</v>
      </c>
      <c r="G831" s="374"/>
      <c r="H831" s="375"/>
      <c r="I831" s="376">
        <v>0</v>
      </c>
      <c r="J831" s="195"/>
      <c r="K831" s="195"/>
      <c r="L831" s="195"/>
      <c r="M831" s="195"/>
      <c r="N831" s="195"/>
      <c r="O831" s="195"/>
    </row>
    <row r="832" spans="1:15">
      <c r="A832" s="189"/>
      <c r="B832" s="197"/>
      <c r="C832" s="197"/>
      <c r="D832" s="197"/>
      <c r="E832" s="197"/>
      <c r="F832" s="374" t="s">
        <v>278</v>
      </c>
      <c r="G832" s="374"/>
      <c r="H832" s="375"/>
      <c r="I832" s="376"/>
      <c r="J832" s="195"/>
      <c r="K832" s="195"/>
      <c r="L832" s="195"/>
      <c r="M832" s="195"/>
      <c r="N832" s="195"/>
      <c r="O832" s="195"/>
    </row>
    <row r="833" spans="1:15">
      <c r="A833" s="189"/>
      <c r="B833" s="197"/>
      <c r="C833" s="197"/>
      <c r="D833" s="197"/>
      <c r="E833" s="197"/>
      <c r="F833" s="374" t="s">
        <v>279</v>
      </c>
      <c r="G833" s="374"/>
      <c r="H833" s="375"/>
      <c r="I833" s="198"/>
      <c r="J833" s="195"/>
      <c r="K833" s="195"/>
      <c r="L833" s="195"/>
      <c r="M833" s="195"/>
      <c r="N833" s="195"/>
      <c r="O833" s="195"/>
    </row>
    <row r="834" spans="1:15">
      <c r="A834" s="120"/>
      <c r="B834" s="84" t="str">
        <f>IF(I818=13,"Remuneracion Extra"," ")</f>
        <v xml:space="preserve"> </v>
      </c>
      <c r="C834" s="120"/>
      <c r="D834" s="120"/>
      <c r="E834" s="120"/>
      <c r="F834" s="120"/>
      <c r="G834" s="120"/>
      <c r="H834" s="120"/>
      <c r="I834" s="183"/>
      <c r="J834" s="195"/>
      <c r="K834" s="195"/>
      <c r="L834" s="195"/>
      <c r="M834" s="195"/>
      <c r="N834" s="195"/>
      <c r="O834" s="195"/>
    </row>
    <row r="835" spans="1:15" ht="15.75">
      <c r="A835" s="184" t="s">
        <v>129</v>
      </c>
      <c r="B835" s="185"/>
      <c r="C835" s="185"/>
      <c r="D835" s="185"/>
      <c r="E835" s="185"/>
      <c r="F835" s="185"/>
      <c r="G835" s="185"/>
      <c r="H835" s="185"/>
      <c r="I835" s="186">
        <f>SUM(I824:I834)</f>
        <v>1835.53432</v>
      </c>
      <c r="J835" s="195"/>
      <c r="K835" s="195"/>
      <c r="L835" s="195"/>
      <c r="M835" s="195"/>
      <c r="N835" s="195"/>
      <c r="O835" s="195"/>
    </row>
    <row r="836" spans="1:15">
      <c r="A836" s="120"/>
      <c r="B836" s="120"/>
      <c r="C836" s="120"/>
      <c r="D836" s="120"/>
      <c r="E836" s="120"/>
      <c r="F836" s="120"/>
      <c r="G836" s="120"/>
      <c r="H836" s="120"/>
      <c r="I836" s="120"/>
      <c r="J836" s="195"/>
      <c r="K836" s="195"/>
      <c r="L836" s="195"/>
      <c r="M836" s="195"/>
      <c r="N836" s="195"/>
      <c r="O836" s="195"/>
    </row>
    <row r="837" spans="1:15">
      <c r="A837" s="121" t="s">
        <v>130</v>
      </c>
      <c r="B837" s="121"/>
      <c r="C837" s="121"/>
      <c r="D837" s="121"/>
      <c r="E837" s="121"/>
      <c r="F837" s="121"/>
      <c r="G837" s="121"/>
      <c r="H837" s="121"/>
      <c r="I837" s="121"/>
      <c r="J837" s="195"/>
      <c r="K837" s="195"/>
      <c r="L837" s="195"/>
      <c r="M837" s="195"/>
      <c r="N837" s="195"/>
      <c r="O837" s="195"/>
    </row>
    <row r="838" spans="1:15">
      <c r="A838" s="121"/>
      <c r="B838" s="121" t="s">
        <v>131</v>
      </c>
      <c r="C838" s="121"/>
      <c r="D838" s="121"/>
      <c r="E838" s="187">
        <f>VLOOKUP(I818,AVANCEVENDEDOR!$A$2:$R$35,7,0)</f>
        <v>228451.88</v>
      </c>
      <c r="F838" s="187"/>
      <c r="G838" s="121"/>
      <c r="H838" s="121"/>
      <c r="I838" s="121"/>
      <c r="J838" s="195"/>
      <c r="K838" s="195"/>
      <c r="L838" s="195"/>
      <c r="M838" s="199"/>
      <c r="N838" s="200"/>
      <c r="O838" s="195"/>
    </row>
    <row r="839" spans="1:15">
      <c r="A839" s="121"/>
      <c r="B839" s="121" t="s">
        <v>132</v>
      </c>
      <c r="C839" s="121"/>
      <c r="D839" s="121"/>
      <c r="E839" s="187">
        <f>IF(I818=27,(VLOOKUP(I818,AVANCEVENDEDOR!$A$2:$R$35,6,0)-I815),(VLOOKUP(I818,AVANCEVENDEDOR!$A$2:$R$35,6,0)))</f>
        <v>142767.16</v>
      </c>
      <c r="F839" s="187"/>
      <c r="G839" s="188" t="s">
        <v>133</v>
      </c>
      <c r="H839" s="187">
        <f>+E839*100/E838</f>
        <v>62.493318067682345</v>
      </c>
      <c r="I839" s="121"/>
      <c r="J839" s="195"/>
      <c r="K839" s="121"/>
      <c r="L839" s="201"/>
      <c r="M839" s="195"/>
      <c r="N839" s="195"/>
      <c r="O839" s="195"/>
    </row>
    <row r="840" spans="1:15">
      <c r="A840" s="121"/>
      <c r="B840" s="121"/>
      <c r="C840" s="121"/>
      <c r="D840" s="121"/>
      <c r="E840" s="121"/>
      <c r="F840" s="121"/>
      <c r="G840" s="188"/>
      <c r="H840" s="121"/>
      <c r="I840" s="121"/>
      <c r="J840" s="195"/>
      <c r="K840" s="195"/>
      <c r="L840" s="195"/>
      <c r="M840" s="195"/>
      <c r="N840" s="195"/>
      <c r="O840" s="195"/>
    </row>
    <row r="841" spans="1:15">
      <c r="A841" s="121"/>
      <c r="B841" s="121" t="s">
        <v>134</v>
      </c>
      <c r="C841" s="121"/>
      <c r="D841" s="121"/>
      <c r="E841" s="187">
        <f>VLOOKUP(I818,AVANCEVENDEDOR!$A$2:$R$35,10,0)</f>
        <v>467883.11</v>
      </c>
      <c r="F841" s="187"/>
      <c r="G841" s="188"/>
      <c r="H841" s="121"/>
      <c r="I841" s="121"/>
      <c r="J841" s="195"/>
      <c r="K841" s="195"/>
      <c r="L841" s="195"/>
      <c r="M841" s="195"/>
      <c r="N841" s="195"/>
      <c r="O841" s="195"/>
    </row>
    <row r="842" spans="1:15">
      <c r="A842" s="121"/>
      <c r="B842" s="121" t="s">
        <v>135</v>
      </c>
      <c r="C842" s="121"/>
      <c r="D842" s="121"/>
      <c r="E842" s="187">
        <f>VLOOKUP(I818,AVANCEVENDEDOR!$A$2:$R$35,11,0)</f>
        <v>54352.26</v>
      </c>
      <c r="F842" s="187"/>
      <c r="G842" s="188" t="s">
        <v>136</v>
      </c>
      <c r="H842" s="187">
        <f>VLOOKUP(I818,AVANCEVENDEDOR!$A$2:$R$35,15,0)</f>
        <v>11.61</v>
      </c>
      <c r="I842" s="121"/>
      <c r="J842" s="195"/>
      <c r="K842" s="195"/>
      <c r="L842" s="195"/>
      <c r="M842" s="195"/>
      <c r="N842" s="195"/>
      <c r="O842" s="195"/>
    </row>
    <row r="843" spans="1:15">
      <c r="A843" s="121"/>
      <c r="B843" s="121" t="s">
        <v>137</v>
      </c>
      <c r="C843" s="121"/>
      <c r="D843" s="121"/>
      <c r="E843" s="187">
        <f>VLOOKUP(I818,AVANCEVENDEDOR!$A$2:$R$35,9,0)</f>
        <v>266571.09999999998</v>
      </c>
      <c r="F843" s="187"/>
      <c r="G843" s="188"/>
      <c r="H843" s="121"/>
      <c r="I843" s="121"/>
      <c r="J843" s="195"/>
      <c r="K843" s="195"/>
      <c r="L843" s="195"/>
      <c r="M843" s="195"/>
      <c r="N843" s="195"/>
      <c r="O843" s="195"/>
    </row>
    <row r="844" spans="1:15">
      <c r="A844" s="121"/>
      <c r="B844" s="121"/>
      <c r="C844" s="121"/>
      <c r="D844" s="121"/>
      <c r="E844" s="121"/>
      <c r="F844" s="121"/>
      <c r="G844" s="188"/>
      <c r="H844" s="121"/>
      <c r="I844" s="121"/>
      <c r="J844" s="195"/>
      <c r="K844" s="195"/>
      <c r="L844" s="195"/>
      <c r="M844" s="195"/>
      <c r="N844" s="195"/>
      <c r="O844" s="195"/>
    </row>
    <row r="845" spans="1:15">
      <c r="A845" s="121"/>
      <c r="B845" s="121" t="s">
        <v>280</v>
      </c>
      <c r="C845" s="121"/>
      <c r="D845" s="121"/>
      <c r="E845" s="187">
        <f>VLOOKUP(I818,AVANCEVENDEDOR!$A$2:$R$35,13,0)</f>
        <v>60</v>
      </c>
      <c r="F845" s="187"/>
      <c r="G845" s="121"/>
      <c r="H845" s="187"/>
      <c r="I845" s="121"/>
      <c r="J845" s="195"/>
      <c r="K845" s="195"/>
      <c r="L845" s="195"/>
      <c r="M845" s="195"/>
      <c r="N845" s="195"/>
      <c r="O845" s="195"/>
    </row>
    <row r="846" spans="1:15">
      <c r="A846" s="121"/>
      <c r="B846" s="121" t="s">
        <v>281</v>
      </c>
      <c r="C846" s="121"/>
      <c r="D846" s="121"/>
      <c r="E846" s="187">
        <f>VLOOKUP(I818,AVANCEVENDEDOR!$A$2:$R$35,14,0)</f>
        <v>35</v>
      </c>
      <c r="F846" s="187"/>
      <c r="G846" s="188" t="s">
        <v>140</v>
      </c>
      <c r="H846" s="187">
        <f>+E846*100/E845</f>
        <v>58.333333333333336</v>
      </c>
      <c r="I846" s="121"/>
      <c r="J846" s="195"/>
      <c r="K846" s="195"/>
      <c r="L846" s="195"/>
      <c r="M846" s="195"/>
      <c r="N846" s="195"/>
      <c r="O846" s="195"/>
    </row>
    <row r="847" spans="1:15">
      <c r="J847" s="195"/>
      <c r="K847" s="195"/>
      <c r="L847" s="195"/>
      <c r="M847" s="195"/>
      <c r="N847" s="195"/>
      <c r="O847" s="195"/>
    </row>
    <row r="848" spans="1:15" hidden="1">
      <c r="F848">
        <v>99</v>
      </c>
    </row>
    <row r="849" spans="6:7" hidden="1">
      <c r="F849">
        <v>100</v>
      </c>
      <c r="G849">
        <v>100</v>
      </c>
    </row>
    <row r="850" spans="6:7" hidden="1">
      <c r="F850">
        <v>101</v>
      </c>
      <c r="G850">
        <v>100</v>
      </c>
    </row>
    <row r="851" spans="6:7" hidden="1">
      <c r="F851">
        <v>102</v>
      </c>
      <c r="G851">
        <v>100</v>
      </c>
    </row>
    <row r="852" spans="6:7" hidden="1">
      <c r="F852">
        <v>103</v>
      </c>
      <c r="G852">
        <v>100</v>
      </c>
    </row>
    <row r="853" spans="6:7" hidden="1">
      <c r="F853">
        <v>104</v>
      </c>
      <c r="G853">
        <v>100</v>
      </c>
    </row>
    <row r="854" spans="6:7" hidden="1">
      <c r="F854">
        <v>105</v>
      </c>
      <c r="G854">
        <v>100</v>
      </c>
    </row>
    <row r="855" spans="6:7" hidden="1">
      <c r="F855">
        <v>106</v>
      </c>
      <c r="G855">
        <v>200</v>
      </c>
    </row>
    <row r="856" spans="6:7" hidden="1">
      <c r="F856">
        <v>107</v>
      </c>
      <c r="G856">
        <v>200</v>
      </c>
    </row>
    <row r="857" spans="6:7" hidden="1">
      <c r="F857">
        <v>108</v>
      </c>
      <c r="G857">
        <v>200</v>
      </c>
    </row>
    <row r="858" spans="6:7" hidden="1">
      <c r="F858">
        <v>109</v>
      </c>
      <c r="G858">
        <v>200</v>
      </c>
    </row>
    <row r="859" spans="6:7" hidden="1">
      <c r="F859">
        <v>110</v>
      </c>
      <c r="G859">
        <v>200</v>
      </c>
    </row>
    <row r="860" spans="6:7" hidden="1">
      <c r="F860">
        <v>111</v>
      </c>
      <c r="G860">
        <v>200</v>
      </c>
    </row>
    <row r="861" spans="6:7" hidden="1">
      <c r="F861">
        <v>112</v>
      </c>
      <c r="G861">
        <v>200</v>
      </c>
    </row>
    <row r="862" spans="6:7" hidden="1">
      <c r="F862">
        <v>113</v>
      </c>
      <c r="G862">
        <v>200</v>
      </c>
    </row>
    <row r="863" spans="6:7" hidden="1">
      <c r="F863">
        <v>114</v>
      </c>
      <c r="G863">
        <v>200</v>
      </c>
    </row>
    <row r="864" spans="6:7" hidden="1">
      <c r="F864">
        <v>115</v>
      </c>
      <c r="G864">
        <v>300</v>
      </c>
    </row>
    <row r="865" spans="6:7" hidden="1">
      <c r="F865">
        <v>116</v>
      </c>
      <c r="G865">
        <v>300</v>
      </c>
    </row>
    <row r="866" spans="6:7" hidden="1">
      <c r="F866">
        <v>117</v>
      </c>
      <c r="G866">
        <v>300</v>
      </c>
    </row>
    <row r="867" spans="6:7" hidden="1">
      <c r="F867">
        <v>118</v>
      </c>
      <c r="G867">
        <v>300</v>
      </c>
    </row>
    <row r="868" spans="6:7" hidden="1">
      <c r="F868">
        <v>119</v>
      </c>
      <c r="G868">
        <v>300</v>
      </c>
    </row>
    <row r="869" spans="6:7" hidden="1">
      <c r="F869">
        <v>120</v>
      </c>
      <c r="G869">
        <v>300</v>
      </c>
    </row>
    <row r="870" spans="6:7" hidden="1">
      <c r="F870">
        <v>121</v>
      </c>
      <c r="G870">
        <v>400</v>
      </c>
    </row>
    <row r="871" spans="6:7" hidden="1">
      <c r="F871">
        <v>122</v>
      </c>
      <c r="G871">
        <v>400</v>
      </c>
    </row>
    <row r="889" spans="1:15">
      <c r="A889" s="84" t="s">
        <v>112</v>
      </c>
      <c r="B889" s="120"/>
      <c r="C889" s="120"/>
      <c r="D889" s="120"/>
      <c r="E889" s="120"/>
      <c r="F889" s="120"/>
      <c r="G889" s="120"/>
      <c r="H889" s="120"/>
      <c r="I889" s="189"/>
      <c r="J889" s="195"/>
      <c r="K889" s="195"/>
      <c r="L889" s="195"/>
      <c r="M889" s="195"/>
      <c r="N889" s="195"/>
      <c r="O889" s="195"/>
    </row>
    <row r="890" spans="1:15">
      <c r="A890" s="84" t="s">
        <v>113</v>
      </c>
      <c r="B890" s="120"/>
      <c r="C890" s="120"/>
      <c r="D890" s="120"/>
      <c r="E890" s="120"/>
      <c r="F890" s="120"/>
      <c r="G890" s="120"/>
      <c r="H890" s="120"/>
      <c r="I890" s="179" t="str">
        <f>+CONCATENATE("20142_",I892)</f>
        <v>20142_27</v>
      </c>
      <c r="J890" s="195"/>
      <c r="K890" s="195"/>
      <c r="L890" s="195"/>
      <c r="M890" s="195"/>
      <c r="N890" s="195"/>
      <c r="O890" s="195"/>
    </row>
    <row r="891" spans="1:15">
      <c r="A891" s="84" t="s">
        <v>114</v>
      </c>
      <c r="B891" s="120"/>
      <c r="C891" s="120"/>
      <c r="D891" s="120"/>
      <c r="E891" s="120"/>
      <c r="F891" s="120"/>
      <c r="G891" s="120"/>
      <c r="H891" s="120"/>
      <c r="I891" s="120"/>
      <c r="J891" s="195"/>
      <c r="K891" s="195"/>
      <c r="L891" s="195"/>
      <c r="M891" s="195"/>
      <c r="N891" s="195"/>
      <c r="O891" s="195"/>
    </row>
    <row r="892" spans="1:15">
      <c r="A892" s="120"/>
      <c r="B892" s="120"/>
      <c r="C892" s="120"/>
      <c r="D892" s="120"/>
      <c r="E892" s="120"/>
      <c r="F892" s="120"/>
      <c r="G892" s="120"/>
      <c r="H892" s="120"/>
      <c r="I892" s="191">
        <v>27</v>
      </c>
      <c r="J892" s="195"/>
      <c r="K892" s="195"/>
      <c r="L892" s="195"/>
      <c r="M892" s="195"/>
      <c r="N892" s="195"/>
      <c r="O892" s="195"/>
    </row>
    <row r="893" spans="1:15">
      <c r="A893" s="120" t="s">
        <v>115</v>
      </c>
      <c r="B893" s="120"/>
      <c r="C893" s="120"/>
      <c r="D893" s="120"/>
      <c r="E893" s="120"/>
      <c r="F893" s="120"/>
      <c r="G893" s="120"/>
      <c r="H893" s="120"/>
      <c r="I893" s="83">
        <f>I5</f>
        <v>43800</v>
      </c>
      <c r="J893" s="195"/>
      <c r="K893" s="195"/>
      <c r="L893" s="195"/>
      <c r="M893" s="195"/>
      <c r="N893" s="195"/>
      <c r="O893" s="195"/>
    </row>
    <row r="894" spans="1:15">
      <c r="A894" s="120"/>
      <c r="B894" s="120"/>
      <c r="C894" s="120"/>
      <c r="D894" s="120"/>
      <c r="E894" s="120"/>
      <c r="F894" s="120"/>
      <c r="G894" s="120"/>
      <c r="H894" s="120"/>
      <c r="I894" s="120"/>
      <c r="J894" s="195"/>
      <c r="K894" s="195"/>
      <c r="L894" s="195"/>
      <c r="M894" s="195"/>
      <c r="N894" s="195"/>
      <c r="O894" s="195"/>
    </row>
    <row r="895" spans="1:15">
      <c r="A895" s="120" t="s">
        <v>116</v>
      </c>
      <c r="B895" s="120"/>
      <c r="C895" s="84" t="str">
        <f>VLOOKUP(I892,AVANCEVENDEDOR!$A$2:$R$35,3,0)</f>
        <v>LOPEZ WASHINGTON  - CUSCO</v>
      </c>
      <c r="D895" s="120"/>
      <c r="E895" s="120"/>
      <c r="F895" s="120"/>
      <c r="G895" s="120"/>
      <c r="H895" s="120"/>
      <c r="I895" s="120"/>
      <c r="J895" s="195"/>
      <c r="K895" s="195"/>
      <c r="L895" s="195"/>
      <c r="M895" s="195"/>
      <c r="N895" s="195"/>
      <c r="O895" s="195"/>
    </row>
    <row r="896" spans="1:15">
      <c r="A896" s="120"/>
      <c r="B896" s="120"/>
      <c r="C896" s="120"/>
      <c r="D896" s="120"/>
      <c r="E896" s="120"/>
      <c r="F896" s="120"/>
      <c r="G896" s="120"/>
      <c r="H896" s="120"/>
      <c r="I896" s="84" t="s">
        <v>118</v>
      </c>
      <c r="J896" s="195"/>
      <c r="K896" s="195"/>
      <c r="L896" s="195"/>
      <c r="M896" s="195"/>
      <c r="N896" s="195"/>
      <c r="O896" s="195"/>
    </row>
    <row r="897" spans="1:15">
      <c r="A897" s="120"/>
      <c r="B897" s="120"/>
      <c r="C897" s="120"/>
      <c r="D897" s="120"/>
      <c r="E897" s="120"/>
      <c r="F897" s="120"/>
      <c r="G897" s="120"/>
      <c r="H897" s="120"/>
      <c r="I897" s="120"/>
      <c r="J897" s="195"/>
      <c r="K897" s="195"/>
      <c r="L897" s="195"/>
      <c r="M897" s="195"/>
      <c r="N897" s="195"/>
      <c r="O897" s="195"/>
    </row>
    <row r="898" spans="1:15">
      <c r="A898" s="120" t="s">
        <v>293</v>
      </c>
      <c r="B898" s="120"/>
      <c r="C898" s="120"/>
      <c r="D898" s="120"/>
      <c r="E898" s="120"/>
      <c r="F898" s="120"/>
      <c r="G898" s="120"/>
      <c r="H898" s="120"/>
      <c r="I898" s="181">
        <v>1500</v>
      </c>
      <c r="J898" s="195"/>
      <c r="K898" s="195"/>
      <c r="L898" s="195"/>
      <c r="M898" s="195"/>
      <c r="N898" s="195"/>
      <c r="O898" s="195"/>
    </row>
    <row r="899" spans="1:15" ht="20.25">
      <c r="A899" s="120" t="s">
        <v>294</v>
      </c>
      <c r="B899" s="120"/>
      <c r="C899" s="120"/>
      <c r="D899" s="120"/>
      <c r="E899" s="120"/>
      <c r="F899" s="86" t="s">
        <v>272</v>
      </c>
      <c r="G899" s="86" t="s">
        <v>122</v>
      </c>
      <c r="H899" s="86" t="s">
        <v>123</v>
      </c>
      <c r="I899" s="181">
        <v>400</v>
      </c>
      <c r="J899" s="195"/>
      <c r="K899" s="195"/>
      <c r="L899" s="195"/>
      <c r="M899" s="195"/>
      <c r="N899" s="195"/>
      <c r="O899" s="195"/>
    </row>
    <row r="900" spans="1:15">
      <c r="A900" s="120" t="s">
        <v>291</v>
      </c>
      <c r="B900" s="120"/>
      <c r="C900" s="120"/>
      <c r="D900" s="120"/>
      <c r="E900" s="120"/>
      <c r="F900" s="182">
        <v>0.5</v>
      </c>
      <c r="G900" s="182">
        <f>IF(I892=13,80,85)</f>
        <v>85</v>
      </c>
      <c r="H900" s="182">
        <f>+H913</f>
        <v>54.738483785278163</v>
      </c>
      <c r="I900" s="181">
        <f>IF(H900&gt;=G900,E913*F900%,0)</f>
        <v>0</v>
      </c>
      <c r="J900" s="195"/>
      <c r="K900" s="195"/>
      <c r="L900" s="195"/>
      <c r="M900" s="195"/>
      <c r="N900" s="195"/>
      <c r="O900" s="195"/>
    </row>
    <row r="901" spans="1:15">
      <c r="A901" s="120" t="str">
        <f>CONCATENATE("COM. MOROSIDAD AL ",G901,"%")</f>
        <v>COM. MOROSIDAD AL 5%</v>
      </c>
      <c r="B901" s="120"/>
      <c r="C901" s="120"/>
      <c r="D901" s="120"/>
      <c r="E901" s="120"/>
      <c r="F901" s="182">
        <v>0.3</v>
      </c>
      <c r="G901" s="182">
        <v>5</v>
      </c>
      <c r="H901" s="182">
        <f>+H916</f>
        <v>8.4600000000000009</v>
      </c>
      <c r="I901" s="181">
        <f>+IF(H901&lt;=G901,E913*F901%,0)</f>
        <v>0</v>
      </c>
      <c r="J901" s="195"/>
      <c r="K901" s="195"/>
      <c r="L901" s="195"/>
      <c r="M901" s="195"/>
      <c r="N901" s="195"/>
      <c r="O901" s="195"/>
    </row>
    <row r="902" spans="1:15">
      <c r="A902" s="120" t="s">
        <v>292</v>
      </c>
      <c r="B902" s="120"/>
      <c r="C902" s="120"/>
      <c r="D902" s="120"/>
      <c r="E902" s="120"/>
      <c r="F902" s="182">
        <f>IF(I892=3,0.1,0.2)</f>
        <v>0.2</v>
      </c>
      <c r="G902" s="182">
        <f>IF(I892=23,50,85)</f>
        <v>85</v>
      </c>
      <c r="H902" s="182">
        <f>+H920</f>
        <v>45.833333333333336</v>
      </c>
      <c r="I902" s="181">
        <f>IF(H902&gt;=G902,E913*F902%,0)</f>
        <v>0</v>
      </c>
      <c r="J902" s="195"/>
      <c r="K902" s="195"/>
      <c r="L902" s="195"/>
      <c r="M902" s="195"/>
      <c r="N902" s="195"/>
      <c r="O902" s="195"/>
    </row>
    <row r="903" spans="1:15">
      <c r="A903" s="120" t="str">
        <f>IF(I892=23,"COMISION POR TIEMPODE VIAJE",IF(I892=22,"BONIFICACION"," "))</f>
        <v xml:space="preserve"> </v>
      </c>
      <c r="B903" s="120"/>
      <c r="C903" s="120"/>
      <c r="D903" s="120"/>
      <c r="E903" s="120"/>
      <c r="F903" s="120"/>
      <c r="G903" s="120"/>
      <c r="H903" s="182"/>
      <c r="I903" s="181" t="str">
        <f>IF(I892=23,300,IF(I892=22,400," "))</f>
        <v xml:space="preserve"> </v>
      </c>
      <c r="J903" s="195"/>
      <c r="K903" s="195"/>
      <c r="L903" s="195"/>
      <c r="M903" s="195"/>
      <c r="N903" s="195"/>
      <c r="O903" s="195"/>
    </row>
    <row r="904" spans="1:15">
      <c r="A904" s="189" t="s">
        <v>274</v>
      </c>
      <c r="B904" s="189"/>
      <c r="C904" s="189"/>
      <c r="D904" s="189"/>
      <c r="E904" s="189"/>
      <c r="F904" s="374" t="s">
        <v>275</v>
      </c>
      <c r="G904" s="374"/>
      <c r="H904" s="375" t="s">
        <v>276</v>
      </c>
      <c r="I904" s="193"/>
      <c r="J904" s="195"/>
      <c r="K904" s="195"/>
      <c r="L904" s="195"/>
      <c r="M904" s="195"/>
      <c r="N904" s="195"/>
      <c r="O904" s="195"/>
    </row>
    <row r="905" spans="1:15">
      <c r="A905" s="189"/>
      <c r="B905" s="189"/>
      <c r="C905" s="189"/>
      <c r="D905" s="189"/>
      <c r="E905" s="189"/>
      <c r="F905" s="374" t="s">
        <v>277</v>
      </c>
      <c r="G905" s="374"/>
      <c r="H905" s="375"/>
      <c r="I905" s="376">
        <v>0</v>
      </c>
      <c r="J905" s="195"/>
      <c r="K905" s="195"/>
      <c r="L905" s="195"/>
      <c r="M905" s="195"/>
      <c r="N905" s="195"/>
      <c r="O905" s="195"/>
    </row>
    <row r="906" spans="1:15">
      <c r="A906" s="189"/>
      <c r="B906" s="197"/>
      <c r="C906" s="197"/>
      <c r="D906" s="197"/>
      <c r="E906" s="197"/>
      <c r="F906" s="374" t="s">
        <v>278</v>
      </c>
      <c r="G906" s="374"/>
      <c r="H906" s="375"/>
      <c r="I906" s="376"/>
      <c r="J906" s="195"/>
      <c r="K906" s="195"/>
      <c r="L906" s="195"/>
      <c r="M906" s="195"/>
      <c r="N906" s="195"/>
      <c r="O906" s="195"/>
    </row>
    <row r="907" spans="1:15">
      <c r="A907" s="189"/>
      <c r="B907" s="197"/>
      <c r="C907" s="197"/>
      <c r="D907" s="197"/>
      <c r="E907" s="197"/>
      <c r="F907" s="374" t="s">
        <v>279</v>
      </c>
      <c r="G907" s="374"/>
      <c r="H907" s="375"/>
      <c r="I907" s="198"/>
      <c r="J907" s="195"/>
      <c r="K907" s="195"/>
      <c r="L907" s="195"/>
      <c r="M907" s="195"/>
      <c r="N907" s="195"/>
      <c r="O907" s="195"/>
    </row>
    <row r="908" spans="1:15">
      <c r="A908" s="120"/>
      <c r="B908" s="84" t="str">
        <f>IF(I892=13,"Remuneracion Extra"," ")</f>
        <v xml:space="preserve"> </v>
      </c>
      <c r="C908" s="120"/>
      <c r="D908" s="120"/>
      <c r="E908" s="120"/>
      <c r="F908" s="120"/>
      <c r="G908" s="120"/>
      <c r="H908" s="120"/>
      <c r="I908" s="183"/>
      <c r="J908" s="195"/>
      <c r="K908" s="195"/>
      <c r="L908" s="195"/>
      <c r="M908" s="195"/>
      <c r="N908" s="195"/>
      <c r="O908" s="195"/>
    </row>
    <row r="909" spans="1:15" ht="15.75">
      <c r="A909" s="184" t="s">
        <v>129</v>
      </c>
      <c r="B909" s="185"/>
      <c r="C909" s="185"/>
      <c r="D909" s="185"/>
      <c r="E909" s="185"/>
      <c r="F909" s="185"/>
      <c r="G909" s="185"/>
      <c r="H909" s="185"/>
      <c r="I909" s="186">
        <f>SUM(I898:I908)</f>
        <v>1900</v>
      </c>
      <c r="J909" s="195"/>
      <c r="K909" s="195"/>
      <c r="L909" s="195"/>
      <c r="M909" s="195"/>
      <c r="N909" s="195"/>
      <c r="O909" s="195"/>
    </row>
    <row r="910" spans="1:15">
      <c r="A910" s="120"/>
      <c r="B910" s="120"/>
      <c r="C910" s="120"/>
      <c r="D910" s="120"/>
      <c r="E910" s="120"/>
      <c r="F910" s="120"/>
      <c r="G910" s="120"/>
      <c r="H910" s="120"/>
      <c r="I910" s="120"/>
      <c r="J910" s="195"/>
      <c r="K910" s="195"/>
      <c r="L910" s="195"/>
      <c r="M910" s="195"/>
      <c r="N910" s="195"/>
      <c r="O910" s="195"/>
    </row>
    <row r="911" spans="1:15">
      <c r="A911" s="121" t="s">
        <v>130</v>
      </c>
      <c r="B911" s="121"/>
      <c r="C911" s="121"/>
      <c r="D911" s="121"/>
      <c r="E911" s="121"/>
      <c r="F911" s="121"/>
      <c r="G911" s="121"/>
      <c r="H911" s="121"/>
      <c r="I911" s="121"/>
      <c r="J911" s="195"/>
      <c r="K911" s="195"/>
      <c r="L911" s="195"/>
      <c r="M911" s="195"/>
      <c r="N911" s="195"/>
      <c r="O911" s="195"/>
    </row>
    <row r="912" spans="1:15">
      <c r="A912" s="121"/>
      <c r="B912" s="121" t="s">
        <v>131</v>
      </c>
      <c r="C912" s="121"/>
      <c r="D912" s="121"/>
      <c r="E912" s="187">
        <f>VLOOKUP(I892,AVANCEVENDEDOR!$A$2:$R$35,7,0)</f>
        <v>152263.79</v>
      </c>
      <c r="F912" s="187"/>
      <c r="G912" s="121"/>
      <c r="H912" s="121"/>
      <c r="I912" s="121"/>
      <c r="J912" s="195"/>
      <c r="K912" s="195"/>
      <c r="L912" s="195"/>
      <c r="M912" s="199"/>
      <c r="N912" s="200"/>
      <c r="O912" s="195"/>
    </row>
    <row r="913" spans="1:15">
      <c r="A913" s="121"/>
      <c r="B913" s="121" t="s">
        <v>132</v>
      </c>
      <c r="C913" s="121"/>
      <c r="D913" s="121"/>
      <c r="E913" s="187">
        <f>IF(I892=27,(VLOOKUP(I892,AVANCEVENDEDOR!$A$2:$R$35,6,0)-I889),(VLOOKUP(I892,AVANCEVENDEDOR!$A$2:$R$35,6,0)))</f>
        <v>83346.89</v>
      </c>
      <c r="F913" s="187"/>
      <c r="G913" s="188" t="s">
        <v>133</v>
      </c>
      <c r="H913" s="187">
        <f>+E913*100/E912</f>
        <v>54.738483785278163</v>
      </c>
      <c r="I913" s="121"/>
      <c r="J913" s="195"/>
      <c r="K913" s="121"/>
      <c r="L913" s="201"/>
      <c r="M913" s="195"/>
      <c r="N913" s="195"/>
      <c r="O913" s="195"/>
    </row>
    <row r="914" spans="1:15">
      <c r="A914" s="121"/>
      <c r="B914" s="121"/>
      <c r="C914" s="121"/>
      <c r="D914" s="121"/>
      <c r="E914" s="121"/>
      <c r="F914" s="121"/>
      <c r="G914" s="188"/>
      <c r="H914" s="121"/>
      <c r="I914" s="121"/>
      <c r="J914" s="195"/>
      <c r="K914" s="195"/>
      <c r="L914" s="195"/>
      <c r="M914" s="195"/>
      <c r="N914" s="195"/>
      <c r="O914" s="195"/>
    </row>
    <row r="915" spans="1:15">
      <c r="A915" s="121"/>
      <c r="B915" s="121" t="s">
        <v>134</v>
      </c>
      <c r="C915" s="121"/>
      <c r="D915" s="121"/>
      <c r="E915" s="187">
        <f>VLOOKUP(I892,AVANCEVENDEDOR!$A$2:$R$35,10,0)</f>
        <v>272097.44</v>
      </c>
      <c r="F915" s="187"/>
      <c r="G915" s="188"/>
      <c r="H915" s="121"/>
      <c r="I915" s="121"/>
      <c r="J915" s="195"/>
      <c r="K915" s="195"/>
      <c r="L915" s="195"/>
      <c r="M915" s="195"/>
      <c r="N915" s="195"/>
      <c r="O915" s="195"/>
    </row>
    <row r="916" spans="1:15">
      <c r="A916" s="121"/>
      <c r="B916" s="121" t="s">
        <v>135</v>
      </c>
      <c r="C916" s="121"/>
      <c r="D916" s="121"/>
      <c r="E916" s="187">
        <f>VLOOKUP(I892,AVANCEVENDEDOR!$A$2:$R$35,11,0)</f>
        <v>23014.65</v>
      </c>
      <c r="F916" s="187"/>
      <c r="G916" s="188" t="s">
        <v>136</v>
      </c>
      <c r="H916" s="187">
        <f>VLOOKUP(I892,AVANCEVENDEDOR!$A$2:$R$35,15,0)</f>
        <v>8.4600000000000009</v>
      </c>
      <c r="I916" s="121"/>
      <c r="J916" s="195"/>
      <c r="K916" s="195"/>
      <c r="L916" s="195"/>
      <c r="M916" s="195"/>
      <c r="N916" s="195"/>
      <c r="O916" s="195"/>
    </row>
    <row r="917" spans="1:15">
      <c r="A917" s="121"/>
      <c r="B917" s="121" t="s">
        <v>137</v>
      </c>
      <c r="C917" s="121"/>
      <c r="D917" s="121"/>
      <c r="E917" s="187">
        <f>VLOOKUP(I892,AVANCEVENDEDOR!$A$2:$R$35,9,0)</f>
        <v>164301.71</v>
      </c>
      <c r="F917" s="187"/>
      <c r="G917" s="188"/>
      <c r="H917" s="121"/>
      <c r="I917" s="121"/>
      <c r="J917" s="195"/>
      <c r="K917" s="195"/>
      <c r="L917" s="195"/>
      <c r="M917" s="195"/>
      <c r="N917" s="195"/>
      <c r="O917" s="195"/>
    </row>
    <row r="918" spans="1:15">
      <c r="A918" s="121"/>
      <c r="B918" s="121"/>
      <c r="C918" s="121"/>
      <c r="D918" s="121"/>
      <c r="E918" s="121"/>
      <c r="F918" s="121"/>
      <c r="G918" s="188"/>
      <c r="H918" s="121"/>
      <c r="I918" s="121"/>
      <c r="J918" s="195"/>
      <c r="K918" s="195"/>
      <c r="L918" s="195"/>
      <c r="M918" s="195"/>
      <c r="N918" s="195"/>
      <c r="O918" s="195"/>
    </row>
    <row r="919" spans="1:15">
      <c r="A919" s="121"/>
      <c r="B919" s="121" t="s">
        <v>280</v>
      </c>
      <c r="C919" s="121"/>
      <c r="D919" s="121"/>
      <c r="E919" s="187">
        <f>VLOOKUP(I892,AVANCEVENDEDOR!$A$2:$R$35,13,0)</f>
        <v>48</v>
      </c>
      <c r="F919" s="187"/>
      <c r="G919" s="121"/>
      <c r="H919" s="187"/>
      <c r="I919" s="121"/>
      <c r="J919" s="195"/>
      <c r="K919" s="195"/>
      <c r="L919" s="195"/>
      <c r="M919" s="195"/>
      <c r="N919" s="195"/>
      <c r="O919" s="195"/>
    </row>
    <row r="920" spans="1:15">
      <c r="A920" s="121"/>
      <c r="B920" s="121" t="s">
        <v>281</v>
      </c>
      <c r="C920" s="121"/>
      <c r="D920" s="121"/>
      <c r="E920" s="187">
        <f>VLOOKUP(I892,AVANCEVENDEDOR!$A$2:$R$35,14,0)</f>
        <v>22</v>
      </c>
      <c r="F920" s="187"/>
      <c r="G920" s="188" t="s">
        <v>140</v>
      </c>
      <c r="H920" s="187">
        <f>+E920*100/E919</f>
        <v>45.833333333333336</v>
      </c>
      <c r="I920" s="121"/>
      <c r="J920" s="195"/>
      <c r="K920" s="195"/>
      <c r="L920" s="195"/>
      <c r="M920" s="195"/>
      <c r="N920" s="195"/>
      <c r="O920" s="195"/>
    </row>
    <row r="921" spans="1:15">
      <c r="J921" s="195"/>
      <c r="K921" s="195"/>
      <c r="L921" s="195"/>
      <c r="M921" s="195"/>
      <c r="N921" s="195"/>
      <c r="O921" s="195"/>
    </row>
    <row r="922" spans="1:15" hidden="1">
      <c r="F922">
        <v>99</v>
      </c>
    </row>
    <row r="923" spans="1:15" hidden="1">
      <c r="F923">
        <v>100</v>
      </c>
      <c r="G923">
        <v>100</v>
      </c>
    </row>
    <row r="924" spans="1:15" hidden="1">
      <c r="F924">
        <v>101</v>
      </c>
      <c r="G924">
        <v>100</v>
      </c>
    </row>
    <row r="925" spans="1:15" hidden="1">
      <c r="F925">
        <v>102</v>
      </c>
      <c r="G925">
        <v>100</v>
      </c>
    </row>
    <row r="926" spans="1:15" hidden="1">
      <c r="F926">
        <v>103</v>
      </c>
      <c r="G926">
        <v>100</v>
      </c>
    </row>
    <row r="927" spans="1:15" hidden="1">
      <c r="F927">
        <v>104</v>
      </c>
      <c r="G927">
        <v>100</v>
      </c>
    </row>
    <row r="928" spans="1:15" hidden="1">
      <c r="F928">
        <v>105</v>
      </c>
      <c r="G928">
        <v>100</v>
      </c>
    </row>
    <row r="929" spans="6:7" hidden="1">
      <c r="F929">
        <v>106</v>
      </c>
      <c r="G929">
        <v>200</v>
      </c>
    </row>
    <row r="930" spans="6:7" hidden="1">
      <c r="F930">
        <v>107</v>
      </c>
      <c r="G930">
        <v>200</v>
      </c>
    </row>
    <row r="931" spans="6:7" hidden="1">
      <c r="F931">
        <v>108</v>
      </c>
      <c r="G931">
        <v>200</v>
      </c>
    </row>
    <row r="932" spans="6:7" hidden="1">
      <c r="F932">
        <v>109</v>
      </c>
      <c r="G932">
        <v>200</v>
      </c>
    </row>
    <row r="933" spans="6:7" hidden="1">
      <c r="F933">
        <v>110</v>
      </c>
      <c r="G933">
        <v>200</v>
      </c>
    </row>
    <row r="934" spans="6:7" hidden="1">
      <c r="F934">
        <v>111</v>
      </c>
      <c r="G934">
        <v>200</v>
      </c>
    </row>
    <row r="935" spans="6:7" hidden="1">
      <c r="F935">
        <v>112</v>
      </c>
      <c r="G935">
        <v>200</v>
      </c>
    </row>
    <row r="936" spans="6:7" hidden="1">
      <c r="F936">
        <v>113</v>
      </c>
      <c r="G936">
        <v>200</v>
      </c>
    </row>
    <row r="937" spans="6:7" hidden="1">
      <c r="F937">
        <v>114</v>
      </c>
      <c r="G937">
        <v>200</v>
      </c>
    </row>
    <row r="938" spans="6:7" hidden="1">
      <c r="F938">
        <v>115</v>
      </c>
      <c r="G938">
        <v>300</v>
      </c>
    </row>
    <row r="939" spans="6:7" hidden="1">
      <c r="F939">
        <v>116</v>
      </c>
      <c r="G939">
        <v>300</v>
      </c>
    </row>
    <row r="940" spans="6:7" hidden="1">
      <c r="F940">
        <v>117</v>
      </c>
      <c r="G940">
        <v>300</v>
      </c>
    </row>
    <row r="941" spans="6:7" hidden="1">
      <c r="F941">
        <v>118</v>
      </c>
      <c r="G941">
        <v>300</v>
      </c>
    </row>
    <row r="942" spans="6:7" hidden="1">
      <c r="F942">
        <v>119</v>
      </c>
      <c r="G942">
        <v>300</v>
      </c>
    </row>
    <row r="943" spans="6:7" hidden="1">
      <c r="F943">
        <v>120</v>
      </c>
      <c r="G943">
        <v>300</v>
      </c>
    </row>
    <row r="944" spans="6:7" hidden="1">
      <c r="F944">
        <v>121</v>
      </c>
      <c r="G944">
        <v>400</v>
      </c>
    </row>
    <row r="945" spans="6:7" hidden="1">
      <c r="F945">
        <v>122</v>
      </c>
      <c r="G945">
        <v>400</v>
      </c>
    </row>
    <row r="963" spans="1:15">
      <c r="A963" s="84" t="s">
        <v>112</v>
      </c>
      <c r="B963" s="120"/>
      <c r="C963" s="120"/>
      <c r="D963" s="120"/>
      <c r="E963" s="120"/>
      <c r="F963" s="120"/>
      <c r="G963" s="120"/>
      <c r="H963" s="120"/>
      <c r="I963" s="189"/>
      <c r="J963" s="195"/>
      <c r="K963" s="195"/>
      <c r="L963" s="195"/>
      <c r="M963" s="195"/>
      <c r="N963" s="195"/>
      <c r="O963" s="195"/>
    </row>
    <row r="964" spans="1:15">
      <c r="A964" s="84" t="s">
        <v>113</v>
      </c>
      <c r="B964" s="120"/>
      <c r="C964" s="120"/>
      <c r="D964" s="120"/>
      <c r="E964" s="120"/>
      <c r="F964" s="120"/>
      <c r="G964" s="120"/>
      <c r="H964" s="120"/>
      <c r="I964" s="179" t="str">
        <f>+CONCATENATE("20142_",I966)</f>
        <v>20142_28</v>
      </c>
      <c r="J964" s="195"/>
      <c r="K964" s="195"/>
      <c r="L964" s="195"/>
      <c r="M964" s="195"/>
      <c r="N964" s="195"/>
      <c r="O964" s="195"/>
    </row>
    <row r="965" spans="1:15">
      <c r="A965" s="84" t="s">
        <v>114</v>
      </c>
      <c r="B965" s="120"/>
      <c r="C965" s="120"/>
      <c r="D965" s="120"/>
      <c r="E965" s="120"/>
      <c r="F965" s="120"/>
      <c r="G965" s="120"/>
      <c r="H965" s="120"/>
      <c r="I965" s="120"/>
      <c r="J965" s="195"/>
      <c r="K965" s="195"/>
      <c r="L965" s="195"/>
      <c r="M965" s="195"/>
      <c r="N965" s="195"/>
      <c r="O965" s="195"/>
    </row>
    <row r="966" spans="1:15">
      <c r="A966" s="120"/>
      <c r="B966" s="120"/>
      <c r="C966" s="120"/>
      <c r="D966" s="120"/>
      <c r="E966" s="120"/>
      <c r="F966" s="120"/>
      <c r="G966" s="120"/>
      <c r="H966" s="120"/>
      <c r="I966" s="191">
        <v>28</v>
      </c>
      <c r="J966" s="195"/>
      <c r="K966" s="195"/>
      <c r="L966" s="195"/>
      <c r="M966" s="195"/>
      <c r="N966" s="195"/>
      <c r="O966" s="195"/>
    </row>
    <row r="967" spans="1:15">
      <c r="A967" s="120" t="s">
        <v>115</v>
      </c>
      <c r="B967" s="120"/>
      <c r="C967" s="120"/>
      <c r="D967" s="120"/>
      <c r="E967" s="120"/>
      <c r="F967" s="120"/>
      <c r="G967" s="120"/>
      <c r="H967" s="120"/>
      <c r="I967" s="83">
        <f>I5</f>
        <v>43800</v>
      </c>
      <c r="J967" s="195"/>
      <c r="K967" s="195"/>
      <c r="L967" s="195"/>
      <c r="M967" s="195"/>
      <c r="N967" s="195"/>
      <c r="O967" s="195"/>
    </row>
    <row r="968" spans="1:15">
      <c r="A968" s="120"/>
      <c r="B968" s="120"/>
      <c r="C968" s="120"/>
      <c r="D968" s="120"/>
      <c r="E968" s="120"/>
      <c r="F968" s="120"/>
      <c r="G968" s="120"/>
      <c r="H968" s="120"/>
      <c r="I968" s="120"/>
      <c r="J968" s="195"/>
      <c r="K968" s="195"/>
      <c r="L968" s="195"/>
      <c r="M968" s="195"/>
      <c r="N968" s="195"/>
      <c r="O968" s="195"/>
    </row>
    <row r="969" spans="1:15">
      <c r="A969" s="120" t="s">
        <v>116</v>
      </c>
      <c r="B969" s="120"/>
      <c r="C969" s="84" t="str">
        <f>VLOOKUP(I966,AVANCEVENDEDOR!$A$2:$R$35,3,0)</f>
        <v>LOPEZ WASHINGTON - PUERTO MALDONADO</v>
      </c>
      <c r="D969" s="120"/>
      <c r="E969" s="120"/>
      <c r="F969" s="120"/>
      <c r="G969" s="120"/>
      <c r="H969" s="120"/>
      <c r="I969" s="120"/>
      <c r="J969" s="195"/>
      <c r="K969" s="195"/>
      <c r="L969" s="195"/>
      <c r="M969" s="195"/>
      <c r="N969" s="195"/>
      <c r="O969" s="195"/>
    </row>
    <row r="970" spans="1:15">
      <c r="A970" s="120"/>
      <c r="B970" s="120"/>
      <c r="C970" s="120"/>
      <c r="D970" s="120"/>
      <c r="E970" s="120"/>
      <c r="F970" s="120"/>
      <c r="G970" s="120"/>
      <c r="H970" s="120"/>
      <c r="I970" s="84" t="s">
        <v>118</v>
      </c>
      <c r="J970" s="195"/>
      <c r="K970" s="195"/>
      <c r="L970" s="195"/>
      <c r="M970" s="195"/>
      <c r="N970" s="195"/>
      <c r="O970" s="195"/>
    </row>
    <row r="971" spans="1:15">
      <c r="A971" s="120"/>
      <c r="B971" s="120"/>
      <c r="C971" s="120"/>
      <c r="D971" s="120"/>
      <c r="E971" s="120"/>
      <c r="F971" s="120"/>
      <c r="G971" s="120"/>
      <c r="H971" s="120"/>
      <c r="I971" s="120"/>
      <c r="J971" s="195"/>
      <c r="K971" s="195"/>
      <c r="L971" s="195"/>
      <c r="M971" s="195"/>
      <c r="N971" s="195"/>
      <c r="O971" s="195"/>
    </row>
    <row r="972" spans="1:15">
      <c r="A972" s="120" t="s">
        <v>119</v>
      </c>
      <c r="B972" s="120"/>
      <c r="C972" s="120"/>
      <c r="D972" s="120"/>
      <c r="E972" s="120"/>
      <c r="F972" s="120"/>
      <c r="G972" s="120"/>
      <c r="H972" s="120"/>
      <c r="I972" s="181">
        <v>850</v>
      </c>
      <c r="J972" s="195"/>
      <c r="K972" s="195"/>
      <c r="L972" s="195"/>
      <c r="M972" s="195"/>
      <c r="N972" s="195"/>
      <c r="O972" s="195"/>
    </row>
    <row r="973" spans="1:15" ht="20.25">
      <c r="A973" s="120" t="s">
        <v>120</v>
      </c>
      <c r="B973" s="120"/>
      <c r="C973" s="120"/>
      <c r="D973" s="120"/>
      <c r="E973" s="120"/>
      <c r="F973" s="86" t="s">
        <v>272</v>
      </c>
      <c r="G973" s="86" t="s">
        <v>122</v>
      </c>
      <c r="H973" s="86" t="s">
        <v>123</v>
      </c>
      <c r="I973" s="181">
        <v>400</v>
      </c>
      <c r="J973" s="195"/>
      <c r="K973" s="195"/>
      <c r="L973" s="195"/>
      <c r="M973" s="195"/>
      <c r="N973" s="195"/>
      <c r="O973" s="195"/>
    </row>
    <row r="974" spans="1:15">
      <c r="A974" s="120" t="s">
        <v>291</v>
      </c>
      <c r="B974" s="120"/>
      <c r="C974" s="120"/>
      <c r="D974" s="120"/>
      <c r="E974" s="120"/>
      <c r="F974" s="182">
        <v>0.5</v>
      </c>
      <c r="G974" s="182">
        <f>IF(I966=13,80,85)</f>
        <v>85</v>
      </c>
      <c r="H974" s="182">
        <f>+H987</f>
        <v>77.10432154471971</v>
      </c>
      <c r="I974" s="181">
        <f>IF(H974&gt;=G974,E987*F974%,0)</f>
        <v>0</v>
      </c>
      <c r="J974" s="195"/>
      <c r="K974" s="195"/>
      <c r="L974" s="195"/>
      <c r="M974" s="195"/>
      <c r="N974" s="195"/>
      <c r="O974" s="195"/>
    </row>
    <row r="975" spans="1:15">
      <c r="A975" s="120" t="str">
        <f>CONCATENATE("COM. MOROSIDAD AL ",G975,"%")</f>
        <v>COM. MOROSIDAD AL 5%</v>
      </c>
      <c r="B975" s="120"/>
      <c r="C975" s="120"/>
      <c r="D975" s="120"/>
      <c r="E975" s="120"/>
      <c r="F975" s="182">
        <v>0.3</v>
      </c>
      <c r="G975" s="182">
        <v>5</v>
      </c>
      <c r="H975" s="182">
        <f>+H990</f>
        <v>11.22</v>
      </c>
      <c r="I975" s="181">
        <f>+IF(H975&lt;=G975,E987*F975%,0)</f>
        <v>0</v>
      </c>
      <c r="J975" s="195"/>
      <c r="K975" s="195"/>
      <c r="L975" s="195"/>
      <c r="M975" s="195"/>
      <c r="N975" s="195"/>
      <c r="O975" s="195"/>
    </row>
    <row r="976" spans="1:15">
      <c r="A976" s="120" t="s">
        <v>292</v>
      </c>
      <c r="B976" s="120"/>
      <c r="C976" s="120"/>
      <c r="D976" s="120"/>
      <c r="E976" s="120"/>
      <c r="F976" s="182">
        <f>IF(I966=3,0.1,0.2)</f>
        <v>0.2</v>
      </c>
      <c r="G976" s="182">
        <f>IF(I966=23,50,85)</f>
        <v>85</v>
      </c>
      <c r="H976" s="182">
        <f>+H994</f>
        <v>33.333333333333336</v>
      </c>
      <c r="I976" s="181">
        <f>IF(H976&gt;=G976,E987*F976%,0)</f>
        <v>0</v>
      </c>
      <c r="J976" s="195"/>
      <c r="K976" s="195"/>
      <c r="L976" s="195"/>
      <c r="M976" s="195"/>
      <c r="N976" s="195"/>
      <c r="O976" s="195"/>
    </row>
    <row r="977" spans="1:15">
      <c r="A977" s="120" t="str">
        <f>IF(I966=23,"COMISION POR TIEMPODE VIAJE",IF(I966=22,"BONIFICACION"," "))</f>
        <v xml:space="preserve"> </v>
      </c>
      <c r="B977" s="120"/>
      <c r="C977" s="120"/>
      <c r="D977" s="120"/>
      <c r="E977" s="120"/>
      <c r="F977" s="120"/>
      <c r="G977" s="120"/>
      <c r="H977" s="182"/>
      <c r="I977" s="181" t="str">
        <f>IF(I966=23,300,IF(I966=22,400," "))</f>
        <v xml:space="preserve"> </v>
      </c>
      <c r="J977" s="195"/>
      <c r="K977" s="195"/>
      <c r="L977" s="195"/>
      <c r="M977" s="195"/>
      <c r="N977" s="195"/>
      <c r="O977" s="195"/>
    </row>
    <row r="978" spans="1:15">
      <c r="A978" s="189" t="s">
        <v>274</v>
      </c>
      <c r="B978" s="189"/>
      <c r="C978" s="189"/>
      <c r="D978" s="189"/>
      <c r="E978" s="189"/>
      <c r="F978" s="374" t="s">
        <v>275</v>
      </c>
      <c r="G978" s="374"/>
      <c r="H978" s="375" t="s">
        <v>276</v>
      </c>
      <c r="I978" s="193"/>
      <c r="J978" s="195"/>
      <c r="K978" s="195"/>
      <c r="L978" s="195"/>
      <c r="M978" s="195"/>
      <c r="N978" s="195"/>
      <c r="O978" s="195"/>
    </row>
    <row r="979" spans="1:15">
      <c r="A979" s="189"/>
      <c r="B979" s="189"/>
      <c r="C979" s="189"/>
      <c r="D979" s="189"/>
      <c r="E979" s="189"/>
      <c r="F979" s="374" t="s">
        <v>277</v>
      </c>
      <c r="G979" s="374"/>
      <c r="H979" s="375"/>
      <c r="I979" s="376">
        <v>0</v>
      </c>
      <c r="J979" s="195"/>
      <c r="K979" s="195"/>
      <c r="L979" s="195"/>
      <c r="M979" s="195"/>
      <c r="N979" s="195"/>
      <c r="O979" s="195"/>
    </row>
    <row r="980" spans="1:15">
      <c r="A980" s="189"/>
      <c r="B980" s="197"/>
      <c r="C980" s="197"/>
      <c r="D980" s="197"/>
      <c r="E980" s="197"/>
      <c r="F980" s="374" t="s">
        <v>278</v>
      </c>
      <c r="G980" s="374"/>
      <c r="H980" s="375"/>
      <c r="I980" s="376"/>
      <c r="J980" s="195"/>
      <c r="K980" s="195"/>
      <c r="L980" s="195"/>
      <c r="M980" s="195"/>
      <c r="N980" s="195"/>
      <c r="O980" s="195"/>
    </row>
    <row r="981" spans="1:15">
      <c r="A981" s="189"/>
      <c r="B981" s="197"/>
      <c r="C981" s="197"/>
      <c r="D981" s="197"/>
      <c r="E981" s="197"/>
      <c r="F981" s="374" t="s">
        <v>279</v>
      </c>
      <c r="G981" s="374"/>
      <c r="H981" s="375"/>
      <c r="I981" s="198"/>
      <c r="J981" s="195"/>
      <c r="K981" s="195"/>
      <c r="L981" s="195"/>
      <c r="M981" s="195"/>
      <c r="N981" s="195"/>
      <c r="O981" s="195"/>
    </row>
    <row r="982" spans="1:15">
      <c r="A982" s="120"/>
      <c r="B982" s="84" t="str">
        <f>IF(I966=13,"Remuneracion Extra"," ")</f>
        <v xml:space="preserve"> </v>
      </c>
      <c r="C982" s="120"/>
      <c r="D982" s="120"/>
      <c r="E982" s="120"/>
      <c r="F982" s="120"/>
      <c r="G982" s="120"/>
      <c r="H982" s="120"/>
      <c r="I982" s="183"/>
      <c r="J982" s="195"/>
      <c r="K982" s="195"/>
      <c r="L982" s="195"/>
      <c r="M982" s="195"/>
      <c r="N982" s="195"/>
      <c r="O982" s="195"/>
    </row>
    <row r="983" spans="1:15" ht="15.75">
      <c r="A983" s="184" t="s">
        <v>129</v>
      </c>
      <c r="B983" s="185"/>
      <c r="C983" s="185"/>
      <c r="D983" s="185"/>
      <c r="E983" s="185"/>
      <c r="F983" s="185"/>
      <c r="G983" s="185"/>
      <c r="H983" s="185"/>
      <c r="I983" s="186">
        <f>SUM(I972:I982)</f>
        <v>1250</v>
      </c>
      <c r="J983" s="195"/>
      <c r="K983" s="195"/>
      <c r="L983" s="195"/>
      <c r="M983" s="195"/>
      <c r="N983" s="195"/>
      <c r="O983" s="195"/>
    </row>
    <row r="984" spans="1:15">
      <c r="A984" s="120"/>
      <c r="B984" s="120"/>
      <c r="C984" s="120"/>
      <c r="D984" s="120"/>
      <c r="E984" s="120"/>
      <c r="F984" s="120"/>
      <c r="G984" s="120"/>
      <c r="H984" s="120"/>
      <c r="I984" s="120"/>
      <c r="J984" s="195"/>
      <c r="K984" s="195"/>
      <c r="L984" s="195"/>
      <c r="M984" s="195"/>
      <c r="N984" s="195"/>
      <c r="O984" s="195"/>
    </row>
    <row r="985" spans="1:15">
      <c r="A985" s="121" t="s">
        <v>130</v>
      </c>
      <c r="B985" s="121"/>
      <c r="C985" s="121"/>
      <c r="D985" s="121"/>
      <c r="E985" s="121"/>
      <c r="F985" s="121"/>
      <c r="G985" s="121"/>
      <c r="H985" s="121"/>
      <c r="I985" s="121"/>
      <c r="J985" s="195"/>
      <c r="K985" s="195"/>
      <c r="L985" s="195"/>
      <c r="M985" s="195"/>
      <c r="N985" s="195"/>
      <c r="O985" s="195"/>
    </row>
    <row r="986" spans="1:15">
      <c r="A986" s="121"/>
      <c r="B986" s="121" t="s">
        <v>131</v>
      </c>
      <c r="C986" s="121"/>
      <c r="D986" s="121"/>
      <c r="E986" s="187">
        <f>VLOOKUP(I966,AVANCEVENDEDOR!$A$2:$R$35,7,0)</f>
        <v>237255.21</v>
      </c>
      <c r="F986" s="187"/>
      <c r="G986" s="121"/>
      <c r="H986" s="121"/>
      <c r="I986" s="121"/>
      <c r="J986" s="195"/>
      <c r="K986" s="195"/>
      <c r="L986" s="195"/>
      <c r="M986" s="199"/>
      <c r="N986" s="200"/>
      <c r="O986" s="195"/>
    </row>
    <row r="987" spans="1:15">
      <c r="A987" s="121"/>
      <c r="B987" s="121" t="s">
        <v>132</v>
      </c>
      <c r="C987" s="121"/>
      <c r="D987" s="121"/>
      <c r="E987" s="187">
        <f>IF(I966=27,(VLOOKUP(I966,AVANCEVENDEDOR!$A$2:$R$35,6,0)-I963),(VLOOKUP(I966,AVANCEVENDEDOR!$A$2:$R$35,6,0)))</f>
        <v>182934.02</v>
      </c>
      <c r="F987" s="187"/>
      <c r="G987" s="188" t="s">
        <v>133</v>
      </c>
      <c r="H987" s="187">
        <f>+E987*100/E986</f>
        <v>77.10432154471971</v>
      </c>
      <c r="I987" s="121"/>
      <c r="J987" s="195"/>
      <c r="K987" s="121"/>
      <c r="L987" s="201"/>
      <c r="M987" s="195"/>
      <c r="N987" s="195"/>
      <c r="O987" s="195"/>
    </row>
    <row r="988" spans="1:15">
      <c r="A988" s="121"/>
      <c r="B988" s="121"/>
      <c r="C988" s="121"/>
      <c r="D988" s="121"/>
      <c r="E988" s="121"/>
      <c r="F988" s="121"/>
      <c r="G988" s="188"/>
      <c r="H988" s="121"/>
      <c r="I988" s="121"/>
      <c r="J988" s="195"/>
      <c r="K988" s="195"/>
      <c r="L988" s="195"/>
      <c r="M988" s="195"/>
      <c r="N988" s="195"/>
      <c r="O988" s="195"/>
    </row>
    <row r="989" spans="1:15">
      <c r="A989" s="121"/>
      <c r="B989" s="121" t="s">
        <v>134</v>
      </c>
      <c r="C989" s="121"/>
      <c r="D989" s="121"/>
      <c r="E989" s="187">
        <f>VLOOKUP(I966,AVANCEVENDEDOR!$A$2:$R$35,10,0)</f>
        <v>712456.97</v>
      </c>
      <c r="F989" s="187"/>
      <c r="G989" s="188"/>
      <c r="H989" s="121"/>
      <c r="I989" s="121"/>
      <c r="J989" s="195"/>
      <c r="K989" s="195"/>
      <c r="L989" s="195"/>
      <c r="M989" s="195"/>
      <c r="N989" s="195"/>
      <c r="O989" s="195"/>
    </row>
    <row r="990" spans="1:15">
      <c r="A990" s="121"/>
      <c r="B990" s="121" t="s">
        <v>135</v>
      </c>
      <c r="C990" s="121"/>
      <c r="D990" s="121"/>
      <c r="E990" s="187">
        <f>VLOOKUP(I966,AVANCEVENDEDOR!$A$2:$R$35,11,0)</f>
        <v>79929.37</v>
      </c>
      <c r="F990" s="187"/>
      <c r="G990" s="188" t="s">
        <v>136</v>
      </c>
      <c r="H990" s="187">
        <f>VLOOKUP(I966,AVANCEVENDEDOR!$A$2:$R$35,15,0)</f>
        <v>11.22</v>
      </c>
      <c r="I990" s="121"/>
      <c r="J990" s="195"/>
      <c r="K990" s="195"/>
      <c r="L990" s="195"/>
      <c r="M990" s="195"/>
      <c r="N990" s="195"/>
      <c r="O990" s="195"/>
    </row>
    <row r="991" spans="1:15">
      <c r="A991" s="121"/>
      <c r="B991" s="121" t="s">
        <v>137</v>
      </c>
      <c r="C991" s="121"/>
      <c r="D991" s="121"/>
      <c r="E991" s="187">
        <f>VLOOKUP(I966,AVANCEVENDEDOR!$A$2:$R$35,9,0)</f>
        <v>291110.31</v>
      </c>
      <c r="F991" s="187"/>
      <c r="G991" s="188"/>
      <c r="H991" s="121"/>
      <c r="I991" s="121"/>
      <c r="J991" s="195"/>
      <c r="K991" s="195"/>
      <c r="L991" s="195"/>
      <c r="M991" s="195"/>
      <c r="N991" s="195"/>
      <c r="O991" s="195"/>
    </row>
    <row r="992" spans="1:15">
      <c r="A992" s="121"/>
      <c r="B992" s="121"/>
      <c r="C992" s="121"/>
      <c r="D992" s="121"/>
      <c r="E992" s="121"/>
      <c r="F992" s="121"/>
      <c r="G992" s="188"/>
      <c r="H992" s="121"/>
      <c r="I992" s="121"/>
      <c r="J992" s="195"/>
      <c r="K992" s="195"/>
      <c r="L992" s="195"/>
      <c r="M992" s="195"/>
      <c r="N992" s="195"/>
      <c r="O992" s="195"/>
    </row>
    <row r="993" spans="1:15">
      <c r="A993" s="121"/>
      <c r="B993" s="121" t="s">
        <v>280</v>
      </c>
      <c r="C993" s="121"/>
      <c r="D993" s="121"/>
      <c r="E993" s="187">
        <f>VLOOKUP(I966,AVANCEVENDEDOR!$A$2:$R$35,13,0)</f>
        <v>105</v>
      </c>
      <c r="F993" s="187"/>
      <c r="G993" s="121"/>
      <c r="H993" s="187"/>
      <c r="I993" s="121"/>
      <c r="J993" s="195"/>
      <c r="K993" s="195"/>
      <c r="L993" s="195"/>
      <c r="M993" s="195"/>
      <c r="N993" s="195"/>
      <c r="O993" s="195"/>
    </row>
    <row r="994" spans="1:15">
      <c r="A994" s="121"/>
      <c r="B994" s="121" t="s">
        <v>281</v>
      </c>
      <c r="C994" s="121"/>
      <c r="D994" s="121"/>
      <c r="E994" s="187">
        <f>VLOOKUP(I966,AVANCEVENDEDOR!$A$2:$R$35,14,0)</f>
        <v>35</v>
      </c>
      <c r="F994" s="187"/>
      <c r="G994" s="188" t="s">
        <v>140</v>
      </c>
      <c r="H994" s="187">
        <f>+E994*100/E993</f>
        <v>33.333333333333336</v>
      </c>
      <c r="I994" s="121"/>
      <c r="J994" s="195"/>
      <c r="K994" s="195"/>
      <c r="L994" s="195"/>
      <c r="M994" s="195"/>
      <c r="N994" s="195"/>
      <c r="O994" s="195"/>
    </row>
    <row r="995" spans="1:15">
      <c r="J995" s="195"/>
      <c r="K995" s="195"/>
      <c r="L995" s="195"/>
      <c r="M995" s="195"/>
      <c r="N995" s="195"/>
      <c r="O995" s="195"/>
    </row>
    <row r="996" spans="1:15" hidden="1">
      <c r="F996">
        <v>99</v>
      </c>
    </row>
    <row r="997" spans="1:15" hidden="1">
      <c r="F997">
        <v>100</v>
      </c>
      <c r="G997">
        <v>100</v>
      </c>
    </row>
    <row r="998" spans="1:15" hidden="1">
      <c r="F998">
        <v>101</v>
      </c>
      <c r="G998">
        <v>100</v>
      </c>
    </row>
    <row r="999" spans="1:15" hidden="1">
      <c r="F999">
        <v>102</v>
      </c>
      <c r="G999">
        <v>100</v>
      </c>
    </row>
    <row r="1000" spans="1:15" hidden="1">
      <c r="F1000">
        <v>103</v>
      </c>
      <c r="G1000">
        <v>100</v>
      </c>
    </row>
    <row r="1001" spans="1:15" hidden="1">
      <c r="F1001">
        <v>104</v>
      </c>
      <c r="G1001">
        <v>100</v>
      </c>
    </row>
    <row r="1002" spans="1:15" hidden="1">
      <c r="F1002">
        <v>105</v>
      </c>
      <c r="G1002">
        <v>100</v>
      </c>
    </row>
    <row r="1003" spans="1:15" hidden="1">
      <c r="F1003">
        <v>106</v>
      </c>
      <c r="G1003">
        <v>200</v>
      </c>
    </row>
    <row r="1004" spans="1:15" hidden="1">
      <c r="F1004">
        <v>107</v>
      </c>
      <c r="G1004">
        <v>200</v>
      </c>
    </row>
    <row r="1005" spans="1:15" hidden="1">
      <c r="F1005">
        <v>108</v>
      </c>
      <c r="G1005">
        <v>200</v>
      </c>
    </row>
    <row r="1006" spans="1:15" hidden="1">
      <c r="F1006">
        <v>109</v>
      </c>
      <c r="G1006">
        <v>200</v>
      </c>
    </row>
    <row r="1007" spans="1:15" hidden="1">
      <c r="F1007">
        <v>110</v>
      </c>
      <c r="G1007">
        <v>200</v>
      </c>
    </row>
    <row r="1008" spans="1:15" hidden="1">
      <c r="F1008">
        <v>111</v>
      </c>
      <c r="G1008">
        <v>200</v>
      </c>
    </row>
    <row r="1009" spans="6:7" hidden="1">
      <c r="F1009">
        <v>112</v>
      </c>
      <c r="G1009">
        <v>200</v>
      </c>
    </row>
    <row r="1010" spans="6:7" hidden="1">
      <c r="F1010">
        <v>113</v>
      </c>
      <c r="G1010">
        <v>200</v>
      </c>
    </row>
    <row r="1011" spans="6:7" hidden="1">
      <c r="F1011">
        <v>114</v>
      </c>
      <c r="G1011">
        <v>200</v>
      </c>
    </row>
    <row r="1012" spans="6:7" hidden="1">
      <c r="F1012">
        <v>115</v>
      </c>
      <c r="G1012">
        <v>300</v>
      </c>
    </row>
    <row r="1013" spans="6:7" hidden="1">
      <c r="F1013">
        <v>116</v>
      </c>
      <c r="G1013">
        <v>300</v>
      </c>
    </row>
    <row r="1014" spans="6:7" hidden="1">
      <c r="F1014">
        <v>117</v>
      </c>
      <c r="G1014">
        <v>300</v>
      </c>
    </row>
    <row r="1015" spans="6:7" hidden="1">
      <c r="F1015">
        <v>118</v>
      </c>
      <c r="G1015">
        <v>300</v>
      </c>
    </row>
    <row r="1016" spans="6:7" hidden="1">
      <c r="F1016">
        <v>119</v>
      </c>
      <c r="G1016">
        <v>300</v>
      </c>
    </row>
    <row r="1017" spans="6:7" hidden="1">
      <c r="F1017">
        <v>120</v>
      </c>
      <c r="G1017">
        <v>300</v>
      </c>
    </row>
    <row r="1018" spans="6:7" hidden="1">
      <c r="F1018">
        <v>121</v>
      </c>
      <c r="G1018">
        <v>400</v>
      </c>
    </row>
    <row r="1019" spans="6:7" hidden="1">
      <c r="F1019">
        <v>122</v>
      </c>
      <c r="G1019">
        <v>400</v>
      </c>
    </row>
    <row r="1037" spans="1:15">
      <c r="A1037" s="84" t="s">
        <v>112</v>
      </c>
      <c r="B1037" s="120"/>
      <c r="C1037" s="120"/>
      <c r="D1037" s="120"/>
      <c r="E1037" s="120"/>
      <c r="F1037" s="120"/>
      <c r="G1037" s="120"/>
      <c r="H1037" s="120"/>
      <c r="I1037" s="189"/>
      <c r="J1037" s="195"/>
      <c r="K1037" s="195"/>
      <c r="L1037" s="195"/>
      <c r="M1037" s="195"/>
      <c r="N1037" s="195"/>
      <c r="O1037" s="195"/>
    </row>
    <row r="1038" spans="1:15">
      <c r="A1038" s="84" t="s">
        <v>113</v>
      </c>
      <c r="B1038" s="120"/>
      <c r="C1038" s="120"/>
      <c r="D1038" s="120"/>
      <c r="E1038" s="120"/>
      <c r="F1038" s="120"/>
      <c r="G1038" s="120"/>
      <c r="H1038" s="120"/>
      <c r="I1038" s="179" t="str">
        <f>+CONCATENATE("20142_",I1040)</f>
        <v>20142_33</v>
      </c>
      <c r="J1038" s="195"/>
      <c r="K1038" s="195"/>
      <c r="L1038" s="195"/>
      <c r="M1038" s="195"/>
      <c r="N1038" s="195"/>
      <c r="O1038" s="195"/>
    </row>
    <row r="1039" spans="1:15">
      <c r="A1039" s="84" t="s">
        <v>114</v>
      </c>
      <c r="B1039" s="120"/>
      <c r="C1039" s="120"/>
      <c r="D1039" s="120"/>
      <c r="E1039" s="120"/>
      <c r="F1039" s="120"/>
      <c r="G1039" s="120"/>
      <c r="H1039" s="120"/>
      <c r="I1039" s="120"/>
      <c r="J1039" s="195"/>
      <c r="K1039" s="195"/>
      <c r="L1039" s="195"/>
      <c r="M1039" s="195"/>
      <c r="N1039" s="195"/>
      <c r="O1039" s="195"/>
    </row>
    <row r="1040" spans="1:15">
      <c r="A1040" s="120"/>
      <c r="B1040" s="120"/>
      <c r="C1040" s="120"/>
      <c r="D1040" s="120"/>
      <c r="E1040" s="120"/>
      <c r="F1040" s="120"/>
      <c r="G1040" s="120"/>
      <c r="H1040" s="120"/>
      <c r="I1040" s="191">
        <v>33</v>
      </c>
      <c r="J1040" s="195"/>
      <c r="K1040" s="195"/>
      <c r="L1040" s="195"/>
      <c r="M1040" s="195"/>
      <c r="N1040" s="195"/>
      <c r="O1040" s="195"/>
    </row>
    <row r="1041" spans="1:15">
      <c r="A1041" s="120" t="s">
        <v>115</v>
      </c>
      <c r="B1041" s="120"/>
      <c r="C1041" s="120"/>
      <c r="D1041" s="120"/>
      <c r="E1041" s="120"/>
      <c r="F1041" s="120"/>
      <c r="G1041" s="120"/>
      <c r="H1041" s="120"/>
      <c r="I1041" s="83">
        <f>I5</f>
        <v>43800</v>
      </c>
      <c r="J1041" s="195"/>
      <c r="K1041" s="195"/>
      <c r="L1041" s="195"/>
      <c r="M1041" s="195"/>
      <c r="N1041" s="195"/>
      <c r="O1041" s="195"/>
    </row>
    <row r="1042" spans="1:15">
      <c r="A1042" s="120"/>
      <c r="B1042" s="120"/>
      <c r="C1042" s="120"/>
      <c r="D1042" s="120"/>
      <c r="E1042" s="120"/>
      <c r="F1042" s="120"/>
      <c r="G1042" s="120"/>
      <c r="H1042" s="120"/>
      <c r="I1042" s="120"/>
      <c r="J1042" s="195"/>
      <c r="K1042" s="195"/>
      <c r="L1042" s="195"/>
      <c r="M1042" s="195"/>
      <c r="N1042" s="195"/>
      <c r="O1042" s="195"/>
    </row>
    <row r="1043" spans="1:15">
      <c r="A1043" s="120" t="s">
        <v>116</v>
      </c>
      <c r="B1043" s="120"/>
      <c r="C1043" s="84" t="str">
        <f>VLOOKUP(I1040,AVANCEVENDEDOR!$A$2:$R$35,3,0)</f>
        <v>LOPEZ WASHINGTON -  TOTAL</v>
      </c>
      <c r="D1043" s="120"/>
      <c r="E1043" s="120"/>
      <c r="F1043" s="120"/>
      <c r="G1043" s="120"/>
      <c r="H1043" s="120"/>
      <c r="I1043" s="120"/>
      <c r="J1043" s="195"/>
      <c r="K1043" s="195"/>
      <c r="L1043" s="195"/>
      <c r="M1043" s="195"/>
      <c r="N1043" s="195"/>
      <c r="O1043" s="195"/>
    </row>
    <row r="1044" spans="1:15">
      <c r="A1044" s="120"/>
      <c r="B1044" s="120"/>
      <c r="C1044" s="120"/>
      <c r="D1044" s="120"/>
      <c r="E1044" s="120"/>
      <c r="F1044" s="120"/>
      <c r="G1044" s="120"/>
      <c r="H1044" s="120"/>
      <c r="I1044" s="84" t="s">
        <v>118</v>
      </c>
      <c r="J1044" s="195"/>
      <c r="K1044" s="195"/>
      <c r="L1044" s="195"/>
      <c r="M1044" s="195"/>
      <c r="N1044" s="195"/>
      <c r="O1044" s="195"/>
    </row>
    <row r="1045" spans="1:15">
      <c r="A1045" s="120"/>
      <c r="B1045" s="120"/>
      <c r="C1045" s="120"/>
      <c r="D1045" s="120"/>
      <c r="E1045" s="120"/>
      <c r="F1045" s="120"/>
      <c r="G1045" s="120"/>
      <c r="H1045" s="120"/>
      <c r="I1045" s="120"/>
      <c r="J1045" s="195"/>
      <c r="K1045" s="195"/>
      <c r="L1045" s="195"/>
      <c r="M1045" s="195"/>
      <c r="N1045" s="195"/>
      <c r="O1045" s="195"/>
    </row>
    <row r="1046" spans="1:15">
      <c r="A1046" s="120" t="s">
        <v>119</v>
      </c>
      <c r="B1046" s="120"/>
      <c r="C1046" s="120"/>
      <c r="D1046" s="120"/>
      <c r="E1046" s="120"/>
      <c r="F1046" s="120"/>
      <c r="G1046" s="120"/>
      <c r="H1046" s="120"/>
      <c r="I1046" s="181">
        <v>850</v>
      </c>
      <c r="J1046" s="195"/>
      <c r="K1046" s="195"/>
      <c r="L1046" s="195"/>
      <c r="M1046" s="195"/>
      <c r="N1046" s="195"/>
      <c r="O1046" s="195"/>
    </row>
    <row r="1047" spans="1:15" ht="20.25">
      <c r="A1047" s="120" t="s">
        <v>120</v>
      </c>
      <c r="B1047" s="120"/>
      <c r="C1047" s="120"/>
      <c r="D1047" s="120"/>
      <c r="E1047" s="120"/>
      <c r="F1047" s="86" t="s">
        <v>272</v>
      </c>
      <c r="G1047" s="86" t="s">
        <v>122</v>
      </c>
      <c r="H1047" s="86" t="s">
        <v>123</v>
      </c>
      <c r="I1047" s="181">
        <v>400</v>
      </c>
      <c r="J1047" s="195"/>
      <c r="K1047" s="195"/>
      <c r="L1047" s="195"/>
      <c r="M1047" s="195"/>
      <c r="N1047" s="195"/>
      <c r="O1047" s="195"/>
    </row>
    <row r="1048" spans="1:15">
      <c r="A1048" s="120" t="s">
        <v>291</v>
      </c>
      <c r="B1048" s="120"/>
      <c r="C1048" s="120"/>
      <c r="D1048" s="120"/>
      <c r="E1048" s="120"/>
      <c r="F1048" s="182">
        <v>0.5</v>
      </c>
      <c r="G1048" s="182">
        <f>IF(I1040=13,80,85)</f>
        <v>85</v>
      </c>
      <c r="H1048" s="182">
        <f>+H1061</f>
        <v>68.361468888552281</v>
      </c>
      <c r="I1048" s="181">
        <f>IF(H1048&gt;=G1048,E1061*F1048%,0)</f>
        <v>0</v>
      </c>
      <c r="J1048" s="195"/>
      <c r="K1048" s="195"/>
      <c r="L1048" s="195"/>
      <c r="M1048" s="195"/>
      <c r="N1048" s="195"/>
      <c r="O1048" s="195"/>
    </row>
    <row r="1049" spans="1:15">
      <c r="A1049" s="120" t="str">
        <f>CONCATENATE("COM. MOROSIDAD AL ",G1049,"%")</f>
        <v>COM. MOROSIDAD AL 5%</v>
      </c>
      <c r="B1049" s="120"/>
      <c r="C1049" s="120"/>
      <c r="D1049" s="120"/>
      <c r="E1049" s="120"/>
      <c r="F1049" s="182">
        <v>0.3</v>
      </c>
      <c r="G1049" s="182">
        <v>5</v>
      </c>
      <c r="H1049" s="182">
        <f>+H1064</f>
        <v>10.455899537334863</v>
      </c>
      <c r="I1049" s="181">
        <f>+IF(H1049&lt;=G1049,E1061*F1049%,0)</f>
        <v>0</v>
      </c>
      <c r="J1049" s="195"/>
      <c r="K1049" s="195"/>
      <c r="L1049" s="195"/>
      <c r="M1049" s="195"/>
      <c r="N1049" s="195"/>
      <c r="O1049" s="195"/>
    </row>
    <row r="1050" spans="1:15">
      <c r="A1050" s="120" t="s">
        <v>292</v>
      </c>
      <c r="B1050" s="120"/>
      <c r="C1050" s="120"/>
      <c r="D1050" s="120"/>
      <c r="E1050" s="120"/>
      <c r="F1050" s="182">
        <f>IF(I1040=3,0.1,0.2)</f>
        <v>0.2</v>
      </c>
      <c r="G1050" s="182">
        <f>IF(I1040=23,50,85)</f>
        <v>85</v>
      </c>
      <c r="H1050" s="182">
        <f>+H1068</f>
        <v>37.254901960784316</v>
      </c>
      <c r="I1050" s="181">
        <f>IF(H1050&gt;=G1050,E1061*F1050%,0)</f>
        <v>0</v>
      </c>
      <c r="J1050" s="195"/>
      <c r="K1050" s="195"/>
      <c r="L1050" s="195"/>
      <c r="M1050" s="195"/>
      <c r="N1050" s="195"/>
      <c r="O1050" s="195"/>
    </row>
    <row r="1051" spans="1:15">
      <c r="A1051" s="120" t="str">
        <f>IF(I1040=23,"COMISION POR TIEMPODE VIAJE",IF(I1040=22,"BONIFICACION"," "))</f>
        <v xml:space="preserve"> </v>
      </c>
      <c r="B1051" s="120"/>
      <c r="C1051" s="120"/>
      <c r="D1051" s="120"/>
      <c r="E1051" s="120"/>
      <c r="F1051" s="120"/>
      <c r="G1051" s="120"/>
      <c r="H1051" s="182"/>
      <c r="I1051" s="181" t="str">
        <f>IF(I1040=23,300,IF(I1040=22,400," "))</f>
        <v xml:space="preserve"> </v>
      </c>
      <c r="J1051" s="195"/>
      <c r="K1051" s="195"/>
      <c r="L1051" s="195"/>
      <c r="M1051" s="195"/>
      <c r="N1051" s="195"/>
      <c r="O1051" s="195"/>
    </row>
    <row r="1052" spans="1:15">
      <c r="A1052" s="189" t="s">
        <v>274</v>
      </c>
      <c r="B1052" s="189"/>
      <c r="C1052" s="189"/>
      <c r="D1052" s="189"/>
      <c r="E1052" s="189"/>
      <c r="F1052" s="374" t="s">
        <v>275</v>
      </c>
      <c r="G1052" s="374"/>
      <c r="H1052" s="375" t="s">
        <v>276</v>
      </c>
      <c r="I1052" s="193"/>
      <c r="J1052" s="195"/>
      <c r="K1052" s="195"/>
      <c r="L1052" s="195"/>
      <c r="M1052" s="195"/>
      <c r="N1052" s="195"/>
      <c r="O1052" s="195"/>
    </row>
    <row r="1053" spans="1:15">
      <c r="A1053" s="189"/>
      <c r="B1053" s="189"/>
      <c r="C1053" s="189"/>
      <c r="D1053" s="189"/>
      <c r="E1053" s="189"/>
      <c r="F1053" s="374" t="s">
        <v>277</v>
      </c>
      <c r="G1053" s="374"/>
      <c r="H1053" s="375"/>
      <c r="I1053" s="376">
        <v>0</v>
      </c>
      <c r="J1053" s="195"/>
      <c r="K1053" s="195"/>
      <c r="L1053" s="195"/>
      <c r="M1053" s="195"/>
      <c r="N1053" s="195"/>
      <c r="O1053" s="195"/>
    </row>
    <row r="1054" spans="1:15">
      <c r="A1054" s="189"/>
      <c r="B1054" s="197"/>
      <c r="C1054" s="197"/>
      <c r="D1054" s="197"/>
      <c r="E1054" s="197"/>
      <c r="F1054" s="374" t="s">
        <v>278</v>
      </c>
      <c r="G1054" s="374"/>
      <c r="H1054" s="375"/>
      <c r="I1054" s="376"/>
      <c r="J1054" s="195"/>
      <c r="K1054" s="195"/>
      <c r="L1054" s="195"/>
      <c r="M1054" s="195"/>
      <c r="N1054" s="195"/>
      <c r="O1054" s="195"/>
    </row>
    <row r="1055" spans="1:15">
      <c r="A1055" s="189"/>
      <c r="B1055" s="197"/>
      <c r="C1055" s="197"/>
      <c r="D1055" s="197"/>
      <c r="E1055" s="197"/>
      <c r="F1055" s="374" t="s">
        <v>279</v>
      </c>
      <c r="G1055" s="374"/>
      <c r="H1055" s="375"/>
      <c r="I1055" s="198"/>
      <c r="J1055" s="195"/>
      <c r="K1055" s="195"/>
      <c r="L1055" s="195"/>
      <c r="M1055" s="195"/>
      <c r="N1055" s="195"/>
      <c r="O1055" s="195"/>
    </row>
    <row r="1056" spans="1:15">
      <c r="A1056" s="120"/>
      <c r="B1056" s="84" t="str">
        <f>IF(I1040=13,"Remuneracion Extra"," ")</f>
        <v xml:space="preserve"> </v>
      </c>
      <c r="C1056" s="120"/>
      <c r="D1056" s="120"/>
      <c r="E1056" s="120"/>
      <c r="F1056" s="120"/>
      <c r="G1056" s="120"/>
      <c r="H1056" s="120"/>
      <c r="I1056" s="183"/>
      <c r="J1056" s="195"/>
      <c r="K1056" s="195"/>
      <c r="L1056" s="195"/>
      <c r="M1056" s="195"/>
      <c r="N1056" s="195"/>
      <c r="O1056" s="195"/>
    </row>
    <row r="1057" spans="1:15" ht="15.75">
      <c r="A1057" s="184" t="s">
        <v>129</v>
      </c>
      <c r="B1057" s="185"/>
      <c r="C1057" s="185"/>
      <c r="D1057" s="185"/>
      <c r="E1057" s="185"/>
      <c r="F1057" s="185"/>
      <c r="G1057" s="185"/>
      <c r="H1057" s="185"/>
      <c r="I1057" s="186">
        <f>SUM(I1046:I1056)</f>
        <v>1250</v>
      </c>
      <c r="J1057" s="195"/>
      <c r="K1057" s="195"/>
      <c r="L1057" s="195"/>
      <c r="M1057" s="195"/>
      <c r="N1057" s="195"/>
      <c r="O1057" s="195"/>
    </row>
    <row r="1058" spans="1:15">
      <c r="A1058" s="120"/>
      <c r="B1058" s="120"/>
      <c r="C1058" s="120"/>
      <c r="D1058" s="120"/>
      <c r="E1058" s="120"/>
      <c r="F1058" s="120"/>
      <c r="G1058" s="120"/>
      <c r="H1058" s="120"/>
      <c r="I1058" s="120"/>
      <c r="J1058" s="195"/>
      <c r="K1058" s="195"/>
      <c r="L1058" s="195"/>
      <c r="M1058" s="195"/>
      <c r="N1058" s="195"/>
      <c r="O1058" s="195"/>
    </row>
    <row r="1059" spans="1:15">
      <c r="A1059" s="121" t="s">
        <v>130</v>
      </c>
      <c r="B1059" s="121"/>
      <c r="C1059" s="121"/>
      <c r="D1059" s="121"/>
      <c r="E1059" s="121"/>
      <c r="F1059" s="121"/>
      <c r="G1059" s="121"/>
      <c r="H1059" s="121"/>
      <c r="I1059" s="121"/>
      <c r="J1059" s="195"/>
      <c r="K1059" s="195"/>
      <c r="L1059" s="195"/>
      <c r="M1059" s="195"/>
      <c r="N1059" s="195"/>
      <c r="O1059" s="195"/>
    </row>
    <row r="1060" spans="1:15">
      <c r="A1060" s="121"/>
      <c r="B1060" s="121" t="s">
        <v>131</v>
      </c>
      <c r="C1060" s="121"/>
      <c r="D1060" s="121"/>
      <c r="E1060" s="187">
        <f>VLOOKUP(I1040,AVANCEVENDEDOR!$A$2:$R$35,7,0)</f>
        <v>389519</v>
      </c>
      <c r="F1060" s="187"/>
      <c r="G1060" s="121"/>
      <c r="H1060" s="121"/>
      <c r="I1060" s="121"/>
      <c r="J1060" s="195"/>
      <c r="K1060" s="195"/>
      <c r="L1060" s="195"/>
      <c r="M1060" s="199"/>
      <c r="N1060" s="200"/>
      <c r="O1060" s="195"/>
    </row>
    <row r="1061" spans="1:15">
      <c r="A1061" s="121"/>
      <c r="B1061" s="121" t="s">
        <v>132</v>
      </c>
      <c r="C1061" s="121"/>
      <c r="D1061" s="121"/>
      <c r="E1061" s="187">
        <f>IF(I1040=27,(VLOOKUP(I1040,AVANCEVENDEDOR!$A$2:$R$35,6,0)-I1037),(VLOOKUP(I1040,AVANCEVENDEDOR!$A$2:$R$35,6,0)))</f>
        <v>266280.90999999997</v>
      </c>
      <c r="F1061" s="187"/>
      <c r="G1061" s="188" t="s">
        <v>133</v>
      </c>
      <c r="H1061" s="187">
        <f>+E1061*100/E1060</f>
        <v>68.361468888552281</v>
      </c>
      <c r="I1061" s="121"/>
      <c r="J1061" s="195"/>
      <c r="K1061" s="121"/>
      <c r="L1061" s="201"/>
      <c r="M1061" s="195"/>
      <c r="N1061" s="195"/>
      <c r="O1061" s="195"/>
    </row>
    <row r="1062" spans="1:15">
      <c r="A1062" s="121"/>
      <c r="B1062" s="121"/>
      <c r="C1062" s="121"/>
      <c r="D1062" s="121"/>
      <c r="E1062" s="121"/>
      <c r="F1062" s="121"/>
      <c r="G1062" s="188"/>
      <c r="H1062" s="121"/>
      <c r="I1062" s="121"/>
      <c r="J1062" s="195"/>
      <c r="K1062" s="195"/>
      <c r="L1062" s="195"/>
      <c r="M1062" s="195"/>
      <c r="N1062" s="195"/>
      <c r="O1062" s="195"/>
    </row>
    <row r="1063" spans="1:15">
      <c r="A1063" s="121"/>
      <c r="B1063" s="121" t="s">
        <v>134</v>
      </c>
      <c r="C1063" s="121"/>
      <c r="D1063" s="121"/>
      <c r="E1063" s="187">
        <f>AVANCEVENDEDOR!J35</f>
        <v>984554.40999999992</v>
      </c>
      <c r="F1063" s="187"/>
      <c r="G1063" s="188"/>
      <c r="H1063" s="121"/>
      <c r="I1063" s="121"/>
      <c r="J1063" s="195"/>
      <c r="K1063" s="195"/>
      <c r="L1063" s="195"/>
      <c r="M1063" s="195"/>
      <c r="N1063" s="195"/>
      <c r="O1063" s="195"/>
    </row>
    <row r="1064" spans="1:15">
      <c r="A1064" s="121"/>
      <c r="B1064" s="121" t="s">
        <v>135</v>
      </c>
      <c r="C1064" s="121"/>
      <c r="D1064" s="121"/>
      <c r="E1064" s="187">
        <f>AVANCEVENDEDOR!K35</f>
        <v>102944.01999999999</v>
      </c>
      <c r="F1064" s="187"/>
      <c r="G1064" s="188" t="s">
        <v>136</v>
      </c>
      <c r="H1064" s="187">
        <f>AVANCEVENDEDOR!L35</f>
        <v>10.455899537334863</v>
      </c>
      <c r="I1064" s="121"/>
      <c r="J1064" s="195"/>
      <c r="K1064" s="195"/>
      <c r="L1064" s="195"/>
      <c r="M1064" s="195"/>
      <c r="N1064" s="195"/>
      <c r="O1064" s="195"/>
    </row>
    <row r="1065" spans="1:15">
      <c r="A1065" s="121"/>
      <c r="B1065" s="121" t="s">
        <v>137</v>
      </c>
      <c r="C1065" s="121"/>
      <c r="D1065" s="121"/>
      <c r="E1065" s="187">
        <f>AVANCEVENDEDOR!I35</f>
        <v>455412.02</v>
      </c>
      <c r="F1065" s="187"/>
      <c r="G1065" s="188"/>
      <c r="H1065" s="121"/>
      <c r="I1065" s="121"/>
      <c r="J1065" s="195"/>
      <c r="K1065" s="195"/>
      <c r="L1065" s="195"/>
      <c r="M1065" s="195"/>
      <c r="N1065" s="195"/>
      <c r="O1065" s="195"/>
    </row>
    <row r="1066" spans="1:15">
      <c r="A1066" s="121"/>
      <c r="B1066" s="121"/>
      <c r="C1066" s="121"/>
      <c r="D1066" s="121"/>
      <c r="E1066" s="121"/>
      <c r="F1066" s="121"/>
      <c r="G1066" s="188"/>
      <c r="H1066" s="121"/>
      <c r="I1066" s="121"/>
      <c r="J1066" s="195"/>
      <c r="K1066" s="195"/>
      <c r="L1066" s="195"/>
      <c r="M1066" s="195"/>
      <c r="N1066" s="195"/>
      <c r="O1066" s="195"/>
    </row>
    <row r="1067" spans="1:15">
      <c r="A1067" s="121"/>
      <c r="B1067" s="121" t="s">
        <v>280</v>
      </c>
      <c r="C1067" s="121"/>
      <c r="D1067" s="121"/>
      <c r="E1067" s="187">
        <f>VLOOKUP(I1040,AVANCEVENDEDOR!$A$2:$R$35,13,0)</f>
        <v>153</v>
      </c>
      <c r="F1067" s="187"/>
      <c r="G1067" s="121"/>
      <c r="H1067" s="187"/>
      <c r="I1067" s="121"/>
      <c r="J1067" s="195"/>
      <c r="K1067" s="195"/>
      <c r="L1067" s="195"/>
      <c r="M1067" s="195"/>
      <c r="N1067" s="195"/>
      <c r="O1067" s="195"/>
    </row>
    <row r="1068" spans="1:15">
      <c r="A1068" s="121"/>
      <c r="B1068" s="121" t="s">
        <v>281</v>
      </c>
      <c r="C1068" s="121"/>
      <c r="D1068" s="121"/>
      <c r="E1068" s="187">
        <f>VLOOKUP(I1040,AVANCEVENDEDOR!$A$2:$R$35,14,0)</f>
        <v>57</v>
      </c>
      <c r="F1068" s="187"/>
      <c r="G1068" s="188" t="s">
        <v>140</v>
      </c>
      <c r="H1068" s="187">
        <f>+E1068*100/E1067</f>
        <v>37.254901960784316</v>
      </c>
      <c r="I1068" s="121"/>
      <c r="J1068" s="195"/>
      <c r="K1068" s="195"/>
      <c r="L1068" s="195"/>
      <c r="M1068" s="195"/>
      <c r="N1068" s="195"/>
      <c r="O1068" s="195"/>
    </row>
    <row r="1069" spans="1:15">
      <c r="J1069" s="195"/>
      <c r="K1069" s="195"/>
      <c r="L1069" s="195"/>
      <c r="M1069" s="195"/>
      <c r="N1069" s="195"/>
      <c r="O1069" s="195"/>
    </row>
    <row r="1070" spans="1:15" hidden="1">
      <c r="F1070">
        <v>99</v>
      </c>
    </row>
    <row r="1071" spans="1:15" hidden="1">
      <c r="F1071">
        <v>100</v>
      </c>
      <c r="G1071">
        <v>100</v>
      </c>
    </row>
    <row r="1072" spans="1:15" hidden="1">
      <c r="F1072">
        <v>101</v>
      </c>
      <c r="G1072">
        <v>100</v>
      </c>
    </row>
    <row r="1073" spans="6:7" hidden="1">
      <c r="F1073">
        <v>102</v>
      </c>
      <c r="G1073">
        <v>100</v>
      </c>
    </row>
    <row r="1074" spans="6:7" hidden="1">
      <c r="F1074">
        <v>103</v>
      </c>
      <c r="G1074">
        <v>100</v>
      </c>
    </row>
    <row r="1075" spans="6:7" hidden="1">
      <c r="F1075">
        <v>104</v>
      </c>
      <c r="G1075">
        <v>100</v>
      </c>
    </row>
    <row r="1076" spans="6:7" hidden="1">
      <c r="F1076">
        <v>105</v>
      </c>
      <c r="G1076">
        <v>100</v>
      </c>
    </row>
    <row r="1077" spans="6:7" hidden="1">
      <c r="F1077">
        <v>106</v>
      </c>
      <c r="G1077">
        <v>200</v>
      </c>
    </row>
    <row r="1078" spans="6:7" hidden="1">
      <c r="F1078">
        <v>107</v>
      </c>
      <c r="G1078">
        <v>200</v>
      </c>
    </row>
    <row r="1079" spans="6:7" hidden="1">
      <c r="F1079">
        <v>108</v>
      </c>
      <c r="G1079">
        <v>200</v>
      </c>
    </row>
    <row r="1080" spans="6:7" hidden="1">
      <c r="F1080">
        <v>109</v>
      </c>
      <c r="G1080">
        <v>200</v>
      </c>
    </row>
    <row r="1081" spans="6:7" hidden="1">
      <c r="F1081">
        <v>110</v>
      </c>
      <c r="G1081">
        <v>200</v>
      </c>
    </row>
    <row r="1082" spans="6:7" hidden="1">
      <c r="F1082">
        <v>111</v>
      </c>
      <c r="G1082">
        <v>200</v>
      </c>
    </row>
    <row r="1083" spans="6:7" hidden="1">
      <c r="F1083">
        <v>112</v>
      </c>
      <c r="G1083">
        <v>200</v>
      </c>
    </row>
    <row r="1084" spans="6:7" hidden="1">
      <c r="F1084">
        <v>113</v>
      </c>
      <c r="G1084">
        <v>200</v>
      </c>
    </row>
    <row r="1085" spans="6:7" hidden="1">
      <c r="F1085">
        <v>114</v>
      </c>
      <c r="G1085">
        <v>200</v>
      </c>
    </row>
    <row r="1086" spans="6:7" hidden="1">
      <c r="F1086">
        <v>115</v>
      </c>
      <c r="G1086">
        <v>300</v>
      </c>
    </row>
    <row r="1087" spans="6:7" hidden="1">
      <c r="F1087">
        <v>116</v>
      </c>
      <c r="G1087">
        <v>300</v>
      </c>
    </row>
    <row r="1088" spans="6:7" hidden="1">
      <c r="F1088">
        <v>117</v>
      </c>
      <c r="G1088">
        <v>300</v>
      </c>
    </row>
    <row r="1089" spans="6:7" hidden="1">
      <c r="F1089">
        <v>118</v>
      </c>
      <c r="G1089">
        <v>300</v>
      </c>
    </row>
    <row r="1090" spans="6:7" hidden="1">
      <c r="F1090">
        <v>119</v>
      </c>
      <c r="G1090">
        <v>300</v>
      </c>
    </row>
    <row r="1091" spans="6:7" hidden="1">
      <c r="F1091">
        <v>120</v>
      </c>
      <c r="G1091">
        <v>300</v>
      </c>
    </row>
    <row r="1092" spans="6:7" hidden="1">
      <c r="F1092">
        <v>121</v>
      </c>
      <c r="G1092">
        <v>400</v>
      </c>
    </row>
    <row r="1093" spans="6:7" hidden="1">
      <c r="F1093">
        <v>122</v>
      </c>
      <c r="G1093">
        <v>400</v>
      </c>
    </row>
    <row r="1111" spans="1:15">
      <c r="A1111" s="84" t="s">
        <v>112</v>
      </c>
      <c r="B1111" s="120"/>
      <c r="C1111" s="120"/>
      <c r="D1111" s="120"/>
      <c r="E1111" s="120"/>
      <c r="F1111" s="120"/>
      <c r="G1111" s="120"/>
      <c r="H1111" s="120"/>
      <c r="I1111" s="189"/>
      <c r="J1111" s="195"/>
      <c r="K1111" s="195"/>
      <c r="L1111" s="195"/>
      <c r="M1111" s="195"/>
      <c r="N1111" s="195"/>
      <c r="O1111" s="195"/>
    </row>
    <row r="1112" spans="1:15">
      <c r="A1112" s="84" t="s">
        <v>113</v>
      </c>
      <c r="B1112" s="120"/>
      <c r="C1112" s="120"/>
      <c r="D1112" s="120"/>
      <c r="E1112" s="120"/>
      <c r="F1112" s="120"/>
      <c r="G1112" s="120"/>
      <c r="H1112" s="120"/>
      <c r="I1112" s="179" t="str">
        <f>+CONCATENATE("20142_",I1114)</f>
        <v>20142_24</v>
      </c>
      <c r="J1112" s="195"/>
      <c r="K1112" s="195"/>
      <c r="L1112" s="195"/>
      <c r="M1112" s="195"/>
      <c r="N1112" s="195"/>
      <c r="O1112" s="195"/>
    </row>
    <row r="1113" spans="1:15">
      <c r="A1113" s="84" t="s">
        <v>114</v>
      </c>
      <c r="B1113" s="120"/>
      <c r="C1113" s="120"/>
      <c r="D1113" s="120"/>
      <c r="E1113" s="120"/>
      <c r="F1113" s="120"/>
      <c r="G1113" s="120"/>
      <c r="H1113" s="120"/>
      <c r="I1113" s="120"/>
      <c r="J1113" s="195"/>
      <c r="K1113" s="195"/>
      <c r="L1113" s="195"/>
      <c r="M1113" s="195"/>
      <c r="N1113" s="195"/>
      <c r="O1113" s="195"/>
    </row>
    <row r="1114" spans="1:15">
      <c r="A1114" s="120"/>
      <c r="B1114" s="120"/>
      <c r="C1114" s="120"/>
      <c r="D1114" s="120"/>
      <c r="E1114" s="120"/>
      <c r="F1114" s="120"/>
      <c r="G1114" s="120"/>
      <c r="H1114" s="120"/>
      <c r="I1114" s="191">
        <v>24</v>
      </c>
      <c r="J1114" s="195"/>
      <c r="K1114" s="195"/>
      <c r="L1114" s="195"/>
      <c r="M1114" s="195"/>
      <c r="N1114" s="195"/>
      <c r="O1114" s="195"/>
    </row>
    <row r="1115" spans="1:15">
      <c r="A1115" s="120" t="s">
        <v>115</v>
      </c>
      <c r="B1115" s="120"/>
      <c r="C1115" s="120"/>
      <c r="D1115" s="120"/>
      <c r="E1115" s="120"/>
      <c r="F1115" s="120"/>
      <c r="G1115" s="120"/>
      <c r="H1115" s="120"/>
      <c r="I1115" s="83">
        <f>I5</f>
        <v>43800</v>
      </c>
      <c r="J1115" s="195"/>
      <c r="K1115" s="195"/>
      <c r="L1115" s="195"/>
      <c r="M1115" s="195"/>
      <c r="N1115" s="195"/>
      <c r="O1115" s="195"/>
    </row>
    <row r="1116" spans="1:15">
      <c r="A1116" s="120"/>
      <c r="B1116" s="120"/>
      <c r="C1116" s="120"/>
      <c r="D1116" s="120"/>
      <c r="E1116" s="120"/>
      <c r="F1116" s="120"/>
      <c r="G1116" s="120"/>
      <c r="H1116" s="120"/>
      <c r="I1116" s="120"/>
      <c r="J1116" s="195"/>
      <c r="K1116" s="195"/>
      <c r="L1116" s="195"/>
      <c r="M1116" s="195"/>
      <c r="N1116" s="195"/>
      <c r="O1116" s="195"/>
    </row>
    <row r="1117" spans="1:15">
      <c r="A1117" s="120" t="s">
        <v>116</v>
      </c>
      <c r="B1117" s="120"/>
      <c r="C1117" s="84" t="str">
        <f>VLOOKUP(I1114,AVANCEVENDEDOR!$A$2:$R$35,3,0)</f>
        <v>FLORES PALOMINO JIM</v>
      </c>
      <c r="D1117" s="120"/>
      <c r="E1117" s="120"/>
      <c r="F1117" s="120"/>
      <c r="G1117" s="120"/>
      <c r="H1117" s="120"/>
      <c r="I1117" s="120"/>
      <c r="J1117" s="195"/>
      <c r="K1117" s="195"/>
      <c r="L1117" s="195"/>
      <c r="M1117" s="195"/>
      <c r="N1117" s="195"/>
      <c r="O1117" s="195"/>
    </row>
    <row r="1118" spans="1:15">
      <c r="A1118" s="120"/>
      <c r="B1118" s="120"/>
      <c r="C1118" s="120"/>
      <c r="D1118" s="120"/>
      <c r="E1118" s="120"/>
      <c r="F1118" s="120"/>
      <c r="G1118" s="120"/>
      <c r="H1118" s="120"/>
      <c r="I1118" s="84" t="s">
        <v>118</v>
      </c>
      <c r="J1118" s="195"/>
      <c r="K1118" s="195"/>
      <c r="L1118" s="195"/>
      <c r="M1118" s="195"/>
      <c r="N1118" s="195"/>
      <c r="O1118" s="195"/>
    </row>
    <row r="1119" spans="1:15">
      <c r="A1119" s="120"/>
      <c r="B1119" s="120"/>
      <c r="C1119" s="120"/>
      <c r="D1119" s="120"/>
      <c r="E1119" s="120"/>
      <c r="F1119" s="120"/>
      <c r="G1119" s="120"/>
      <c r="H1119" s="120"/>
      <c r="I1119" s="120"/>
      <c r="J1119" s="195"/>
      <c r="K1119" s="195"/>
      <c r="L1119" s="195"/>
      <c r="M1119" s="195"/>
      <c r="N1119" s="195"/>
      <c r="O1119" s="195"/>
    </row>
    <row r="1120" spans="1:15">
      <c r="A1120" s="120" t="s">
        <v>119</v>
      </c>
      <c r="B1120" s="120"/>
      <c r="C1120" s="120"/>
      <c r="D1120" s="120"/>
      <c r="E1120" s="120"/>
      <c r="F1120" s="120"/>
      <c r="G1120" s="120"/>
      <c r="H1120" s="120"/>
      <c r="I1120" s="181">
        <v>850</v>
      </c>
      <c r="J1120" s="195"/>
      <c r="K1120" s="195"/>
      <c r="L1120" s="195"/>
      <c r="M1120" s="195"/>
      <c r="N1120" s="195"/>
      <c r="O1120" s="195"/>
    </row>
    <row r="1121" spans="1:15" ht="20.25">
      <c r="A1121" s="120" t="s">
        <v>120</v>
      </c>
      <c r="B1121" s="120"/>
      <c r="C1121" s="120"/>
      <c r="D1121" s="120"/>
      <c r="E1121" s="120"/>
      <c r="F1121" s="86" t="s">
        <v>272</v>
      </c>
      <c r="G1121" s="86" t="s">
        <v>122</v>
      </c>
      <c r="H1121" s="86" t="s">
        <v>123</v>
      </c>
      <c r="I1121" s="181">
        <v>400</v>
      </c>
      <c r="J1121" s="195"/>
      <c r="K1121" s="195"/>
      <c r="L1121" s="195"/>
      <c r="M1121" s="195"/>
      <c r="N1121" s="195"/>
      <c r="O1121" s="195"/>
    </row>
    <row r="1122" spans="1:15">
      <c r="A1122" s="120" t="s">
        <v>291</v>
      </c>
      <c r="B1122" s="120"/>
      <c r="C1122" s="120"/>
      <c r="D1122" s="120"/>
      <c r="E1122" s="120"/>
      <c r="F1122" s="182">
        <v>0.5</v>
      </c>
      <c r="G1122" s="182">
        <f>IF(I1114=13,80,85)</f>
        <v>85</v>
      </c>
      <c r="H1122" s="182">
        <f>+H1135</f>
        <v>50.354244326375103</v>
      </c>
      <c r="I1122" s="181">
        <f>IF(H1122&gt;=G1122,E1135*F1122%,0)</f>
        <v>0</v>
      </c>
      <c r="J1122" s="195"/>
      <c r="K1122" s="195"/>
      <c r="L1122" s="195"/>
      <c r="M1122" s="195"/>
      <c r="N1122" s="195"/>
      <c r="O1122" s="195"/>
    </row>
    <row r="1123" spans="1:15">
      <c r="A1123" s="120" t="str">
        <f>CONCATENATE("COM. MOROSIDAD AL ",G1123,"%")</f>
        <v>COM. MOROSIDAD AL 5%</v>
      </c>
      <c r="B1123" s="120"/>
      <c r="C1123" s="120"/>
      <c r="D1123" s="120"/>
      <c r="E1123" s="120"/>
      <c r="F1123" s="182">
        <v>0.3</v>
      </c>
      <c r="G1123" s="182">
        <v>5</v>
      </c>
      <c r="H1123" s="182">
        <f>+H1138</f>
        <v>28.13</v>
      </c>
      <c r="I1123" s="181">
        <f>+IF(H1123&lt;=G1123,E1135*F1123%,0)</f>
        <v>0</v>
      </c>
      <c r="J1123" s="195"/>
      <c r="K1123" s="195"/>
      <c r="L1123" s="195"/>
      <c r="M1123" s="195"/>
      <c r="N1123" s="195"/>
      <c r="O1123" s="195"/>
    </row>
    <row r="1124" spans="1:15">
      <c r="A1124" s="120" t="s">
        <v>292</v>
      </c>
      <c r="B1124" s="120"/>
      <c r="C1124" s="120"/>
      <c r="D1124" s="120"/>
      <c r="E1124" s="120"/>
      <c r="F1124" s="182">
        <f>IF(I1114=3,0.1,0.2)</f>
        <v>0.2</v>
      </c>
      <c r="G1124" s="182">
        <f>IF(I1114=23,50,85)</f>
        <v>85</v>
      </c>
      <c r="H1124" s="182">
        <f>+H1142</f>
        <v>36.263736263736263</v>
      </c>
      <c r="I1124" s="181">
        <f>IF(H1124&gt;=G1124,E1135*F1124%,0)</f>
        <v>0</v>
      </c>
      <c r="J1124" s="195"/>
      <c r="K1124" s="195"/>
      <c r="L1124" s="195"/>
      <c r="M1124" s="195"/>
      <c r="N1124" s="195"/>
      <c r="O1124" s="195"/>
    </row>
    <row r="1125" spans="1:15">
      <c r="A1125" s="120" t="str">
        <f>IF(I1114=23,"COMISION POR TIEMPODE VIAJE",IF(I1114=22,"BONIFICACION"," "))</f>
        <v xml:space="preserve"> </v>
      </c>
      <c r="B1125" s="120"/>
      <c r="C1125" s="120"/>
      <c r="D1125" s="120"/>
      <c r="E1125" s="120"/>
      <c r="F1125" s="120"/>
      <c r="G1125" s="120"/>
      <c r="H1125" s="182"/>
      <c r="I1125" s="181" t="str">
        <f>IF(I1114=23,300,IF(I1114=22,400," "))</f>
        <v xml:space="preserve"> </v>
      </c>
      <c r="J1125" s="195"/>
      <c r="K1125" s="195"/>
      <c r="L1125" s="195"/>
      <c r="M1125" s="195"/>
      <c r="N1125" s="195"/>
      <c r="O1125" s="195"/>
    </row>
    <row r="1126" spans="1:15">
      <c r="A1126" s="189" t="s">
        <v>274</v>
      </c>
      <c r="B1126" s="189"/>
      <c r="C1126" s="189"/>
      <c r="D1126" s="189"/>
      <c r="E1126" s="189"/>
      <c r="F1126" s="374" t="s">
        <v>275</v>
      </c>
      <c r="G1126" s="374"/>
      <c r="H1126" s="375" t="s">
        <v>276</v>
      </c>
      <c r="I1126" s="193"/>
      <c r="J1126" s="195"/>
      <c r="K1126" s="195"/>
      <c r="L1126" s="195"/>
      <c r="M1126" s="195"/>
      <c r="N1126" s="195"/>
      <c r="O1126" s="195"/>
    </row>
    <row r="1127" spans="1:15">
      <c r="A1127" s="189"/>
      <c r="B1127" s="189"/>
      <c r="C1127" s="189"/>
      <c r="D1127" s="189"/>
      <c r="E1127" s="189"/>
      <c r="F1127" s="374" t="s">
        <v>277</v>
      </c>
      <c r="G1127" s="374"/>
      <c r="H1127" s="375"/>
      <c r="I1127" s="376">
        <v>0</v>
      </c>
      <c r="J1127" s="195"/>
      <c r="K1127" s="195"/>
      <c r="L1127" s="195"/>
      <c r="M1127" s="195"/>
      <c r="N1127" s="195"/>
      <c r="O1127" s="195"/>
    </row>
    <row r="1128" spans="1:15">
      <c r="A1128" s="189"/>
      <c r="B1128" s="197"/>
      <c r="C1128" s="197"/>
      <c r="D1128" s="197"/>
      <c r="E1128" s="197"/>
      <c r="F1128" s="374" t="s">
        <v>278</v>
      </c>
      <c r="G1128" s="374"/>
      <c r="H1128" s="375"/>
      <c r="I1128" s="376"/>
      <c r="J1128" s="195"/>
      <c r="K1128" s="195"/>
      <c r="L1128" s="195"/>
      <c r="M1128" s="195"/>
      <c r="N1128" s="195"/>
      <c r="O1128" s="195"/>
    </row>
    <row r="1129" spans="1:15">
      <c r="A1129" s="189"/>
      <c r="B1129" s="197"/>
      <c r="C1129" s="197"/>
      <c r="D1129" s="197"/>
      <c r="E1129" s="197"/>
      <c r="F1129" s="374" t="s">
        <v>279</v>
      </c>
      <c r="G1129" s="374"/>
      <c r="H1129" s="375"/>
      <c r="I1129" s="198"/>
      <c r="J1129" s="195"/>
      <c r="K1129" s="195"/>
      <c r="L1129" s="195"/>
      <c r="M1129" s="195"/>
      <c r="N1129" s="195"/>
      <c r="O1129" s="195"/>
    </row>
    <row r="1130" spans="1:15">
      <c r="A1130" s="120"/>
      <c r="B1130" s="84" t="str">
        <f>IF(I1114=13,"Remuneracion Extra"," ")</f>
        <v xml:space="preserve"> </v>
      </c>
      <c r="C1130" s="120"/>
      <c r="D1130" s="120"/>
      <c r="E1130" s="120"/>
      <c r="F1130" s="120"/>
      <c r="G1130" s="120"/>
      <c r="H1130" s="120"/>
      <c r="I1130" s="183"/>
      <c r="J1130" s="195"/>
      <c r="K1130" s="195"/>
      <c r="L1130" s="195"/>
      <c r="M1130" s="195"/>
      <c r="N1130" s="195"/>
      <c r="O1130" s="195"/>
    </row>
    <row r="1131" spans="1:15" ht="15.75">
      <c r="A1131" s="184" t="s">
        <v>129</v>
      </c>
      <c r="B1131" s="185"/>
      <c r="C1131" s="185"/>
      <c r="D1131" s="185"/>
      <c r="E1131" s="185"/>
      <c r="F1131" s="185"/>
      <c r="G1131" s="185"/>
      <c r="H1131" s="185"/>
      <c r="I1131" s="186">
        <f>SUM(I1120:I1130)</f>
        <v>1250</v>
      </c>
      <c r="J1131" s="195"/>
      <c r="K1131" s="195"/>
      <c r="L1131" s="195"/>
      <c r="M1131" s="195"/>
      <c r="N1131" s="195"/>
      <c r="O1131" s="195"/>
    </row>
    <row r="1132" spans="1:15">
      <c r="A1132" s="120"/>
      <c r="B1132" s="120"/>
      <c r="C1132" s="120"/>
      <c r="D1132" s="120"/>
      <c r="E1132" s="120"/>
      <c r="F1132" s="120"/>
      <c r="G1132" s="120"/>
      <c r="H1132" s="120"/>
      <c r="I1132" s="120"/>
      <c r="J1132" s="195"/>
      <c r="K1132" s="195"/>
      <c r="L1132" s="195"/>
      <c r="M1132" s="195"/>
      <c r="N1132" s="195"/>
      <c r="O1132" s="195"/>
    </row>
    <row r="1133" spans="1:15">
      <c r="A1133" s="121" t="s">
        <v>130</v>
      </c>
      <c r="B1133" s="121"/>
      <c r="C1133" s="121"/>
      <c r="D1133" s="121"/>
      <c r="E1133" s="121"/>
      <c r="F1133" s="121"/>
      <c r="G1133" s="121"/>
      <c r="H1133" s="121"/>
      <c r="I1133" s="121"/>
      <c r="J1133" s="195"/>
      <c r="K1133" s="195"/>
      <c r="L1133" s="195"/>
      <c r="M1133" s="195"/>
      <c r="N1133" s="195"/>
      <c r="O1133" s="195"/>
    </row>
    <row r="1134" spans="1:15">
      <c r="A1134" s="121"/>
      <c r="B1134" s="121" t="s">
        <v>131</v>
      </c>
      <c r="C1134" s="121"/>
      <c r="D1134" s="121"/>
      <c r="E1134" s="187">
        <f>VLOOKUP(I1114,AVANCEVENDEDOR!$A$2:$R$35,7,0)</f>
        <v>160698.41</v>
      </c>
      <c r="F1134" s="187"/>
      <c r="G1134" s="121"/>
      <c r="H1134" s="121"/>
      <c r="I1134" s="121"/>
      <c r="J1134" s="195"/>
      <c r="K1134" s="195"/>
      <c r="L1134" s="195"/>
      <c r="M1134" s="199"/>
      <c r="N1134" s="200"/>
      <c r="O1134" s="195"/>
    </row>
    <row r="1135" spans="1:15">
      <c r="A1135" s="121"/>
      <c r="B1135" s="121" t="s">
        <v>132</v>
      </c>
      <c r="C1135" s="121"/>
      <c r="D1135" s="121"/>
      <c r="E1135" s="187">
        <f>IF(I1114=27,(VLOOKUP(I1114,AVANCEVENDEDOR!$A$2:$R$35,6,0)-I1111),(VLOOKUP(I1114,AVANCEVENDEDOR!$A$2:$R$35,6,0)))</f>
        <v>80918.47</v>
      </c>
      <c r="F1135" s="187"/>
      <c r="G1135" s="188" t="s">
        <v>133</v>
      </c>
      <c r="H1135" s="187">
        <f>+E1135*100/E1134</f>
        <v>50.354244326375103</v>
      </c>
      <c r="I1135" s="121"/>
      <c r="J1135" s="195"/>
      <c r="K1135" s="121"/>
      <c r="L1135" s="201"/>
      <c r="M1135" s="195"/>
      <c r="N1135" s="195"/>
      <c r="O1135" s="195"/>
    </row>
    <row r="1136" spans="1:15">
      <c r="A1136" s="121"/>
      <c r="B1136" s="121"/>
      <c r="C1136" s="121"/>
      <c r="D1136" s="121"/>
      <c r="E1136" s="121"/>
      <c r="F1136" s="121"/>
      <c r="G1136" s="188"/>
      <c r="H1136" s="121"/>
      <c r="I1136" s="121"/>
      <c r="J1136" s="195"/>
      <c r="K1136" s="195"/>
      <c r="L1136" s="195"/>
      <c r="M1136" s="195"/>
      <c r="N1136" s="195"/>
      <c r="O1136" s="195"/>
    </row>
    <row r="1137" spans="1:15">
      <c r="A1137" s="121"/>
      <c r="B1137" s="121" t="s">
        <v>134</v>
      </c>
      <c r="C1137" s="121"/>
      <c r="D1137" s="121"/>
      <c r="E1137" s="187">
        <f>VLOOKUP(I1114,AVANCEVENDEDOR!$A$2:$R$35,10,0)</f>
        <v>306158.3</v>
      </c>
      <c r="F1137" s="187"/>
      <c r="G1137" s="188"/>
      <c r="H1137" s="121"/>
      <c r="I1137" s="121"/>
      <c r="J1137" s="195"/>
      <c r="K1137" s="195"/>
      <c r="L1137" s="195"/>
      <c r="M1137" s="195"/>
      <c r="N1137" s="195"/>
      <c r="O1137" s="195"/>
    </row>
    <row r="1138" spans="1:15">
      <c r="A1138" s="121"/>
      <c r="B1138" s="121" t="s">
        <v>135</v>
      </c>
      <c r="C1138" s="121"/>
      <c r="D1138" s="121"/>
      <c r="E1138" s="187">
        <f>VLOOKUP(I1114,AVANCEVENDEDOR!$A$2:$R$35,11,0)</f>
        <v>86112.02</v>
      </c>
      <c r="F1138" s="187"/>
      <c r="G1138" s="188" t="s">
        <v>136</v>
      </c>
      <c r="H1138" s="187">
        <f>VLOOKUP(I1114,AVANCEVENDEDOR!$A$2:$R$35,15,0)</f>
        <v>28.13</v>
      </c>
      <c r="I1138" s="121"/>
      <c r="J1138" s="195"/>
      <c r="K1138" s="195"/>
      <c r="L1138" s="195"/>
      <c r="M1138" s="195"/>
      <c r="N1138" s="195"/>
      <c r="O1138" s="195"/>
    </row>
    <row r="1139" spans="1:15">
      <c r="A1139" s="121"/>
      <c r="B1139" s="121" t="s">
        <v>137</v>
      </c>
      <c r="C1139" s="121"/>
      <c r="D1139" s="121"/>
      <c r="E1139" s="187">
        <f>VLOOKUP(I1114,AVANCEVENDEDOR!$A$2:$R$35,9,0)</f>
        <v>128132.72</v>
      </c>
      <c r="F1139" s="187"/>
      <c r="G1139" s="188"/>
      <c r="H1139" s="121"/>
      <c r="I1139" s="121"/>
      <c r="J1139" s="195"/>
      <c r="K1139" s="195"/>
      <c r="L1139" s="195"/>
      <c r="M1139" s="195"/>
      <c r="N1139" s="195"/>
      <c r="O1139" s="195"/>
    </row>
    <row r="1140" spans="1:15">
      <c r="A1140" s="121"/>
      <c r="B1140" s="121"/>
      <c r="C1140" s="121"/>
      <c r="D1140" s="121"/>
      <c r="E1140" s="121"/>
      <c r="F1140" s="121"/>
      <c r="G1140" s="188"/>
      <c r="H1140" s="121"/>
      <c r="I1140" s="121"/>
      <c r="J1140" s="195"/>
      <c r="K1140" s="195"/>
      <c r="L1140" s="195"/>
      <c r="M1140" s="195"/>
      <c r="N1140" s="195"/>
      <c r="O1140" s="195"/>
    </row>
    <row r="1141" spans="1:15">
      <c r="A1141" s="121"/>
      <c r="B1141" s="121" t="s">
        <v>280</v>
      </c>
      <c r="C1141" s="121"/>
      <c r="D1141" s="121"/>
      <c r="E1141" s="187">
        <f>VLOOKUP(I1114,AVANCEVENDEDOR!$A$2:$R$35,13,0)</f>
        <v>91</v>
      </c>
      <c r="F1141" s="187"/>
      <c r="G1141" s="121"/>
      <c r="H1141" s="187"/>
      <c r="I1141" s="121"/>
      <c r="J1141" s="195"/>
      <c r="K1141" s="195"/>
      <c r="L1141" s="195"/>
      <c r="M1141" s="195"/>
      <c r="N1141" s="195"/>
      <c r="O1141" s="195"/>
    </row>
    <row r="1142" spans="1:15">
      <c r="A1142" s="121"/>
      <c r="B1142" s="121" t="s">
        <v>281</v>
      </c>
      <c r="C1142" s="121"/>
      <c r="D1142" s="121"/>
      <c r="E1142" s="187">
        <f>VLOOKUP(I1114,AVANCEVENDEDOR!$A$2:$R$35,14,0)</f>
        <v>33</v>
      </c>
      <c r="F1142" s="187"/>
      <c r="G1142" s="188" t="s">
        <v>140</v>
      </c>
      <c r="H1142" s="187">
        <f>+E1142*100/E1141</f>
        <v>36.263736263736263</v>
      </c>
      <c r="I1142" s="121"/>
      <c r="J1142" s="195"/>
      <c r="K1142" s="195"/>
      <c r="L1142" s="195"/>
      <c r="M1142" s="195"/>
      <c r="N1142" s="195"/>
      <c r="O1142" s="195"/>
    </row>
    <row r="1143" spans="1:15">
      <c r="J1143" s="195"/>
      <c r="K1143" s="195"/>
      <c r="L1143" s="195"/>
      <c r="M1143" s="195"/>
      <c r="N1143" s="195"/>
      <c r="O1143" s="195"/>
    </row>
    <row r="1144" spans="1:15" hidden="1">
      <c r="F1144">
        <v>99</v>
      </c>
    </row>
    <row r="1145" spans="1:15" hidden="1">
      <c r="F1145">
        <v>100</v>
      </c>
      <c r="G1145">
        <v>100</v>
      </c>
    </row>
    <row r="1146" spans="1:15" hidden="1">
      <c r="F1146">
        <v>101</v>
      </c>
      <c r="G1146">
        <v>100</v>
      </c>
    </row>
    <row r="1147" spans="1:15" hidden="1">
      <c r="F1147">
        <v>102</v>
      </c>
      <c r="G1147">
        <v>100</v>
      </c>
    </row>
    <row r="1148" spans="1:15" hidden="1">
      <c r="F1148">
        <v>103</v>
      </c>
      <c r="G1148">
        <v>100</v>
      </c>
    </row>
    <row r="1149" spans="1:15" hidden="1">
      <c r="F1149">
        <v>104</v>
      </c>
      <c r="G1149">
        <v>100</v>
      </c>
    </row>
    <row r="1150" spans="1:15" hidden="1">
      <c r="F1150">
        <v>105</v>
      </c>
      <c r="G1150">
        <v>100</v>
      </c>
    </row>
    <row r="1151" spans="1:15" hidden="1">
      <c r="F1151">
        <v>106</v>
      </c>
      <c r="G1151">
        <v>200</v>
      </c>
    </row>
    <row r="1152" spans="1:15" hidden="1">
      <c r="F1152">
        <v>107</v>
      </c>
      <c r="G1152">
        <v>200</v>
      </c>
    </row>
    <row r="1153" spans="6:7" hidden="1">
      <c r="F1153">
        <v>108</v>
      </c>
      <c r="G1153">
        <v>200</v>
      </c>
    </row>
    <row r="1154" spans="6:7" hidden="1">
      <c r="F1154">
        <v>109</v>
      </c>
      <c r="G1154">
        <v>200</v>
      </c>
    </row>
    <row r="1155" spans="6:7" hidden="1">
      <c r="F1155">
        <v>110</v>
      </c>
      <c r="G1155">
        <v>200</v>
      </c>
    </row>
    <row r="1156" spans="6:7" hidden="1">
      <c r="F1156">
        <v>111</v>
      </c>
      <c r="G1156">
        <v>200</v>
      </c>
    </row>
    <row r="1157" spans="6:7" hidden="1">
      <c r="F1157">
        <v>112</v>
      </c>
      <c r="G1157">
        <v>200</v>
      </c>
    </row>
    <row r="1158" spans="6:7" hidden="1">
      <c r="F1158">
        <v>113</v>
      </c>
      <c r="G1158">
        <v>200</v>
      </c>
    </row>
    <row r="1159" spans="6:7" hidden="1">
      <c r="F1159">
        <v>114</v>
      </c>
      <c r="G1159">
        <v>200</v>
      </c>
    </row>
    <row r="1160" spans="6:7" hidden="1">
      <c r="F1160">
        <v>115</v>
      </c>
      <c r="G1160">
        <v>300</v>
      </c>
    </row>
    <row r="1161" spans="6:7" hidden="1">
      <c r="F1161">
        <v>116</v>
      </c>
      <c r="G1161">
        <v>300</v>
      </c>
    </row>
    <row r="1162" spans="6:7" hidden="1">
      <c r="F1162">
        <v>117</v>
      </c>
      <c r="G1162">
        <v>300</v>
      </c>
    </row>
    <row r="1163" spans="6:7" hidden="1">
      <c r="F1163">
        <v>118</v>
      </c>
      <c r="G1163">
        <v>300</v>
      </c>
    </row>
    <row r="1164" spans="6:7" hidden="1">
      <c r="F1164">
        <v>119</v>
      </c>
      <c r="G1164">
        <v>300</v>
      </c>
    </row>
    <row r="1165" spans="6:7" hidden="1">
      <c r="F1165">
        <v>120</v>
      </c>
      <c r="G1165">
        <v>300</v>
      </c>
    </row>
    <row r="1166" spans="6:7" hidden="1">
      <c r="F1166">
        <v>121</v>
      </c>
      <c r="G1166">
        <v>400</v>
      </c>
    </row>
    <row r="1167" spans="6:7" hidden="1">
      <c r="F1167">
        <v>122</v>
      </c>
      <c r="G1167">
        <v>400</v>
      </c>
    </row>
    <row r="1185" spans="1:15">
      <c r="A1185" s="84" t="s">
        <v>112</v>
      </c>
      <c r="B1185" s="120"/>
      <c r="C1185" s="120"/>
      <c r="D1185" s="120"/>
      <c r="E1185" s="120"/>
      <c r="F1185" s="120"/>
      <c r="G1185" s="120"/>
      <c r="H1185" s="120"/>
      <c r="I1185" s="189"/>
      <c r="J1185" s="195"/>
      <c r="K1185" s="195"/>
      <c r="L1185" s="195"/>
      <c r="M1185" s="195"/>
      <c r="N1185" s="195"/>
      <c r="O1185" s="195"/>
    </row>
    <row r="1186" spans="1:15">
      <c r="A1186" s="84" t="s">
        <v>113</v>
      </c>
      <c r="B1186" s="120"/>
      <c r="C1186" s="120"/>
      <c r="D1186" s="120"/>
      <c r="E1186" s="120"/>
      <c r="F1186" s="120"/>
      <c r="G1186" s="120"/>
      <c r="H1186" s="120"/>
      <c r="I1186" s="179" t="str">
        <f>+CONCATENATE("20142_",I1188)</f>
        <v>20142_25</v>
      </c>
      <c r="J1186" s="195"/>
      <c r="K1186" s="195"/>
      <c r="L1186" s="195"/>
      <c r="M1186" s="195"/>
      <c r="N1186" s="195"/>
      <c r="O1186" s="195"/>
    </row>
    <row r="1187" spans="1:15">
      <c r="A1187" s="84" t="s">
        <v>114</v>
      </c>
      <c r="B1187" s="120"/>
      <c r="C1187" s="120"/>
      <c r="D1187" s="120"/>
      <c r="E1187" s="120"/>
      <c r="F1187" s="120"/>
      <c r="G1187" s="120"/>
      <c r="H1187" s="120"/>
      <c r="I1187" s="120"/>
      <c r="J1187" s="195"/>
      <c r="K1187" s="195"/>
      <c r="L1187" s="195"/>
      <c r="M1187" s="195"/>
      <c r="N1187" s="195"/>
      <c r="O1187" s="195"/>
    </row>
    <row r="1188" spans="1:15">
      <c r="A1188" s="120"/>
      <c r="B1188" s="120"/>
      <c r="C1188" s="120"/>
      <c r="D1188" s="120"/>
      <c r="E1188" s="120"/>
      <c r="F1188" s="120"/>
      <c r="G1188" s="120"/>
      <c r="H1188" s="120"/>
      <c r="I1188" s="191">
        <v>25</v>
      </c>
      <c r="J1188" s="195"/>
      <c r="K1188" s="195"/>
      <c r="L1188" s="195"/>
      <c r="M1188" s="195"/>
      <c r="N1188" s="195"/>
      <c r="O1188" s="195"/>
    </row>
    <row r="1189" spans="1:15">
      <c r="A1189" s="120" t="s">
        <v>115</v>
      </c>
      <c r="B1189" s="120"/>
      <c r="C1189" s="120"/>
      <c r="D1189" s="120"/>
      <c r="E1189" s="120"/>
      <c r="F1189" s="120"/>
      <c r="G1189" s="120"/>
      <c r="H1189" s="120"/>
      <c r="I1189" s="83">
        <f>I5</f>
        <v>43800</v>
      </c>
      <c r="J1189" s="195"/>
      <c r="K1189" s="195"/>
      <c r="L1189" s="195"/>
      <c r="M1189" s="195"/>
      <c r="N1189" s="195"/>
      <c r="O1189" s="195"/>
    </row>
    <row r="1190" spans="1:15">
      <c r="A1190" s="120"/>
      <c r="B1190" s="120"/>
      <c r="C1190" s="120"/>
      <c r="D1190" s="120"/>
      <c r="E1190" s="120"/>
      <c r="F1190" s="120"/>
      <c r="G1190" s="120"/>
      <c r="H1190" s="120"/>
      <c r="I1190" s="120"/>
      <c r="J1190" s="195"/>
      <c r="K1190" s="195"/>
      <c r="L1190" s="195"/>
      <c r="M1190" s="195"/>
      <c r="N1190" s="195"/>
      <c r="O1190" s="195"/>
    </row>
    <row r="1191" spans="1:15">
      <c r="A1191" s="120" t="s">
        <v>116</v>
      </c>
      <c r="B1191" s="120"/>
      <c r="C1191" s="84" t="str">
        <f>VLOOKUP(I1188,AVANCEVENDEDOR!$A$2:$R$35,3,0)</f>
        <v>OLAECHEA LOZANO DANNY MANUEL</v>
      </c>
      <c r="D1191" s="120"/>
      <c r="E1191" s="120"/>
      <c r="F1191" s="120"/>
      <c r="G1191" s="120"/>
      <c r="H1191" s="120"/>
      <c r="I1191" s="120"/>
      <c r="J1191" s="195"/>
      <c r="K1191" s="195"/>
      <c r="L1191" s="195"/>
      <c r="M1191" s="195"/>
      <c r="N1191" s="195"/>
      <c r="O1191" s="195"/>
    </row>
    <row r="1192" spans="1:15">
      <c r="A1192" s="120"/>
      <c r="B1192" s="120"/>
      <c r="C1192" s="120"/>
      <c r="D1192" s="120"/>
      <c r="E1192" s="120"/>
      <c r="F1192" s="120"/>
      <c r="G1192" s="120"/>
      <c r="H1192" s="120"/>
      <c r="I1192" s="84" t="s">
        <v>118</v>
      </c>
      <c r="J1192" s="195"/>
      <c r="K1192" s="195"/>
      <c r="L1192" s="195"/>
      <c r="M1192" s="195"/>
      <c r="N1192" s="195"/>
      <c r="O1192" s="195"/>
    </row>
    <row r="1193" spans="1:15">
      <c r="A1193" s="120"/>
      <c r="B1193" s="120"/>
      <c r="C1193" s="120"/>
      <c r="D1193" s="120"/>
      <c r="E1193" s="120"/>
      <c r="F1193" s="120"/>
      <c r="G1193" s="120"/>
      <c r="H1193" s="120"/>
      <c r="I1193" s="120"/>
      <c r="J1193" s="195"/>
      <c r="K1193" s="195"/>
      <c r="L1193" s="195"/>
      <c r="M1193" s="195"/>
      <c r="N1193" s="195"/>
      <c r="O1193" s="195"/>
    </row>
    <row r="1194" spans="1:15">
      <c r="A1194" s="120" t="s">
        <v>119</v>
      </c>
      <c r="B1194" s="120"/>
      <c r="C1194" s="120"/>
      <c r="D1194" s="120"/>
      <c r="E1194" s="120"/>
      <c r="F1194" s="120"/>
      <c r="G1194" s="120"/>
      <c r="H1194" s="120"/>
      <c r="I1194" s="181">
        <v>1250</v>
      </c>
      <c r="J1194" s="195"/>
      <c r="K1194" s="195"/>
      <c r="L1194" s="195"/>
      <c r="M1194" s="195"/>
      <c r="N1194" s="195"/>
      <c r="O1194" s="195"/>
    </row>
    <row r="1195" spans="1:15" ht="20.25">
      <c r="A1195" s="120" t="s">
        <v>120</v>
      </c>
      <c r="B1195" s="120"/>
      <c r="C1195" s="120"/>
      <c r="D1195" s="120"/>
      <c r="E1195" s="120"/>
      <c r="F1195" s="86" t="s">
        <v>272</v>
      </c>
      <c r="G1195" s="86" t="s">
        <v>122</v>
      </c>
      <c r="H1195" s="86" t="s">
        <v>123</v>
      </c>
      <c r="I1195" s="181">
        <v>400</v>
      </c>
      <c r="J1195" s="195"/>
      <c r="K1195" s="195"/>
      <c r="L1195" s="195"/>
      <c r="M1195" s="195"/>
      <c r="N1195" s="195"/>
      <c r="O1195" s="195"/>
    </row>
    <row r="1196" spans="1:15">
      <c r="A1196" s="120" t="s">
        <v>291</v>
      </c>
      <c r="B1196" s="120"/>
      <c r="C1196" s="120"/>
      <c r="D1196" s="120"/>
      <c r="E1196" s="120"/>
      <c r="F1196" s="182">
        <v>0.5</v>
      </c>
      <c r="G1196" s="182">
        <f>IF(I1188=13,80,85)</f>
        <v>85</v>
      </c>
      <c r="H1196" s="182">
        <f>+H1209</f>
        <v>85.340871360548405</v>
      </c>
      <c r="I1196" s="181">
        <f>IF(H1196&gt;=G1196,E1209*F1196%,0)</f>
        <v>612.37345000000005</v>
      </c>
      <c r="J1196" s="195"/>
      <c r="K1196" s="195"/>
      <c r="L1196" s="195"/>
      <c r="M1196" s="195"/>
      <c r="N1196" s="195"/>
      <c r="O1196" s="195"/>
    </row>
    <row r="1197" spans="1:15">
      <c r="A1197" s="120" t="str">
        <f>CONCATENATE("COM. MOROSIDAD AL ",G1197,"%")</f>
        <v>COM. MOROSIDAD AL 5%</v>
      </c>
      <c r="B1197" s="120"/>
      <c r="C1197" s="120"/>
      <c r="D1197" s="120"/>
      <c r="E1197" s="120"/>
      <c r="F1197" s="182">
        <v>0.3</v>
      </c>
      <c r="G1197" s="182">
        <v>5</v>
      </c>
      <c r="H1197" s="182">
        <f>+H1212</f>
        <v>26.14</v>
      </c>
      <c r="I1197" s="181">
        <f>+IF(H1197&lt;=G1197,E1209*F1197%,0)</f>
        <v>0</v>
      </c>
      <c r="J1197" s="195"/>
      <c r="K1197" s="195"/>
      <c r="L1197" s="195"/>
      <c r="M1197" s="195"/>
      <c r="N1197" s="195"/>
      <c r="O1197" s="195"/>
    </row>
    <row r="1198" spans="1:15">
      <c r="A1198" s="120" t="s">
        <v>292</v>
      </c>
      <c r="B1198" s="120"/>
      <c r="C1198" s="120"/>
      <c r="D1198" s="120"/>
      <c r="E1198" s="120"/>
      <c r="F1198" s="182">
        <f>IF(I1188=3,0.1,0.2)</f>
        <v>0.2</v>
      </c>
      <c r="G1198" s="182">
        <f>IF(I1188=23,50,85)</f>
        <v>85</v>
      </c>
      <c r="H1198" s="182">
        <f>+H1216</f>
        <v>36.708860759493668</v>
      </c>
      <c r="I1198" s="181">
        <f>IF(H1198&gt;=G1198,E1209*F1198%,0)</f>
        <v>0</v>
      </c>
      <c r="J1198" s="195"/>
      <c r="K1198" s="195"/>
      <c r="L1198" s="195"/>
      <c r="M1198" s="195"/>
      <c r="N1198" s="195"/>
      <c r="O1198" s="195"/>
    </row>
    <row r="1199" spans="1:15">
      <c r="A1199" s="120" t="str">
        <f>IF(I1188=23,"COMISION POR TIEMPODE VIAJE",IF(I1188=22,"BONIFICACION"," "))</f>
        <v xml:space="preserve"> </v>
      </c>
      <c r="B1199" s="120"/>
      <c r="C1199" s="120"/>
      <c r="D1199" s="120"/>
      <c r="E1199" s="120"/>
      <c r="F1199" s="120"/>
      <c r="G1199" s="120"/>
      <c r="H1199" s="182"/>
      <c r="I1199" s="181" t="str">
        <f>IF(I1188=23,300,IF(I1188=22,400," "))</f>
        <v xml:space="preserve"> </v>
      </c>
      <c r="J1199" s="195"/>
      <c r="K1199" s="195"/>
      <c r="L1199" s="195"/>
      <c r="M1199" s="195"/>
      <c r="N1199" s="195"/>
      <c r="O1199" s="195"/>
    </row>
    <row r="1200" spans="1:15">
      <c r="A1200" s="189" t="s">
        <v>274</v>
      </c>
      <c r="B1200" s="189"/>
      <c r="C1200" s="189"/>
      <c r="D1200" s="189"/>
      <c r="E1200" s="189"/>
      <c r="F1200" s="374" t="s">
        <v>275</v>
      </c>
      <c r="G1200" s="374"/>
      <c r="H1200" s="375" t="s">
        <v>276</v>
      </c>
      <c r="I1200" s="193"/>
      <c r="J1200" s="195"/>
      <c r="K1200" s="195"/>
      <c r="L1200" s="195"/>
      <c r="M1200" s="195"/>
      <c r="N1200" s="195"/>
      <c r="O1200" s="195"/>
    </row>
    <row r="1201" spans="1:15">
      <c r="A1201" s="189"/>
      <c r="B1201" s="189"/>
      <c r="C1201" s="189"/>
      <c r="D1201" s="189"/>
      <c r="E1201" s="189"/>
      <c r="F1201" s="374" t="s">
        <v>277</v>
      </c>
      <c r="G1201" s="374"/>
      <c r="H1201" s="375"/>
      <c r="I1201" s="376">
        <v>0</v>
      </c>
      <c r="J1201" s="195"/>
      <c r="K1201" s="195"/>
      <c r="L1201" s="195"/>
      <c r="M1201" s="195"/>
      <c r="N1201" s="195"/>
      <c r="O1201" s="195"/>
    </row>
    <row r="1202" spans="1:15">
      <c r="A1202" s="189"/>
      <c r="B1202" s="197"/>
      <c r="C1202" s="197"/>
      <c r="D1202" s="197"/>
      <c r="E1202" s="197"/>
      <c r="F1202" s="374" t="s">
        <v>278</v>
      </c>
      <c r="G1202" s="374"/>
      <c r="H1202" s="375"/>
      <c r="I1202" s="376"/>
      <c r="J1202" s="195"/>
      <c r="K1202" s="195"/>
      <c r="L1202" s="195"/>
      <c r="M1202" s="195"/>
      <c r="N1202" s="195"/>
      <c r="O1202" s="195"/>
    </row>
    <row r="1203" spans="1:15">
      <c r="A1203" s="189"/>
      <c r="B1203" s="197"/>
      <c r="C1203" s="197"/>
      <c r="D1203" s="197"/>
      <c r="E1203" s="197"/>
      <c r="F1203" s="374" t="s">
        <v>279</v>
      </c>
      <c r="G1203" s="374"/>
      <c r="H1203" s="375"/>
      <c r="I1203" s="198"/>
      <c r="J1203" s="195"/>
      <c r="K1203" s="195"/>
      <c r="L1203" s="195"/>
      <c r="M1203" s="195"/>
      <c r="N1203" s="195"/>
      <c r="O1203" s="195"/>
    </row>
    <row r="1204" spans="1:15">
      <c r="A1204" s="120"/>
      <c r="B1204" s="84" t="str">
        <f>IF(I1188=13,"Remuneracion Extra"," ")</f>
        <v xml:space="preserve"> </v>
      </c>
      <c r="C1204" s="120"/>
      <c r="D1204" s="120"/>
      <c r="E1204" s="120"/>
      <c r="F1204" s="120"/>
      <c r="G1204" s="120"/>
      <c r="H1204" s="120"/>
      <c r="I1204" s="183"/>
      <c r="J1204" s="195"/>
      <c r="K1204" s="195"/>
      <c r="L1204" s="195"/>
      <c r="M1204" s="195"/>
      <c r="N1204" s="195"/>
      <c r="O1204" s="195"/>
    </row>
    <row r="1205" spans="1:15" ht="15.75">
      <c r="A1205" s="184" t="s">
        <v>129</v>
      </c>
      <c r="B1205" s="185"/>
      <c r="C1205" s="185"/>
      <c r="D1205" s="185"/>
      <c r="E1205" s="185"/>
      <c r="F1205" s="185"/>
      <c r="G1205" s="185"/>
      <c r="H1205" s="185"/>
      <c r="I1205" s="186">
        <f>SUM(I1194:I1204)</f>
        <v>2262.37345</v>
      </c>
      <c r="J1205" s="195"/>
      <c r="K1205" s="195"/>
      <c r="L1205" s="195"/>
      <c r="M1205" s="195"/>
      <c r="N1205" s="195"/>
      <c r="O1205" s="195"/>
    </row>
    <row r="1206" spans="1:15">
      <c r="A1206" s="120"/>
      <c r="B1206" s="120"/>
      <c r="C1206" s="120"/>
      <c r="D1206" s="120"/>
      <c r="E1206" s="120"/>
      <c r="F1206" s="120"/>
      <c r="G1206" s="120"/>
      <c r="H1206" s="120"/>
      <c r="I1206" s="120"/>
      <c r="J1206" s="195"/>
      <c r="K1206" s="195"/>
      <c r="L1206" s="195"/>
      <c r="M1206" s="195"/>
      <c r="N1206" s="195"/>
      <c r="O1206" s="195"/>
    </row>
    <row r="1207" spans="1:15">
      <c r="A1207" s="121" t="s">
        <v>130</v>
      </c>
      <c r="B1207" s="121"/>
      <c r="C1207" s="121"/>
      <c r="D1207" s="121"/>
      <c r="E1207" s="121"/>
      <c r="F1207" s="121"/>
      <c r="G1207" s="121"/>
      <c r="H1207" s="121"/>
      <c r="I1207" s="121"/>
      <c r="J1207" s="195"/>
      <c r="K1207" s="195"/>
      <c r="L1207" s="195"/>
      <c r="M1207" s="195"/>
      <c r="N1207" s="195"/>
      <c r="O1207" s="195"/>
    </row>
    <row r="1208" spans="1:15">
      <c r="A1208" s="121"/>
      <c r="B1208" s="121" t="s">
        <v>131</v>
      </c>
      <c r="C1208" s="121"/>
      <c r="D1208" s="121"/>
      <c r="E1208" s="187">
        <f>VLOOKUP(I1188,AVANCEVENDEDOR!$A$2:$R$35,7,0)</f>
        <v>143512.35</v>
      </c>
      <c r="F1208" s="187"/>
      <c r="G1208" s="121"/>
      <c r="H1208" s="121"/>
      <c r="I1208" s="121"/>
      <c r="J1208" s="195"/>
      <c r="K1208" s="195"/>
      <c r="L1208" s="195"/>
      <c r="M1208" s="199"/>
      <c r="N1208" s="200"/>
      <c r="O1208" s="195"/>
    </row>
    <row r="1209" spans="1:15">
      <c r="A1209" s="121"/>
      <c r="B1209" s="121" t="s">
        <v>132</v>
      </c>
      <c r="C1209" s="121"/>
      <c r="D1209" s="121"/>
      <c r="E1209" s="187">
        <f>IF(I1188=27,(VLOOKUP(I1188,AVANCEVENDEDOR!$A$2:$R$35,6,0)-I1185),(VLOOKUP(I1188,AVANCEVENDEDOR!$A$2:$R$35,6,0)))</f>
        <v>122474.69</v>
      </c>
      <c r="F1209" s="187"/>
      <c r="G1209" s="188" t="s">
        <v>133</v>
      </c>
      <c r="H1209" s="187">
        <f>+E1209*100/E1208</f>
        <v>85.340871360548405</v>
      </c>
      <c r="I1209" s="121"/>
      <c r="J1209" s="195"/>
      <c r="K1209" s="121"/>
      <c r="L1209" s="201"/>
      <c r="M1209" s="195"/>
      <c r="N1209" s="195"/>
      <c r="O1209" s="195"/>
    </row>
    <row r="1210" spans="1:15">
      <c r="A1210" s="121"/>
      <c r="B1210" s="121"/>
      <c r="C1210" s="121"/>
      <c r="D1210" s="121"/>
      <c r="E1210" s="121"/>
      <c r="F1210" s="121"/>
      <c r="G1210" s="188"/>
      <c r="H1210" s="121"/>
      <c r="I1210" s="121"/>
      <c r="J1210" s="195"/>
      <c r="K1210" s="195"/>
      <c r="L1210" s="195"/>
      <c r="M1210" s="195"/>
      <c r="N1210" s="195"/>
      <c r="O1210" s="195"/>
    </row>
    <row r="1211" spans="1:15">
      <c r="A1211" s="121"/>
      <c r="B1211" s="121" t="s">
        <v>134</v>
      </c>
      <c r="C1211" s="121"/>
      <c r="D1211" s="121"/>
      <c r="E1211" s="187">
        <f>VLOOKUP(I1188,AVANCEVENDEDOR!$A$2:$R$35,10,0)</f>
        <v>359891.08</v>
      </c>
      <c r="F1211" s="187"/>
      <c r="G1211" s="188"/>
      <c r="H1211" s="121"/>
      <c r="I1211" s="121"/>
      <c r="J1211" s="195"/>
      <c r="K1211" s="195"/>
      <c r="L1211" s="195"/>
      <c r="M1211" s="195"/>
      <c r="N1211" s="195"/>
      <c r="O1211" s="195"/>
    </row>
    <row r="1212" spans="1:15">
      <c r="A1212" s="121"/>
      <c r="B1212" s="121" t="s">
        <v>135</v>
      </c>
      <c r="C1212" s="121"/>
      <c r="D1212" s="121"/>
      <c r="E1212" s="187">
        <f>VLOOKUP(I1188,AVANCEVENDEDOR!$A$2:$R$35,11,0)</f>
        <v>94070.74</v>
      </c>
      <c r="F1212" s="187"/>
      <c r="G1212" s="188" t="s">
        <v>136</v>
      </c>
      <c r="H1212" s="187">
        <f>VLOOKUP(I1188,AVANCEVENDEDOR!$A$2:$R$35,15,0)</f>
        <v>26.14</v>
      </c>
      <c r="I1212" s="121"/>
      <c r="J1212" s="195"/>
      <c r="K1212" s="195"/>
      <c r="L1212" s="195"/>
      <c r="M1212" s="195"/>
      <c r="N1212" s="195"/>
      <c r="O1212" s="195"/>
    </row>
    <row r="1213" spans="1:15">
      <c r="A1213" s="121"/>
      <c r="B1213" s="121" t="s">
        <v>137</v>
      </c>
      <c r="C1213" s="121"/>
      <c r="D1213" s="121"/>
      <c r="E1213" s="187">
        <f>VLOOKUP(I1188,AVANCEVENDEDOR!$A$2:$R$35,9,0)</f>
        <v>118204.35</v>
      </c>
      <c r="F1213" s="187"/>
      <c r="G1213" s="188"/>
      <c r="H1213" s="121"/>
      <c r="I1213" s="121"/>
      <c r="J1213" s="195"/>
      <c r="K1213" s="195"/>
      <c r="L1213" s="195"/>
      <c r="M1213" s="195"/>
      <c r="N1213" s="195"/>
      <c r="O1213" s="195"/>
    </row>
    <row r="1214" spans="1:15">
      <c r="A1214" s="121"/>
      <c r="B1214" s="121"/>
      <c r="C1214" s="121"/>
      <c r="D1214" s="121"/>
      <c r="E1214" s="121"/>
      <c r="F1214" s="121"/>
      <c r="G1214" s="188"/>
      <c r="H1214" s="121"/>
      <c r="I1214" s="121"/>
      <c r="J1214" s="195"/>
      <c r="K1214" s="195"/>
      <c r="L1214" s="195"/>
      <c r="M1214" s="195"/>
      <c r="N1214" s="195"/>
      <c r="O1214" s="195"/>
    </row>
    <row r="1215" spans="1:15">
      <c r="A1215" s="121"/>
      <c r="B1215" s="121" t="s">
        <v>280</v>
      </c>
      <c r="C1215" s="121"/>
      <c r="D1215" s="121"/>
      <c r="E1215" s="187">
        <f>VLOOKUP(I1188,AVANCEVENDEDOR!$A$2:$R$35,13,0)</f>
        <v>79</v>
      </c>
      <c r="F1215" s="187"/>
      <c r="G1215" s="121"/>
      <c r="H1215" s="187"/>
      <c r="I1215" s="121"/>
      <c r="J1215" s="195"/>
      <c r="K1215" s="195"/>
      <c r="L1215" s="195"/>
      <c r="M1215" s="195"/>
      <c r="N1215" s="195"/>
      <c r="O1215" s="195"/>
    </row>
    <row r="1216" spans="1:15">
      <c r="A1216" s="121"/>
      <c r="B1216" s="121" t="s">
        <v>281</v>
      </c>
      <c r="C1216" s="121"/>
      <c r="D1216" s="121"/>
      <c r="E1216" s="187">
        <f>VLOOKUP(I1188,AVANCEVENDEDOR!$A$2:$R$35,14,0)</f>
        <v>29</v>
      </c>
      <c r="F1216" s="187"/>
      <c r="G1216" s="188" t="s">
        <v>140</v>
      </c>
      <c r="H1216" s="187">
        <f>+E1216*100/E1215</f>
        <v>36.708860759493668</v>
      </c>
      <c r="I1216" s="121"/>
      <c r="J1216" s="195"/>
      <c r="K1216" s="195"/>
      <c r="L1216" s="195"/>
      <c r="M1216" s="195"/>
      <c r="N1216" s="195"/>
      <c r="O1216" s="195"/>
    </row>
    <row r="1217" spans="6:15">
      <c r="J1217" s="195"/>
      <c r="K1217" s="195"/>
      <c r="L1217" s="195"/>
      <c r="M1217" s="195"/>
      <c r="N1217" s="195"/>
      <c r="O1217" s="195"/>
    </row>
    <row r="1218" spans="6:15" hidden="1">
      <c r="F1218">
        <v>99</v>
      </c>
    </row>
    <row r="1219" spans="6:15" hidden="1">
      <c r="F1219">
        <v>100</v>
      </c>
      <c r="G1219">
        <v>100</v>
      </c>
    </row>
    <row r="1220" spans="6:15" hidden="1">
      <c r="F1220">
        <v>101</v>
      </c>
      <c r="G1220">
        <v>100</v>
      </c>
    </row>
    <row r="1221" spans="6:15" hidden="1">
      <c r="F1221">
        <v>102</v>
      </c>
      <c r="G1221">
        <v>100</v>
      </c>
    </row>
    <row r="1222" spans="6:15" hidden="1">
      <c r="F1222">
        <v>103</v>
      </c>
      <c r="G1222">
        <v>100</v>
      </c>
    </row>
    <row r="1223" spans="6:15" hidden="1">
      <c r="F1223">
        <v>104</v>
      </c>
      <c r="G1223">
        <v>100</v>
      </c>
    </row>
    <row r="1224" spans="6:15" hidden="1">
      <c r="F1224">
        <v>105</v>
      </c>
      <c r="G1224">
        <v>100</v>
      </c>
    </row>
    <row r="1225" spans="6:15" hidden="1">
      <c r="F1225">
        <v>106</v>
      </c>
      <c r="G1225">
        <v>200</v>
      </c>
    </row>
    <row r="1226" spans="6:15" hidden="1">
      <c r="F1226">
        <v>107</v>
      </c>
      <c r="G1226">
        <v>200</v>
      </c>
    </row>
    <row r="1227" spans="6:15" hidden="1">
      <c r="F1227">
        <v>108</v>
      </c>
      <c r="G1227">
        <v>200</v>
      </c>
    </row>
    <row r="1228" spans="6:15" hidden="1">
      <c r="F1228">
        <v>109</v>
      </c>
      <c r="G1228">
        <v>200</v>
      </c>
    </row>
    <row r="1229" spans="6:15" hidden="1">
      <c r="F1229">
        <v>110</v>
      </c>
      <c r="G1229">
        <v>200</v>
      </c>
    </row>
    <row r="1230" spans="6:15" hidden="1">
      <c r="F1230">
        <v>111</v>
      </c>
      <c r="G1230">
        <v>200</v>
      </c>
    </row>
    <row r="1231" spans="6:15" hidden="1">
      <c r="F1231">
        <v>112</v>
      </c>
      <c r="G1231">
        <v>200</v>
      </c>
    </row>
    <row r="1232" spans="6:15" hidden="1">
      <c r="F1232">
        <v>113</v>
      </c>
      <c r="G1232">
        <v>200</v>
      </c>
    </row>
    <row r="1233" spans="6:7" hidden="1">
      <c r="F1233">
        <v>114</v>
      </c>
      <c r="G1233">
        <v>200</v>
      </c>
    </row>
    <row r="1234" spans="6:7" hidden="1">
      <c r="F1234">
        <v>115</v>
      </c>
      <c r="G1234">
        <v>300</v>
      </c>
    </row>
    <row r="1235" spans="6:7" hidden="1">
      <c r="F1235">
        <v>116</v>
      </c>
      <c r="G1235">
        <v>300</v>
      </c>
    </row>
    <row r="1236" spans="6:7" hidden="1">
      <c r="F1236">
        <v>117</v>
      </c>
      <c r="G1236">
        <v>300</v>
      </c>
    </row>
    <row r="1237" spans="6:7" hidden="1">
      <c r="F1237">
        <v>118</v>
      </c>
      <c r="G1237">
        <v>300</v>
      </c>
    </row>
    <row r="1238" spans="6:7" hidden="1">
      <c r="F1238">
        <v>119</v>
      </c>
      <c r="G1238">
        <v>300</v>
      </c>
    </row>
    <row r="1239" spans="6:7" hidden="1">
      <c r="F1239">
        <v>120</v>
      </c>
      <c r="G1239">
        <v>300</v>
      </c>
    </row>
    <row r="1240" spans="6:7" hidden="1">
      <c r="F1240">
        <v>121</v>
      </c>
      <c r="G1240">
        <v>400</v>
      </c>
    </row>
    <row r="1241" spans="6:7" hidden="1">
      <c r="F1241">
        <v>122</v>
      </c>
      <c r="G1241">
        <v>400</v>
      </c>
    </row>
    <row r="1259" spans="1:9">
      <c r="A1259" s="84" t="s">
        <v>112</v>
      </c>
      <c r="B1259" s="120"/>
      <c r="C1259" s="120"/>
      <c r="D1259" s="120"/>
      <c r="E1259" s="120"/>
      <c r="F1259" s="120"/>
      <c r="G1259" s="120"/>
      <c r="H1259" s="120"/>
      <c r="I1259" s="189"/>
    </row>
    <row r="1260" spans="1:9">
      <c r="A1260" s="84" t="s">
        <v>113</v>
      </c>
      <c r="B1260" s="120"/>
      <c r="C1260" s="120"/>
      <c r="D1260" s="120"/>
      <c r="E1260" s="120"/>
      <c r="F1260" s="120"/>
      <c r="G1260" s="120"/>
      <c r="H1260" s="120"/>
      <c r="I1260" s="179" t="str">
        <f>+CONCATENATE("20142_",I1262)</f>
        <v>20142_27</v>
      </c>
    </row>
    <row r="1261" spans="1:9">
      <c r="A1261" s="84" t="s">
        <v>114</v>
      </c>
      <c r="B1261" s="120"/>
      <c r="C1261" s="120"/>
      <c r="D1261" s="120"/>
      <c r="E1261" s="120"/>
      <c r="F1261" s="120"/>
      <c r="G1261" s="120"/>
      <c r="H1261" s="120"/>
      <c r="I1261" s="120"/>
    </row>
    <row r="1262" spans="1:9">
      <c r="A1262" s="120"/>
      <c r="B1262" s="120"/>
      <c r="C1262" s="120"/>
      <c r="D1262" s="120"/>
      <c r="E1262" s="120"/>
      <c r="F1262" s="120"/>
      <c r="G1262" s="120"/>
      <c r="H1262" s="120"/>
      <c r="I1262" s="191">
        <v>27</v>
      </c>
    </row>
    <row r="1263" spans="1:9">
      <c r="A1263" s="120" t="s">
        <v>115</v>
      </c>
      <c r="B1263" s="120"/>
      <c r="C1263" s="120"/>
      <c r="D1263" s="120"/>
      <c r="E1263" s="120"/>
      <c r="F1263" s="120"/>
      <c r="G1263" s="120"/>
      <c r="H1263" s="120"/>
      <c r="I1263" s="83">
        <f>I79</f>
        <v>43800</v>
      </c>
    </row>
    <row r="1264" spans="1:9">
      <c r="A1264" s="120"/>
      <c r="B1264" s="120"/>
      <c r="C1264" s="120"/>
      <c r="D1264" s="120"/>
      <c r="E1264" s="120"/>
      <c r="F1264" s="120"/>
      <c r="G1264" s="120"/>
      <c r="H1264" s="120"/>
      <c r="I1264" s="120"/>
    </row>
    <row r="1265" spans="1:9">
      <c r="A1265" s="120" t="s">
        <v>116</v>
      </c>
      <c r="B1265" s="120"/>
      <c r="C1265" s="84" t="s">
        <v>822</v>
      </c>
      <c r="D1265" s="120"/>
      <c r="E1265" s="120"/>
      <c r="F1265" s="120"/>
      <c r="G1265" s="120"/>
      <c r="H1265" s="120"/>
      <c r="I1265" s="120"/>
    </row>
    <row r="1266" spans="1:9">
      <c r="A1266" s="120"/>
      <c r="B1266" s="120"/>
      <c r="C1266" s="120"/>
      <c r="D1266" s="120"/>
      <c r="E1266" s="120"/>
      <c r="F1266" s="120"/>
      <c r="G1266" s="120"/>
      <c r="H1266" s="120"/>
      <c r="I1266" s="84" t="s">
        <v>118</v>
      </c>
    </row>
    <row r="1267" spans="1:9">
      <c r="A1267" s="120"/>
      <c r="B1267" s="120"/>
      <c r="C1267" s="120"/>
      <c r="D1267" s="120"/>
      <c r="E1267" s="120"/>
      <c r="F1267" s="120"/>
      <c r="G1267" s="120"/>
      <c r="H1267" s="120"/>
      <c r="I1267" s="120"/>
    </row>
    <row r="1268" spans="1:9">
      <c r="A1268" s="120" t="s">
        <v>119</v>
      </c>
      <c r="B1268" s="120"/>
      <c r="C1268" s="120"/>
      <c r="D1268" s="120"/>
      <c r="E1268" s="120"/>
      <c r="F1268" s="120"/>
      <c r="G1268" s="120"/>
      <c r="H1268" s="120"/>
      <c r="I1268" s="181">
        <v>850</v>
      </c>
    </row>
    <row r="1269" spans="1:9" ht="20.25">
      <c r="A1269" s="120" t="s">
        <v>120</v>
      </c>
      <c r="B1269" s="120"/>
      <c r="C1269" s="120"/>
      <c r="D1269" s="120"/>
      <c r="E1269" s="120"/>
      <c r="F1269" s="86" t="s">
        <v>272</v>
      </c>
      <c r="G1269" s="86" t="s">
        <v>122</v>
      </c>
      <c r="H1269" s="86" t="s">
        <v>123</v>
      </c>
      <c r="I1269" s="181">
        <v>400</v>
      </c>
    </row>
    <row r="1270" spans="1:9">
      <c r="A1270" s="120" t="s">
        <v>291</v>
      </c>
      <c r="B1270" s="120"/>
      <c r="C1270" s="120"/>
      <c r="D1270" s="120"/>
      <c r="E1270" s="120"/>
      <c r="F1270" s="182">
        <v>0.5</v>
      </c>
      <c r="G1270" s="182">
        <f>IF(I1262=13,80,85)</f>
        <v>85</v>
      </c>
      <c r="H1270" s="182">
        <f>+H1283</f>
        <v>54.738483785278163</v>
      </c>
      <c r="I1270" s="181">
        <f>IF(H1270&gt;=G1270,E1283*F1270%,0)</f>
        <v>0</v>
      </c>
    </row>
    <row r="1271" spans="1:9">
      <c r="A1271" s="120" t="str">
        <f>CONCATENATE("COM. MOROSIDAD AL ",G1271,"%")</f>
        <v>COM. MOROSIDAD AL 5%</v>
      </c>
      <c r="B1271" s="120"/>
      <c r="C1271" s="120"/>
      <c r="D1271" s="120"/>
      <c r="E1271" s="120"/>
      <c r="F1271" s="182">
        <v>0.3</v>
      </c>
      <c r="G1271" s="182">
        <v>5</v>
      </c>
      <c r="H1271" s="146">
        <f>+H1286</f>
        <v>8.4582383428524714</v>
      </c>
      <c r="I1271" s="181">
        <f>+IF(H1271&lt;=G1271,E1283*F1271%,0)</f>
        <v>0</v>
      </c>
    </row>
    <row r="1272" spans="1:9">
      <c r="A1272" s="120" t="s">
        <v>292</v>
      </c>
      <c r="B1272" s="120"/>
      <c r="C1272" s="120"/>
      <c r="D1272" s="120"/>
      <c r="E1272" s="120"/>
      <c r="F1272" s="182">
        <f>IF(I1262=3,0.1,0.2)</f>
        <v>0.2</v>
      </c>
      <c r="G1272" s="182">
        <f>IF(I1262=23,50,85)</f>
        <v>85</v>
      </c>
      <c r="H1272" s="182">
        <f>+H1290</f>
        <v>45.833333333333336</v>
      </c>
      <c r="I1272" s="181">
        <f>IF(H1272&gt;=G1272,E1283*F1272%,0)</f>
        <v>0</v>
      </c>
    </row>
    <row r="1273" spans="1:9">
      <c r="A1273" s="120" t="str">
        <f>IF(I1262=23,"COMISION POR TIEMPODE VIAJE",IF(I1262=22,"BONIFICACION"," "))</f>
        <v xml:space="preserve"> </v>
      </c>
      <c r="B1273" s="120"/>
      <c r="C1273" s="120"/>
      <c r="D1273" s="120"/>
      <c r="E1273" s="120"/>
      <c r="F1273" s="120"/>
      <c r="G1273" s="120"/>
      <c r="H1273" s="182"/>
      <c r="I1273" s="181" t="str">
        <f>IF(I1262=23,300,IF(I1262=22,400," "))</f>
        <v xml:space="preserve"> </v>
      </c>
    </row>
    <row r="1274" spans="1:9">
      <c r="A1274" s="189" t="s">
        <v>274</v>
      </c>
      <c r="B1274" s="189"/>
      <c r="C1274" s="189"/>
      <c r="D1274" s="189"/>
      <c r="E1274" s="189"/>
      <c r="F1274" s="374" t="s">
        <v>275</v>
      </c>
      <c r="G1274" s="374"/>
      <c r="H1274" s="375" t="s">
        <v>276</v>
      </c>
      <c r="I1274" s="193"/>
    </row>
    <row r="1275" spans="1:9">
      <c r="A1275" s="189"/>
      <c r="B1275" s="189"/>
      <c r="C1275" s="189"/>
      <c r="D1275" s="189"/>
      <c r="E1275" s="189"/>
      <c r="F1275" s="374" t="s">
        <v>277</v>
      </c>
      <c r="G1275" s="374"/>
      <c r="H1275" s="375"/>
      <c r="I1275" s="376">
        <v>0</v>
      </c>
    </row>
    <row r="1276" spans="1:9">
      <c r="A1276" s="189"/>
      <c r="B1276" s="197"/>
      <c r="C1276" s="197"/>
      <c r="D1276" s="197"/>
      <c r="E1276" s="197"/>
      <c r="F1276" s="374" t="s">
        <v>278</v>
      </c>
      <c r="G1276" s="374"/>
      <c r="H1276" s="375"/>
      <c r="I1276" s="376"/>
    </row>
    <row r="1277" spans="1:9">
      <c r="A1277" s="189"/>
      <c r="B1277" s="197"/>
      <c r="C1277" s="197"/>
      <c r="D1277" s="197"/>
      <c r="E1277" s="197"/>
      <c r="F1277" s="374" t="s">
        <v>279</v>
      </c>
      <c r="G1277" s="374"/>
      <c r="H1277" s="375"/>
      <c r="I1277" s="198"/>
    </row>
    <row r="1278" spans="1:9">
      <c r="A1278" s="120"/>
      <c r="B1278" s="84" t="str">
        <f>IF(I1262=13,"Remuneracion Extra"," ")</f>
        <v xml:space="preserve"> </v>
      </c>
      <c r="C1278" s="120"/>
      <c r="D1278" s="120"/>
      <c r="E1278" s="120"/>
      <c r="F1278" s="120"/>
      <c r="G1278" s="120"/>
      <c r="H1278" s="120"/>
      <c r="I1278" s="183"/>
    </row>
    <row r="1279" spans="1:9" ht="15.75">
      <c r="A1279" s="184" t="s">
        <v>129</v>
      </c>
      <c r="B1279" s="185"/>
      <c r="C1279" s="185"/>
      <c r="D1279" s="185"/>
      <c r="E1279" s="185"/>
      <c r="F1279" s="185"/>
      <c r="G1279" s="185"/>
      <c r="H1279" s="185"/>
      <c r="I1279" s="186">
        <f>SUM(I1268:I1278)</f>
        <v>1250</v>
      </c>
    </row>
    <row r="1280" spans="1:9">
      <c r="A1280" s="120"/>
      <c r="B1280" s="120"/>
      <c r="C1280" s="120"/>
      <c r="D1280" s="120"/>
      <c r="E1280" s="120"/>
      <c r="F1280" s="120"/>
      <c r="G1280" s="120"/>
      <c r="H1280" s="120"/>
      <c r="I1280" s="120"/>
    </row>
    <row r="1281" spans="1:9">
      <c r="A1281" s="121" t="s">
        <v>130</v>
      </c>
      <c r="B1281" s="121"/>
      <c r="C1281" s="121"/>
      <c r="D1281" s="121"/>
      <c r="E1281" s="121"/>
      <c r="F1281" s="121"/>
      <c r="G1281" s="121"/>
      <c r="H1281" s="121"/>
      <c r="I1281" s="121"/>
    </row>
    <row r="1282" spans="1:9">
      <c r="A1282" s="121"/>
      <c r="B1282" s="121" t="s">
        <v>131</v>
      </c>
      <c r="C1282" s="121"/>
      <c r="D1282" s="121"/>
      <c r="E1282" s="187">
        <f>VLOOKUP(I1262,AVANCEVENDEDOR!$A$2:$R$35,7,0)</f>
        <v>152263.79</v>
      </c>
      <c r="F1282" s="187"/>
      <c r="G1282" s="121"/>
      <c r="H1282" s="121"/>
      <c r="I1282" s="121"/>
    </row>
    <row r="1283" spans="1:9">
      <c r="A1283" s="121"/>
      <c r="B1283" s="121" t="s">
        <v>132</v>
      </c>
      <c r="C1283" s="121"/>
      <c r="D1283" s="121"/>
      <c r="E1283" s="187">
        <f>IF(I1262=27,(VLOOKUP(I1262,AVANCEVENDEDOR!$A$2:$R$35,6,0)-I1259),(VLOOKUP(I1262,AVANCEVENDEDOR!$A$2:$R$35,6,0)))</f>
        <v>83346.89</v>
      </c>
      <c r="F1283" s="187"/>
      <c r="G1283" s="188" t="s">
        <v>133</v>
      </c>
      <c r="H1283" s="187">
        <f>+E1283*100/E1282</f>
        <v>54.738483785278163</v>
      </c>
      <c r="I1283" s="121"/>
    </row>
    <row r="1284" spans="1:9">
      <c r="A1284" s="121"/>
      <c r="B1284" s="121"/>
      <c r="C1284" s="121"/>
      <c r="D1284" s="121"/>
      <c r="E1284" s="121"/>
      <c r="F1284" s="121"/>
      <c r="G1284" s="188"/>
      <c r="H1284" s="121"/>
      <c r="I1284" s="121"/>
    </row>
    <row r="1285" spans="1:9">
      <c r="A1285" s="121"/>
      <c r="B1285" s="121" t="s">
        <v>134</v>
      </c>
      <c r="C1285" s="121"/>
      <c r="D1285" s="121"/>
      <c r="E1285" s="187">
        <f>VLOOKUP(I1262,AVANCEVENDEDOR!$A$2:$R$35,10,0)</f>
        <v>272097.44</v>
      </c>
      <c r="F1285" s="187"/>
      <c r="G1285" s="188"/>
      <c r="H1285" s="121"/>
      <c r="I1285" s="121"/>
    </row>
    <row r="1286" spans="1:9">
      <c r="A1286" s="121"/>
      <c r="B1286" s="121" t="s">
        <v>135</v>
      </c>
      <c r="C1286" s="121"/>
      <c r="D1286" s="121"/>
      <c r="E1286" s="187">
        <f>VLOOKUP(I1262,AVANCEVENDEDOR!$A$2:$R$35,11,0)</f>
        <v>23014.65</v>
      </c>
      <c r="F1286" s="187"/>
      <c r="G1286" s="188" t="s">
        <v>136</v>
      </c>
      <c r="H1286" s="146">
        <f>E1286*100/E1285</f>
        <v>8.4582383428524714</v>
      </c>
      <c r="I1286" s="121"/>
    </row>
    <row r="1287" spans="1:9">
      <c r="A1287" s="121"/>
      <c r="B1287" s="121" t="s">
        <v>137</v>
      </c>
      <c r="C1287" s="121"/>
      <c r="D1287" s="121"/>
      <c r="E1287" s="187">
        <f>VLOOKUP(I1262,AVANCEVENDEDOR!$A$2:$R$35,9,0)</f>
        <v>164301.71</v>
      </c>
      <c r="F1287" s="187"/>
      <c r="G1287" s="188"/>
      <c r="H1287" s="121"/>
      <c r="I1287" s="121"/>
    </row>
    <row r="1288" spans="1:9">
      <c r="A1288" s="121"/>
      <c r="B1288" s="121"/>
      <c r="C1288" s="121"/>
      <c r="D1288" s="121"/>
      <c r="E1288" s="121"/>
      <c r="F1288" s="121"/>
      <c r="G1288" s="188"/>
      <c r="H1288" s="121"/>
      <c r="I1288" s="121"/>
    </row>
    <row r="1289" spans="1:9">
      <c r="A1289" s="121"/>
      <c r="B1289" s="121" t="s">
        <v>280</v>
      </c>
      <c r="C1289" s="121"/>
      <c r="D1289" s="121"/>
      <c r="E1289" s="187">
        <f>VLOOKUP(I1262,AVANCEVENDEDOR!$A$2:$R$35,13,0)</f>
        <v>48</v>
      </c>
      <c r="F1289" s="187"/>
      <c r="G1289" s="121"/>
      <c r="H1289" s="187"/>
      <c r="I1289" s="121"/>
    </row>
    <row r="1290" spans="1:9">
      <c r="A1290" s="121"/>
      <c r="B1290" s="121" t="s">
        <v>281</v>
      </c>
      <c r="C1290" s="121"/>
      <c r="D1290" s="121"/>
      <c r="E1290" s="187">
        <f>VLOOKUP(I1262,AVANCEVENDEDOR!$A$2:$R$35,14,0)</f>
        <v>22</v>
      </c>
      <c r="F1290" s="187"/>
      <c r="G1290" s="188" t="s">
        <v>140</v>
      </c>
      <c r="H1290" s="187">
        <f>+E1290*100/E1289</f>
        <v>45.833333333333336</v>
      </c>
      <c r="I1290" s="121"/>
    </row>
    <row r="1309" spans="1:9">
      <c r="A1309" s="84" t="s">
        <v>112</v>
      </c>
      <c r="B1309" s="120"/>
      <c r="C1309" s="120"/>
      <c r="D1309" s="120"/>
      <c r="E1309" s="120"/>
      <c r="F1309" s="120"/>
      <c r="G1309" s="120"/>
      <c r="H1309" s="120"/>
      <c r="I1309" s="189"/>
    </row>
    <row r="1310" spans="1:9">
      <c r="A1310" s="84" t="s">
        <v>113</v>
      </c>
      <c r="B1310" s="120"/>
      <c r="C1310" s="120"/>
      <c r="D1310" s="120"/>
      <c r="E1310" s="120"/>
      <c r="F1310" s="120"/>
      <c r="G1310" s="120"/>
      <c r="H1310" s="120"/>
      <c r="I1310" s="179" t="str">
        <f>+CONCATENATE("20142_",I1312)</f>
        <v>20142_28</v>
      </c>
    </row>
    <row r="1311" spans="1:9">
      <c r="A1311" s="84" t="s">
        <v>114</v>
      </c>
      <c r="B1311" s="120"/>
      <c r="C1311" s="120"/>
      <c r="D1311" s="120"/>
      <c r="E1311" s="120"/>
      <c r="F1311" s="120"/>
      <c r="G1311" s="120"/>
      <c r="H1311" s="120"/>
      <c r="I1311" s="120"/>
    </row>
    <row r="1312" spans="1:9">
      <c r="A1312" s="120"/>
      <c r="B1312" s="120"/>
      <c r="C1312" s="120"/>
      <c r="D1312" s="120"/>
      <c r="E1312" s="120"/>
      <c r="F1312" s="120"/>
      <c r="G1312" s="120"/>
      <c r="H1312" s="120"/>
      <c r="I1312" s="191">
        <v>28</v>
      </c>
    </row>
    <row r="1313" spans="1:9">
      <c r="A1313" s="120" t="s">
        <v>115</v>
      </c>
      <c r="B1313" s="120"/>
      <c r="C1313" s="120"/>
      <c r="D1313" s="120"/>
      <c r="E1313" s="120"/>
      <c r="F1313" s="120"/>
      <c r="G1313" s="120"/>
      <c r="H1313" s="120"/>
      <c r="I1313" s="83">
        <f>I5</f>
        <v>43800</v>
      </c>
    </row>
    <row r="1314" spans="1:9">
      <c r="A1314" s="120"/>
      <c r="B1314" s="120"/>
      <c r="C1314" s="120"/>
      <c r="D1314" s="120"/>
      <c r="E1314" s="120"/>
      <c r="F1314" s="120"/>
      <c r="G1314" s="120"/>
      <c r="H1314" s="120"/>
      <c r="I1314" s="120"/>
    </row>
    <row r="1315" spans="1:9">
      <c r="A1315" s="120" t="s">
        <v>116</v>
      </c>
      <c r="B1315" s="120"/>
      <c r="C1315" s="84" t="s">
        <v>823</v>
      </c>
      <c r="D1315" s="120"/>
      <c r="E1315" s="120"/>
      <c r="F1315" s="120"/>
      <c r="G1315" s="120"/>
      <c r="H1315" s="120"/>
      <c r="I1315" s="120"/>
    </row>
    <row r="1316" spans="1:9">
      <c r="A1316" s="120"/>
      <c r="B1316" s="120"/>
      <c r="C1316" s="120"/>
      <c r="D1316" s="120"/>
      <c r="E1316" s="120"/>
      <c r="F1316" s="120"/>
      <c r="G1316" s="120"/>
      <c r="H1316" s="120"/>
      <c r="I1316" s="84" t="s">
        <v>118</v>
      </c>
    </row>
    <row r="1317" spans="1:9">
      <c r="A1317" s="120"/>
      <c r="B1317" s="120"/>
      <c r="C1317" s="120"/>
      <c r="D1317" s="120"/>
      <c r="E1317" s="120"/>
      <c r="F1317" s="120"/>
      <c r="G1317" s="120"/>
      <c r="H1317" s="120"/>
      <c r="I1317" s="120"/>
    </row>
    <row r="1318" spans="1:9">
      <c r="A1318" s="120" t="s">
        <v>119</v>
      </c>
      <c r="B1318" s="120"/>
      <c r="C1318" s="120"/>
      <c r="D1318" s="120"/>
      <c r="E1318" s="120"/>
      <c r="F1318" s="120"/>
      <c r="G1318" s="120"/>
      <c r="H1318" s="120"/>
      <c r="I1318" s="181">
        <v>850</v>
      </c>
    </row>
    <row r="1319" spans="1:9" ht="20.25">
      <c r="A1319" s="120" t="s">
        <v>120</v>
      </c>
      <c r="B1319" s="120"/>
      <c r="C1319" s="120"/>
      <c r="D1319" s="120"/>
      <c r="E1319" s="120"/>
      <c r="F1319" s="86" t="s">
        <v>272</v>
      </c>
      <c r="G1319" s="86" t="s">
        <v>122</v>
      </c>
      <c r="H1319" s="86" t="s">
        <v>123</v>
      </c>
      <c r="I1319" s="181">
        <v>400</v>
      </c>
    </row>
    <row r="1320" spans="1:9">
      <c r="A1320" s="120" t="s">
        <v>291</v>
      </c>
      <c r="B1320" s="120"/>
      <c r="C1320" s="120"/>
      <c r="D1320" s="120"/>
      <c r="E1320" s="120"/>
      <c r="F1320" s="182">
        <v>0.5</v>
      </c>
      <c r="G1320" s="182">
        <f>IF(I1312=13,80,85)</f>
        <v>85</v>
      </c>
      <c r="H1320" s="182">
        <f>+H1333</f>
        <v>77.10432154471971</v>
      </c>
      <c r="I1320" s="181">
        <f>IF(H1320&gt;=G1320,E1333*F1320%,0)</f>
        <v>0</v>
      </c>
    </row>
    <row r="1321" spans="1:9">
      <c r="A1321" s="120" t="str">
        <f>CONCATENATE("COM. MOROSIDAD AL ",G1321,"%")</f>
        <v>COM. MOROSIDAD AL 5%</v>
      </c>
      <c r="B1321" s="120"/>
      <c r="C1321" s="120"/>
      <c r="D1321" s="120"/>
      <c r="E1321" s="120"/>
      <c r="F1321" s="182">
        <v>0.3</v>
      </c>
      <c r="G1321" s="182">
        <v>5</v>
      </c>
      <c r="H1321" s="146">
        <f>H1336</f>
        <v>11.218834731871597</v>
      </c>
      <c r="I1321" s="181">
        <f>+IF(H1321&lt;=G1321,E1333*F1321%,0)</f>
        <v>0</v>
      </c>
    </row>
    <row r="1322" spans="1:9">
      <c r="A1322" s="120" t="s">
        <v>292</v>
      </c>
      <c r="B1322" s="120"/>
      <c r="C1322" s="120"/>
      <c r="D1322" s="120"/>
      <c r="E1322" s="120"/>
      <c r="F1322" s="182">
        <f>IF(I1312=3,0.1,0.2)</f>
        <v>0.2</v>
      </c>
      <c r="G1322" s="182">
        <f>IF(I1312=23,50,85)</f>
        <v>85</v>
      </c>
      <c r="H1322" s="182">
        <f>+H1340</f>
        <v>33.333333333333336</v>
      </c>
      <c r="I1322" s="181">
        <f>IF(H1322&gt;=G1322,E1333*F1322%,0)</f>
        <v>0</v>
      </c>
    </row>
    <row r="1323" spans="1:9">
      <c r="A1323" s="120" t="str">
        <f>IF(I1312=23,"COMISION POR TIEMPODE VIAJE",IF(I1312=22,"BONIFICACION"," "))</f>
        <v xml:space="preserve"> </v>
      </c>
      <c r="B1323" s="120"/>
      <c r="C1323" s="120"/>
      <c r="D1323" s="120"/>
      <c r="E1323" s="120"/>
      <c r="F1323" s="120"/>
      <c r="G1323" s="120"/>
      <c r="H1323" s="182"/>
      <c r="I1323" s="181" t="str">
        <f>IF(I1312=23,300,IF(I1312=22,400," "))</f>
        <v xml:space="preserve"> </v>
      </c>
    </row>
    <row r="1324" spans="1:9">
      <c r="A1324" s="189" t="s">
        <v>274</v>
      </c>
      <c r="B1324" s="189"/>
      <c r="C1324" s="189"/>
      <c r="D1324" s="189"/>
      <c r="E1324" s="189"/>
      <c r="F1324" s="374" t="s">
        <v>275</v>
      </c>
      <c r="G1324" s="374"/>
      <c r="H1324" s="375" t="s">
        <v>276</v>
      </c>
      <c r="I1324" s="193"/>
    </row>
    <row r="1325" spans="1:9">
      <c r="A1325" s="189"/>
      <c r="B1325" s="189"/>
      <c r="C1325" s="189"/>
      <c r="D1325" s="189"/>
      <c r="E1325" s="189"/>
      <c r="F1325" s="374" t="s">
        <v>277</v>
      </c>
      <c r="G1325" s="374"/>
      <c r="H1325" s="375"/>
      <c r="I1325" s="376">
        <v>0</v>
      </c>
    </row>
    <row r="1326" spans="1:9">
      <c r="A1326" s="189"/>
      <c r="B1326" s="197"/>
      <c r="C1326" s="197"/>
      <c r="D1326" s="197"/>
      <c r="E1326" s="197"/>
      <c r="F1326" s="374" t="s">
        <v>278</v>
      </c>
      <c r="G1326" s="374"/>
      <c r="H1326" s="375"/>
      <c r="I1326" s="376"/>
    </row>
    <row r="1327" spans="1:9">
      <c r="A1327" s="189"/>
      <c r="B1327" s="197"/>
      <c r="C1327" s="197"/>
      <c r="D1327" s="197"/>
      <c r="E1327" s="197"/>
      <c r="F1327" s="374" t="s">
        <v>279</v>
      </c>
      <c r="G1327" s="374"/>
      <c r="H1327" s="375"/>
      <c r="I1327" s="198"/>
    </row>
    <row r="1328" spans="1:9">
      <c r="A1328" s="120"/>
      <c r="B1328" s="84" t="str">
        <f>IF(I1312=13,"Remuneracion Extra"," ")</f>
        <v xml:space="preserve"> </v>
      </c>
      <c r="C1328" s="120"/>
      <c r="D1328" s="120"/>
      <c r="E1328" s="120"/>
      <c r="F1328" s="120"/>
      <c r="G1328" s="120"/>
      <c r="H1328" s="120"/>
      <c r="I1328" s="183"/>
    </row>
    <row r="1329" spans="1:9" ht="15.75">
      <c r="A1329" s="184" t="s">
        <v>129</v>
      </c>
      <c r="B1329" s="185"/>
      <c r="C1329" s="185"/>
      <c r="D1329" s="185"/>
      <c r="E1329" s="185"/>
      <c r="F1329" s="185"/>
      <c r="G1329" s="185"/>
      <c r="H1329" s="185"/>
      <c r="I1329" s="186">
        <f>SUM(I1318:I1328)</f>
        <v>1250</v>
      </c>
    </row>
    <row r="1330" spans="1:9">
      <c r="A1330" s="120"/>
      <c r="B1330" s="120"/>
      <c r="C1330" s="120"/>
      <c r="D1330" s="120"/>
      <c r="E1330" s="120"/>
      <c r="F1330" s="120"/>
      <c r="G1330" s="120"/>
      <c r="H1330" s="120"/>
      <c r="I1330" s="120"/>
    </row>
    <row r="1331" spans="1:9">
      <c r="A1331" s="121" t="s">
        <v>130</v>
      </c>
      <c r="B1331" s="121"/>
      <c r="C1331" s="121"/>
      <c r="D1331" s="121"/>
      <c r="E1331" s="121"/>
      <c r="F1331" s="121"/>
      <c r="G1331" s="121"/>
      <c r="H1331" s="121"/>
      <c r="I1331" s="121"/>
    </row>
    <row r="1332" spans="1:9">
      <c r="A1332" s="121"/>
      <c r="B1332" s="121" t="s">
        <v>131</v>
      </c>
      <c r="C1332" s="121"/>
      <c r="D1332" s="121"/>
      <c r="E1332" s="187">
        <f>VLOOKUP(I1312,AVANCEVENDEDOR!$A$2:$R$35,7,0)</f>
        <v>237255.21</v>
      </c>
      <c r="F1332" s="187"/>
      <c r="G1332" s="121"/>
      <c r="H1332" s="121"/>
      <c r="I1332" s="121"/>
    </row>
    <row r="1333" spans="1:9">
      <c r="A1333" s="121"/>
      <c r="B1333" s="121" t="s">
        <v>132</v>
      </c>
      <c r="C1333" s="121"/>
      <c r="D1333" s="121"/>
      <c r="E1333" s="187">
        <f>IF(I1312=27,(VLOOKUP(I1312,AVANCEVENDEDOR!$A$2:$R$35,6,0)-I1309),(VLOOKUP(I1312,AVANCEVENDEDOR!$A$2:$R$35,6,0)))</f>
        <v>182934.02</v>
      </c>
      <c r="F1333" s="187"/>
      <c r="G1333" s="188" t="s">
        <v>133</v>
      </c>
      <c r="H1333" s="187">
        <f>+E1333*100/E1332</f>
        <v>77.10432154471971</v>
      </c>
      <c r="I1333" s="121"/>
    </row>
    <row r="1334" spans="1:9">
      <c r="A1334" s="121"/>
      <c r="B1334" s="121"/>
      <c r="C1334" s="121"/>
      <c r="D1334" s="121"/>
      <c r="E1334" s="121"/>
      <c r="F1334" s="121"/>
      <c r="G1334" s="188"/>
      <c r="H1334" s="121"/>
      <c r="I1334" s="121"/>
    </row>
    <row r="1335" spans="1:9">
      <c r="A1335" s="121"/>
      <c r="B1335" s="121" t="s">
        <v>134</v>
      </c>
      <c r="C1335" s="121"/>
      <c r="D1335" s="121"/>
      <c r="E1335" s="187">
        <f>VLOOKUP(I1312,AVANCEVENDEDOR!$A$2:$R$35,10,0)</f>
        <v>712456.97</v>
      </c>
      <c r="F1335" s="187"/>
      <c r="G1335" s="188"/>
      <c r="H1335" s="121"/>
      <c r="I1335" s="121"/>
    </row>
    <row r="1336" spans="1:9">
      <c r="A1336" s="121"/>
      <c r="B1336" s="121" t="s">
        <v>135</v>
      </c>
      <c r="C1336" s="121"/>
      <c r="D1336" s="121"/>
      <c r="E1336" s="187">
        <f>VLOOKUP(I1312,AVANCEVENDEDOR!$A$2:$R$35,11,0)</f>
        <v>79929.37</v>
      </c>
      <c r="F1336" s="187"/>
      <c r="G1336" s="188" t="s">
        <v>136</v>
      </c>
      <c r="H1336" s="146">
        <f>E1336*100/E1335</f>
        <v>11.218834731871597</v>
      </c>
      <c r="I1336" s="121"/>
    </row>
    <row r="1337" spans="1:9">
      <c r="A1337" s="121"/>
      <c r="B1337" s="121" t="s">
        <v>137</v>
      </c>
      <c r="C1337" s="121"/>
      <c r="D1337" s="121"/>
      <c r="E1337" s="187">
        <f>VLOOKUP(I1312,AVANCEVENDEDOR!$A$2:$R$35,9,0)</f>
        <v>291110.31</v>
      </c>
      <c r="F1337" s="187"/>
      <c r="G1337" s="188"/>
      <c r="H1337" s="121"/>
      <c r="I1337" s="121"/>
    </row>
    <row r="1338" spans="1:9">
      <c r="A1338" s="121"/>
      <c r="B1338" s="121"/>
      <c r="C1338" s="121"/>
      <c r="D1338" s="121"/>
      <c r="E1338" s="121"/>
      <c r="F1338" s="121"/>
      <c r="G1338" s="188"/>
      <c r="H1338" s="121"/>
      <c r="I1338" s="121"/>
    </row>
    <row r="1339" spans="1:9">
      <c r="A1339" s="121"/>
      <c r="B1339" s="121" t="s">
        <v>280</v>
      </c>
      <c r="C1339" s="121"/>
      <c r="D1339" s="121"/>
      <c r="E1339" s="187">
        <f>VLOOKUP(I1312,AVANCEVENDEDOR!$A$2:$R$35,13,0)</f>
        <v>105</v>
      </c>
      <c r="F1339" s="187"/>
      <c r="G1339" s="121"/>
      <c r="H1339" s="187"/>
      <c r="I1339" s="121"/>
    </row>
    <row r="1340" spans="1:9">
      <c r="A1340" s="121"/>
      <c r="B1340" s="121" t="s">
        <v>281</v>
      </c>
      <c r="C1340" s="121"/>
      <c r="D1340" s="121"/>
      <c r="E1340" s="187">
        <f>VLOOKUP(I1312,AVANCEVENDEDOR!$A$2:$R$35,14,0)</f>
        <v>35</v>
      </c>
      <c r="F1340" s="187"/>
      <c r="G1340" s="188" t="s">
        <v>140</v>
      </c>
      <c r="H1340" s="187">
        <f>+E1340*100/E1339</f>
        <v>33.333333333333336</v>
      </c>
      <c r="I1340" s="121"/>
    </row>
  </sheetData>
  <mergeCells count="114">
    <mergeCell ref="F1274:G1274"/>
    <mergeCell ref="H1274:H1277"/>
    <mergeCell ref="F1275:G1275"/>
    <mergeCell ref="I1275:I1276"/>
    <mergeCell ref="F1276:G1276"/>
    <mergeCell ref="F1277:G1277"/>
    <mergeCell ref="F1324:G1324"/>
    <mergeCell ref="H1324:H1327"/>
    <mergeCell ref="F1325:G1325"/>
    <mergeCell ref="I1325:I1326"/>
    <mergeCell ref="F1326:G1326"/>
    <mergeCell ref="F1327:G1327"/>
    <mergeCell ref="F1200:G1200"/>
    <mergeCell ref="H1200:H1203"/>
    <mergeCell ref="F1201:G1201"/>
    <mergeCell ref="I1201:I1202"/>
    <mergeCell ref="F1202:G1202"/>
    <mergeCell ref="F1203:G1203"/>
    <mergeCell ref="F1052:G1052"/>
    <mergeCell ref="H1052:H1055"/>
    <mergeCell ref="F1053:G1053"/>
    <mergeCell ref="I1053:I1054"/>
    <mergeCell ref="F1054:G1054"/>
    <mergeCell ref="F1055:G1055"/>
    <mergeCell ref="F1126:G1126"/>
    <mergeCell ref="H1126:H1129"/>
    <mergeCell ref="F1127:G1127"/>
    <mergeCell ref="I1127:I1128"/>
    <mergeCell ref="F1128:G1128"/>
    <mergeCell ref="F1129:G1129"/>
    <mergeCell ref="F904:G904"/>
    <mergeCell ref="H904:H907"/>
    <mergeCell ref="F905:G905"/>
    <mergeCell ref="I905:I906"/>
    <mergeCell ref="F906:G906"/>
    <mergeCell ref="F907:G907"/>
    <mergeCell ref="F978:G978"/>
    <mergeCell ref="H978:H981"/>
    <mergeCell ref="F979:G979"/>
    <mergeCell ref="I979:I980"/>
    <mergeCell ref="F980:G980"/>
    <mergeCell ref="F981:G981"/>
    <mergeCell ref="F756:G756"/>
    <mergeCell ref="H756:H759"/>
    <mergeCell ref="F757:G757"/>
    <mergeCell ref="I757:I758"/>
    <mergeCell ref="F758:G758"/>
    <mergeCell ref="F759:G759"/>
    <mergeCell ref="F830:G830"/>
    <mergeCell ref="H830:H833"/>
    <mergeCell ref="F831:G831"/>
    <mergeCell ref="I831:I832"/>
    <mergeCell ref="F832:G832"/>
    <mergeCell ref="F833:G833"/>
    <mergeCell ref="F608:G608"/>
    <mergeCell ref="H608:H611"/>
    <mergeCell ref="F609:G609"/>
    <mergeCell ref="I609:I610"/>
    <mergeCell ref="F610:G610"/>
    <mergeCell ref="F611:G611"/>
    <mergeCell ref="F682:G682"/>
    <mergeCell ref="H682:H685"/>
    <mergeCell ref="F683:G683"/>
    <mergeCell ref="I683:I684"/>
    <mergeCell ref="F684:G684"/>
    <mergeCell ref="F685:G685"/>
    <mergeCell ref="F460:G460"/>
    <mergeCell ref="H460:H463"/>
    <mergeCell ref="F461:G461"/>
    <mergeCell ref="I461:I462"/>
    <mergeCell ref="F462:G462"/>
    <mergeCell ref="F463:G463"/>
    <mergeCell ref="F534:G534"/>
    <mergeCell ref="H534:H537"/>
    <mergeCell ref="F535:G535"/>
    <mergeCell ref="I535:I536"/>
    <mergeCell ref="F536:G536"/>
    <mergeCell ref="F537:G537"/>
    <mergeCell ref="F312:G312"/>
    <mergeCell ref="H312:H315"/>
    <mergeCell ref="F313:G313"/>
    <mergeCell ref="I313:I314"/>
    <mergeCell ref="F314:G314"/>
    <mergeCell ref="F315:G315"/>
    <mergeCell ref="F386:G386"/>
    <mergeCell ref="H386:H389"/>
    <mergeCell ref="F387:G387"/>
    <mergeCell ref="I387:I388"/>
    <mergeCell ref="F388:G388"/>
    <mergeCell ref="F389:G389"/>
    <mergeCell ref="F164:G164"/>
    <mergeCell ref="H164:H167"/>
    <mergeCell ref="F165:G165"/>
    <mergeCell ref="I165:I166"/>
    <mergeCell ref="F166:G166"/>
    <mergeCell ref="F167:G167"/>
    <mergeCell ref="F238:G238"/>
    <mergeCell ref="H238:H241"/>
    <mergeCell ref="F239:G239"/>
    <mergeCell ref="I239:I240"/>
    <mergeCell ref="F240:G240"/>
    <mergeCell ref="F241:G241"/>
    <mergeCell ref="F16:G16"/>
    <mergeCell ref="H16:H19"/>
    <mergeCell ref="F17:G17"/>
    <mergeCell ref="I17:I18"/>
    <mergeCell ref="F18:G18"/>
    <mergeCell ref="F19:G19"/>
    <mergeCell ref="F90:G90"/>
    <mergeCell ref="H90:H93"/>
    <mergeCell ref="F91:G91"/>
    <mergeCell ref="I91:I92"/>
    <mergeCell ref="F92:G92"/>
    <mergeCell ref="F93:G93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241"/>
  <sheetViews>
    <sheetView topLeftCell="A1186" zoomScale="88" zoomScaleNormal="88" workbookViewId="0">
      <selection activeCell="O1201" sqref="O1201"/>
    </sheetView>
  </sheetViews>
  <sheetFormatPr baseColWidth="10" defaultColWidth="8.85546875" defaultRowHeight="15"/>
  <cols>
    <col min="1" max="1" width="9.140625" customWidth="1"/>
    <col min="2" max="2" width="21.7109375" bestFit="1" customWidth="1"/>
    <col min="3" max="3" width="8.28515625" customWidth="1"/>
    <col min="4" max="4" width="2.42578125" hidden="1" customWidth="1"/>
    <col min="5" max="5" width="8.28515625" bestFit="1" customWidth="1"/>
    <col min="6" max="6" width="6.140625" bestFit="1" customWidth="1"/>
    <col min="7" max="7" width="8" bestFit="1" customWidth="1"/>
    <col min="8" max="8" width="8.7109375" bestFit="1" customWidth="1"/>
    <col min="9" max="9" width="9.7109375" customWidth="1"/>
    <col min="10" max="10" width="9.140625" customWidth="1"/>
    <col min="11" max="11" width="11.85546875" customWidth="1"/>
    <col min="12" max="12" width="9.140625" customWidth="1"/>
    <col min="13" max="13" width="11.85546875" bestFit="1" customWidth="1"/>
    <col min="14" max="1025" width="9.140625" customWidth="1"/>
  </cols>
  <sheetData>
    <row r="1" spans="1:15">
      <c r="A1" s="84" t="s">
        <v>112</v>
      </c>
      <c r="B1" s="120"/>
      <c r="C1" s="120"/>
      <c r="D1" s="120"/>
      <c r="E1" s="120"/>
      <c r="F1" s="120"/>
      <c r="G1" s="120"/>
      <c r="H1" s="120"/>
      <c r="I1" s="189"/>
      <c r="J1" s="195"/>
      <c r="K1" s="195"/>
      <c r="L1" s="195"/>
      <c r="M1" s="195"/>
      <c r="N1" s="195"/>
      <c r="O1" s="195"/>
    </row>
    <row r="2" spans="1:15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</v>
      </c>
      <c r="J2" s="195"/>
      <c r="K2" s="195" t="s">
        <v>811</v>
      </c>
      <c r="L2" s="195"/>
      <c r="M2" s="195"/>
      <c r="N2" s="195"/>
      <c r="O2" s="195"/>
    </row>
    <row r="3" spans="1:15">
      <c r="A3" s="84" t="s">
        <v>114</v>
      </c>
      <c r="B3" s="120"/>
      <c r="C3" s="120"/>
      <c r="D3" s="120"/>
      <c r="E3" s="120"/>
      <c r="F3" s="120"/>
      <c r="G3" s="120"/>
      <c r="H3" s="120"/>
      <c r="I3" s="120"/>
      <c r="J3" s="195"/>
      <c r="K3" s="195"/>
      <c r="L3" s="195"/>
      <c r="M3" s="195"/>
      <c r="N3" s="195"/>
      <c r="O3" s="195"/>
    </row>
    <row r="4" spans="1:15">
      <c r="A4" s="120"/>
      <c r="B4" s="120"/>
      <c r="C4" s="120"/>
      <c r="D4" s="120"/>
      <c r="E4" s="120"/>
      <c r="F4" s="120"/>
      <c r="G4" s="120"/>
      <c r="H4" s="120"/>
      <c r="I4" s="191">
        <v>1</v>
      </c>
      <c r="J4" s="195"/>
      <c r="K4" s="195"/>
      <c r="L4" s="345">
        <v>43678</v>
      </c>
      <c r="M4" s="195"/>
      <c r="N4" s="195"/>
      <c r="O4" s="195"/>
    </row>
    <row r="5" spans="1:15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43801</v>
      </c>
      <c r="J5" s="195"/>
      <c r="K5" s="195"/>
      <c r="L5" s="195"/>
      <c r="M5" s="195"/>
      <c r="N5" s="195"/>
      <c r="O5" s="195"/>
    </row>
    <row r="6" spans="1:15">
      <c r="A6" s="120"/>
      <c r="B6" s="120"/>
      <c r="C6" s="120"/>
      <c r="D6" s="120"/>
      <c r="E6" s="120"/>
      <c r="F6" s="120"/>
      <c r="G6" s="120"/>
      <c r="H6" s="120"/>
      <c r="I6" s="120"/>
      <c r="K6" s="346">
        <f ca="1">NOW()</f>
        <v>43838.418271759256</v>
      </c>
      <c r="L6" s="195"/>
      <c r="N6" s="195"/>
      <c r="O6" s="195"/>
    </row>
    <row r="7" spans="1:15">
      <c r="A7" s="120" t="s">
        <v>116</v>
      </c>
      <c r="B7" s="120"/>
      <c r="C7" s="84" t="s">
        <v>290</v>
      </c>
      <c r="D7" s="120"/>
      <c r="E7" s="120"/>
      <c r="F7" s="120"/>
      <c r="G7" s="120"/>
      <c r="H7" s="120"/>
      <c r="I7" s="120"/>
      <c r="J7" s="195"/>
      <c r="K7" s="195"/>
      <c r="L7" s="195"/>
      <c r="M7" s="195"/>
      <c r="N7" s="195"/>
      <c r="O7" s="195"/>
    </row>
    <row r="8" spans="1:15">
      <c r="A8" s="120"/>
      <c r="B8" s="120"/>
      <c r="C8" s="120"/>
      <c r="D8" s="120"/>
      <c r="E8" s="120"/>
      <c r="F8" s="120"/>
      <c r="G8" s="120"/>
      <c r="H8" s="120"/>
      <c r="I8" s="84" t="s">
        <v>118</v>
      </c>
      <c r="J8" s="195"/>
      <c r="K8" s="195"/>
      <c r="L8" s="195"/>
      <c r="M8" s="195"/>
      <c r="N8" s="195"/>
      <c r="O8" s="195"/>
    </row>
    <row r="9" spans="1:15">
      <c r="A9" s="120"/>
      <c r="B9" s="120"/>
      <c r="C9" s="120"/>
      <c r="D9" s="120"/>
      <c r="E9" s="120"/>
      <c r="F9" s="120"/>
      <c r="G9" s="120"/>
      <c r="H9" s="120"/>
      <c r="I9" s="120"/>
      <c r="J9" s="195"/>
      <c r="K9" s="195"/>
      <c r="L9" s="195"/>
      <c r="M9" s="195"/>
      <c r="N9" s="195"/>
      <c r="O9" s="195"/>
    </row>
    <row r="10" spans="1:15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1500</v>
      </c>
      <c r="J10" s="195"/>
      <c r="K10" s="195"/>
      <c r="L10" s="195"/>
      <c r="M10" s="195"/>
      <c r="N10" s="195"/>
      <c r="O10" s="195"/>
    </row>
    <row r="11" spans="1:15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  <c r="J11" s="195"/>
      <c r="K11" s="195"/>
      <c r="L11" s="195"/>
      <c r="M11" s="195"/>
      <c r="N11" s="195"/>
      <c r="O11" s="195"/>
    </row>
    <row r="12" spans="1:15">
      <c r="A12" s="120" t="s">
        <v>291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28.909762102653559</v>
      </c>
      <c r="I12" s="181">
        <f>IF(H12&gt;=G12,E25*F12%,0)</f>
        <v>0</v>
      </c>
      <c r="J12" s="195"/>
      <c r="K12" s="195"/>
      <c r="L12" s="195"/>
      <c r="M12" s="195"/>
      <c r="N12" s="195"/>
      <c r="O12" s="195"/>
    </row>
    <row r="13" spans="1:15">
      <c r="A13" s="120" t="str">
        <f>CONCATENATE("COM. MOROSIDAD AL ",G13,"%")</f>
        <v>COM. MOROSIDAD AL 5%</v>
      </c>
      <c r="B13" s="120"/>
      <c r="C13" s="120"/>
      <c r="D13" s="120"/>
      <c r="E13" s="120"/>
      <c r="F13" s="182">
        <v>0.3</v>
      </c>
      <c r="G13" s="182">
        <v>5</v>
      </c>
      <c r="H13" s="182">
        <f>+H28</f>
        <v>27.703482916851623</v>
      </c>
      <c r="I13" s="196">
        <f>+IF(H13&lt;=G13,E25*F13%,0)</f>
        <v>0</v>
      </c>
      <c r="J13" s="195"/>
      <c r="K13" s="195"/>
      <c r="L13" s="195"/>
      <c r="M13" s="195"/>
      <c r="N13" s="195"/>
      <c r="O13" s="195"/>
    </row>
    <row r="14" spans="1:15">
      <c r="A14" s="120" t="s">
        <v>292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+H32</f>
        <v>43.359563192548578</v>
      </c>
      <c r="I14" s="181">
        <f>IF(H14&gt;=G14,E25*F14%,0)</f>
        <v>0</v>
      </c>
      <c r="J14" s="195"/>
      <c r="K14" s="195"/>
      <c r="L14" s="195"/>
      <c r="M14" s="195"/>
      <c r="N14" s="195"/>
      <c r="O14" s="195"/>
    </row>
    <row r="15" spans="1:15">
      <c r="A15" s="120" t="str">
        <f>IF(I4=23,"COMISION POR TIEMPODE VIAJE",IF(I4=22,"BONIFICACION"," "))</f>
        <v xml:space="preserve"> </v>
      </c>
      <c r="B15" s="120"/>
      <c r="C15" s="120"/>
      <c r="D15" s="120"/>
      <c r="E15" s="120"/>
      <c r="F15" s="120"/>
      <c r="G15" s="120"/>
      <c r="H15" s="182"/>
      <c r="I15" s="181" t="str">
        <f>IF(I4=23,300,IF(I4=22,400," "))</f>
        <v xml:space="preserve"> </v>
      </c>
      <c r="J15" s="195"/>
      <c r="K15" s="195"/>
      <c r="L15" s="195"/>
      <c r="M15" s="195"/>
      <c r="N15" s="195"/>
      <c r="O15" s="195"/>
    </row>
    <row r="16" spans="1:15">
      <c r="A16" s="189" t="s">
        <v>274</v>
      </c>
      <c r="B16" s="189"/>
      <c r="C16" s="189"/>
      <c r="D16" s="189"/>
      <c r="E16" s="189"/>
      <c r="F16" s="374" t="s">
        <v>275</v>
      </c>
      <c r="G16" s="374"/>
      <c r="H16" s="375" t="s">
        <v>276</v>
      </c>
      <c r="I16" s="193"/>
      <c r="J16" s="195"/>
      <c r="K16" s="195"/>
      <c r="L16" s="195"/>
      <c r="M16" s="195"/>
      <c r="N16" s="195"/>
      <c r="O16" s="195"/>
    </row>
    <row r="17" spans="1:15">
      <c r="A17" s="189"/>
      <c r="B17" s="189"/>
      <c r="C17" s="189"/>
      <c r="D17" s="189"/>
      <c r="E17" s="189"/>
      <c r="F17" s="374" t="s">
        <v>277</v>
      </c>
      <c r="G17" s="374"/>
      <c r="H17" s="375"/>
      <c r="I17" s="376">
        <v>0</v>
      </c>
      <c r="J17" s="195"/>
      <c r="K17" s="195"/>
      <c r="L17" s="195"/>
      <c r="M17" s="195"/>
      <c r="N17" s="195"/>
      <c r="O17" s="195"/>
    </row>
    <row r="18" spans="1:15">
      <c r="A18" s="189"/>
      <c r="B18" s="197"/>
      <c r="C18" s="197"/>
      <c r="D18" s="197"/>
      <c r="E18" s="197"/>
      <c r="F18" s="374" t="s">
        <v>278</v>
      </c>
      <c r="G18" s="374"/>
      <c r="H18" s="375"/>
      <c r="I18" s="376"/>
      <c r="J18" s="195"/>
      <c r="K18" s="195"/>
      <c r="L18" s="195"/>
      <c r="M18" s="195"/>
      <c r="N18" s="195"/>
      <c r="O18" s="195"/>
    </row>
    <row r="19" spans="1:15">
      <c r="A19" s="189"/>
      <c r="B19" s="197"/>
      <c r="C19" s="197"/>
      <c r="D19" s="197"/>
      <c r="E19" s="197"/>
      <c r="F19" s="374" t="s">
        <v>279</v>
      </c>
      <c r="G19" s="374"/>
      <c r="H19" s="375"/>
      <c r="I19" s="198"/>
      <c r="J19" s="195"/>
      <c r="K19" s="195"/>
      <c r="L19" s="195"/>
      <c r="M19" s="195"/>
      <c r="N19" s="195"/>
      <c r="O19" s="195"/>
    </row>
    <row r="20" spans="1:15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  <c r="J20" s="195"/>
      <c r="K20" s="195"/>
      <c r="L20" s="195"/>
      <c r="M20" s="195"/>
      <c r="N20" s="195"/>
      <c r="O20" s="195"/>
    </row>
    <row r="21" spans="1:15" ht="15.75">
      <c r="A21" s="184" t="s">
        <v>129</v>
      </c>
      <c r="B21" s="185"/>
      <c r="C21" s="185"/>
      <c r="D21" s="185"/>
      <c r="E21" s="185"/>
      <c r="F21" s="185"/>
      <c r="G21" s="185"/>
      <c r="H21" s="185"/>
      <c r="I21" s="186">
        <f>SUM(I10:I20)</f>
        <v>1900</v>
      </c>
      <c r="J21" s="195"/>
      <c r="K21" s="195"/>
      <c r="L21" s="195"/>
      <c r="M21" s="195"/>
      <c r="N21" s="195"/>
      <c r="O21" s="195"/>
    </row>
    <row r="22" spans="1:15">
      <c r="A22" s="120"/>
      <c r="B22" s="120"/>
      <c r="C22" s="120"/>
      <c r="D22" s="120"/>
      <c r="E22" s="120"/>
      <c r="F22" s="120"/>
      <c r="G22" s="120"/>
      <c r="H22" s="120"/>
      <c r="I22" s="120"/>
      <c r="J22" s="195"/>
      <c r="K22" s="195"/>
      <c r="L22" s="195"/>
      <c r="M22" s="195"/>
      <c r="N22" s="195"/>
      <c r="O22" s="195"/>
    </row>
    <row r="23" spans="1:15">
      <c r="A23" s="121" t="s">
        <v>130</v>
      </c>
      <c r="B23" s="121"/>
      <c r="C23" s="121"/>
      <c r="D23" s="121"/>
      <c r="E23" s="121"/>
      <c r="F23" s="121"/>
      <c r="G23" s="121"/>
      <c r="H23" s="121"/>
      <c r="I23" s="121"/>
      <c r="J23" s="195"/>
      <c r="K23" s="195"/>
      <c r="L23" s="195"/>
      <c r="M23" s="195"/>
      <c r="N23" s="195"/>
      <c r="O23" s="195"/>
    </row>
    <row r="24" spans="1:15">
      <c r="A24" s="121"/>
      <c r="B24" s="121" t="s">
        <v>131</v>
      </c>
      <c r="C24" s="121"/>
      <c r="D24" s="121"/>
      <c r="E24" s="187">
        <v>203210.04300000001</v>
      </c>
      <c r="F24" s="187"/>
      <c r="G24" s="121"/>
      <c r="H24" s="121"/>
      <c r="I24" s="121"/>
      <c r="J24" s="195"/>
      <c r="K24" s="195"/>
      <c r="L24" s="195"/>
      <c r="M24" s="199"/>
      <c r="N24" s="200"/>
      <c r="O24" s="195"/>
    </row>
    <row r="25" spans="1:15">
      <c r="A25" s="121"/>
      <c r="B25" s="121" t="s">
        <v>132</v>
      </c>
      <c r="C25" s="121"/>
      <c r="D25" s="121"/>
      <c r="E25" s="187">
        <v>58747.54</v>
      </c>
      <c r="F25" s="187"/>
      <c r="G25" s="188" t="s">
        <v>133</v>
      </c>
      <c r="H25" s="187">
        <f>+E25*100/E24</f>
        <v>28.909762102653559</v>
      </c>
      <c r="I25" s="121"/>
      <c r="J25" s="195"/>
      <c r="K25" s="121"/>
      <c r="L25" s="201"/>
      <c r="M25" s="195"/>
      <c r="N25" s="195"/>
      <c r="O25" s="195"/>
    </row>
    <row r="26" spans="1:15">
      <c r="A26" s="121"/>
      <c r="B26" s="121"/>
      <c r="C26" s="121"/>
      <c r="D26" s="121"/>
      <c r="E26" s="121"/>
      <c r="F26" s="121"/>
      <c r="G26" s="188"/>
      <c r="H26" s="121"/>
      <c r="I26" s="121"/>
      <c r="J26" s="195"/>
      <c r="K26" s="195"/>
      <c r="L26" s="195"/>
      <c r="M26" s="195"/>
      <c r="N26" s="195"/>
      <c r="O26" s="195"/>
    </row>
    <row r="27" spans="1:15">
      <c r="A27" s="121"/>
      <c r="B27" s="121" t="s">
        <v>134</v>
      </c>
      <c r="C27" s="121"/>
      <c r="D27" s="121"/>
      <c r="E27" s="187">
        <v>452093.48</v>
      </c>
      <c r="F27" s="187"/>
      <c r="G27" s="188"/>
      <c r="H27" s="121"/>
      <c r="I27" s="121"/>
      <c r="J27" s="195"/>
      <c r="K27" s="195"/>
      <c r="L27" s="195"/>
      <c r="M27" s="195"/>
      <c r="N27" s="195"/>
      <c r="O27" s="195"/>
    </row>
    <row r="28" spans="1:15">
      <c r="A28" s="121"/>
      <c r="B28" s="121" t="s">
        <v>135</v>
      </c>
      <c r="C28" s="121"/>
      <c r="D28" s="121"/>
      <c r="E28" s="187">
        <v>125245.64</v>
      </c>
      <c r="F28" s="187"/>
      <c r="G28" s="188" t="s">
        <v>136</v>
      </c>
      <c r="H28" s="187">
        <f>+E28*100/E27</f>
        <v>27.703482916851623</v>
      </c>
      <c r="I28" s="121"/>
      <c r="J28" s="195"/>
      <c r="K28" s="195"/>
      <c r="L28" s="195"/>
      <c r="M28" s="195"/>
      <c r="N28" s="195"/>
      <c r="O28" s="195"/>
    </row>
    <row r="29" spans="1:15">
      <c r="A29" s="121"/>
      <c r="B29" s="121" t="s">
        <v>137</v>
      </c>
      <c r="C29" s="121"/>
      <c r="D29" s="121"/>
      <c r="E29" s="187">
        <v>168999.45</v>
      </c>
      <c r="F29" s="187"/>
      <c r="G29" s="188"/>
      <c r="H29" s="121"/>
      <c r="I29" s="121"/>
      <c r="J29" s="195"/>
      <c r="K29" s="195"/>
      <c r="L29" s="195"/>
      <c r="M29" s="195"/>
      <c r="N29" s="195"/>
      <c r="O29" s="195"/>
    </row>
    <row r="30" spans="1:15">
      <c r="A30" s="121"/>
      <c r="B30" s="121"/>
      <c r="C30" s="121"/>
      <c r="D30" s="121"/>
      <c r="E30" s="121"/>
      <c r="F30" s="121"/>
      <c r="G30" s="188"/>
      <c r="H30" s="121"/>
      <c r="I30" s="121"/>
      <c r="J30" s="195"/>
      <c r="K30" s="195"/>
      <c r="L30" s="195"/>
      <c r="M30" s="195"/>
      <c r="N30" s="195"/>
      <c r="O30" s="195"/>
    </row>
    <row r="31" spans="1:15">
      <c r="A31" s="121"/>
      <c r="B31" s="121" t="s">
        <v>280</v>
      </c>
      <c r="C31" s="121"/>
      <c r="D31" s="121"/>
      <c r="E31" s="187">
        <v>62.27</v>
      </c>
      <c r="F31" s="187"/>
      <c r="G31" s="121"/>
      <c r="H31" s="187"/>
      <c r="I31" s="121"/>
      <c r="J31" s="195"/>
      <c r="K31" s="195"/>
      <c r="L31" s="195"/>
      <c r="M31" s="195"/>
      <c r="N31" s="195"/>
      <c r="O31" s="195"/>
    </row>
    <row r="32" spans="1:15">
      <c r="A32" s="121"/>
      <c r="B32" s="121" t="s">
        <v>281</v>
      </c>
      <c r="C32" s="121"/>
      <c r="D32" s="121"/>
      <c r="E32" s="187">
        <v>27</v>
      </c>
      <c r="F32" s="187"/>
      <c r="G32" s="188" t="s">
        <v>140</v>
      </c>
      <c r="H32" s="187">
        <f>+E32*100/E31</f>
        <v>43.359563192548578</v>
      </c>
      <c r="I32" s="121"/>
      <c r="J32" s="195"/>
      <c r="K32" s="195"/>
      <c r="L32" s="195"/>
      <c r="M32" s="195"/>
      <c r="N32" s="195"/>
      <c r="O32" s="195"/>
    </row>
    <row r="33" spans="6:15">
      <c r="J33" s="195"/>
      <c r="K33" s="195"/>
      <c r="L33" s="195"/>
      <c r="M33" s="195"/>
      <c r="N33" s="195"/>
      <c r="O33" s="195"/>
    </row>
    <row r="34" spans="6:15" hidden="1">
      <c r="F34">
        <v>99</v>
      </c>
    </row>
    <row r="35" spans="6:15" hidden="1">
      <c r="F35">
        <v>100</v>
      </c>
      <c r="G35">
        <v>100</v>
      </c>
    </row>
    <row r="36" spans="6:15" hidden="1">
      <c r="F36">
        <v>101</v>
      </c>
      <c r="G36">
        <v>100</v>
      </c>
    </row>
    <row r="37" spans="6:15" hidden="1">
      <c r="F37">
        <v>102</v>
      </c>
      <c r="G37">
        <v>100</v>
      </c>
    </row>
    <row r="38" spans="6:15" hidden="1">
      <c r="F38">
        <v>103</v>
      </c>
      <c r="G38">
        <v>100</v>
      </c>
    </row>
    <row r="39" spans="6:15" hidden="1">
      <c r="F39">
        <v>104</v>
      </c>
      <c r="G39">
        <v>100</v>
      </c>
    </row>
    <row r="40" spans="6:15" hidden="1">
      <c r="F40">
        <v>105</v>
      </c>
      <c r="G40">
        <v>100</v>
      </c>
    </row>
    <row r="41" spans="6:15" hidden="1">
      <c r="F41">
        <v>106</v>
      </c>
      <c r="G41">
        <v>200</v>
      </c>
    </row>
    <row r="42" spans="6:15" hidden="1">
      <c r="F42">
        <v>107</v>
      </c>
      <c r="G42">
        <v>200</v>
      </c>
    </row>
    <row r="43" spans="6:15" hidden="1">
      <c r="F43">
        <v>108</v>
      </c>
      <c r="G43">
        <v>200</v>
      </c>
    </row>
    <row r="44" spans="6:15" hidden="1">
      <c r="F44">
        <v>109</v>
      </c>
      <c r="G44">
        <v>200</v>
      </c>
    </row>
    <row r="45" spans="6:15" hidden="1">
      <c r="F45">
        <v>110</v>
      </c>
      <c r="G45">
        <v>200</v>
      </c>
    </row>
    <row r="46" spans="6:15" hidden="1">
      <c r="F46">
        <v>111</v>
      </c>
      <c r="G46">
        <v>200</v>
      </c>
    </row>
    <row r="47" spans="6:15" hidden="1">
      <c r="F47">
        <v>112</v>
      </c>
      <c r="G47">
        <v>200</v>
      </c>
    </row>
    <row r="48" spans="6:15" hidden="1">
      <c r="F48">
        <v>113</v>
      </c>
      <c r="G48">
        <v>200</v>
      </c>
    </row>
    <row r="49" spans="6:7" hidden="1">
      <c r="F49">
        <v>114</v>
      </c>
      <c r="G49">
        <v>200</v>
      </c>
    </row>
    <row r="50" spans="6:7" hidden="1">
      <c r="F50">
        <v>115</v>
      </c>
      <c r="G50">
        <v>300</v>
      </c>
    </row>
    <row r="51" spans="6:7" hidden="1">
      <c r="F51">
        <v>116</v>
      </c>
      <c r="G51">
        <v>300</v>
      </c>
    </row>
    <row r="52" spans="6:7" hidden="1">
      <c r="F52">
        <v>117</v>
      </c>
      <c r="G52">
        <v>300</v>
      </c>
    </row>
    <row r="53" spans="6:7" hidden="1">
      <c r="F53">
        <v>118</v>
      </c>
      <c r="G53">
        <v>300</v>
      </c>
    </row>
    <row r="54" spans="6:7" hidden="1">
      <c r="F54">
        <v>119</v>
      </c>
      <c r="G54">
        <v>300</v>
      </c>
    </row>
    <row r="55" spans="6:7" hidden="1">
      <c r="F55">
        <v>120</v>
      </c>
      <c r="G55">
        <v>300</v>
      </c>
    </row>
    <row r="56" spans="6:7" hidden="1">
      <c r="F56">
        <v>121</v>
      </c>
      <c r="G56">
        <v>400</v>
      </c>
    </row>
    <row r="57" spans="6:7" hidden="1">
      <c r="F57">
        <v>122</v>
      </c>
      <c r="G57">
        <v>400</v>
      </c>
    </row>
    <row r="75" spans="1:15">
      <c r="A75" s="84" t="s">
        <v>112</v>
      </c>
      <c r="B75" s="120"/>
      <c r="C75" s="120"/>
      <c r="D75" s="120"/>
      <c r="E75" s="120"/>
      <c r="F75" s="120"/>
      <c r="G75" s="120"/>
      <c r="H75" s="120"/>
      <c r="I75" s="189"/>
      <c r="J75" s="195"/>
      <c r="K75" s="195"/>
      <c r="L75" s="195"/>
      <c r="M75" s="195"/>
      <c r="N75" s="195"/>
      <c r="O75" s="195"/>
    </row>
    <row r="76" spans="1:15">
      <c r="A76" s="84" t="s">
        <v>113</v>
      </c>
      <c r="B76" s="120"/>
      <c r="C76" s="120"/>
      <c r="D76" s="120"/>
      <c r="E76" s="120"/>
      <c r="F76" s="120"/>
      <c r="G76" s="120"/>
      <c r="H76" s="120"/>
      <c r="I76" s="179" t="str">
        <f>+CONCATENATE("20142_",I78)</f>
        <v>20142_2</v>
      </c>
      <c r="J76" s="195"/>
      <c r="K76" s="195"/>
      <c r="L76" s="195"/>
      <c r="M76" s="195"/>
      <c r="N76" s="195"/>
      <c r="O76" s="195"/>
    </row>
    <row r="77" spans="1:15">
      <c r="A77" s="84" t="s">
        <v>114</v>
      </c>
      <c r="B77" s="120"/>
      <c r="C77" s="120"/>
      <c r="D77" s="120"/>
      <c r="E77" s="120"/>
      <c r="F77" s="120"/>
      <c r="G77" s="120"/>
      <c r="H77" s="120"/>
      <c r="I77" s="120"/>
      <c r="J77" s="195"/>
      <c r="K77" s="195"/>
      <c r="L77" s="195"/>
      <c r="M77" s="195"/>
      <c r="N77" s="195"/>
      <c r="O77" s="195"/>
    </row>
    <row r="78" spans="1:15">
      <c r="A78" s="120"/>
      <c r="B78" s="120"/>
      <c r="C78" s="120"/>
      <c r="D78" s="120"/>
      <c r="E78" s="120"/>
      <c r="F78" s="120"/>
      <c r="G78" s="120"/>
      <c r="H78" s="120"/>
      <c r="I78" s="191">
        <v>2</v>
      </c>
      <c r="J78" s="195"/>
      <c r="K78" s="195"/>
      <c r="L78" s="195"/>
      <c r="M78" s="195"/>
      <c r="N78" s="195"/>
      <c r="O78" s="195"/>
    </row>
    <row r="79" spans="1:15">
      <c r="A79" s="120" t="s">
        <v>115</v>
      </c>
      <c r="B79" s="120"/>
      <c r="C79" s="120"/>
      <c r="D79" s="120"/>
      <c r="E79" s="120"/>
      <c r="F79" s="120"/>
      <c r="G79" s="120"/>
      <c r="H79" s="120"/>
      <c r="I79" s="83">
        <f>I5</f>
        <v>43801</v>
      </c>
      <c r="J79" s="195"/>
      <c r="K79" s="195"/>
      <c r="L79" s="195"/>
      <c r="M79" s="195"/>
      <c r="N79" s="195"/>
      <c r="O79" s="195"/>
    </row>
    <row r="80" spans="1:15">
      <c r="A80" s="120"/>
      <c r="B80" s="120"/>
      <c r="C80" s="120"/>
      <c r="D80" s="120"/>
      <c r="E80" s="120"/>
      <c r="F80" s="120"/>
      <c r="G80" s="120"/>
      <c r="H80" s="120"/>
      <c r="I80" s="120"/>
      <c r="J80" s="195"/>
      <c r="K80" s="195"/>
      <c r="L80" s="195"/>
      <c r="M80" s="195"/>
      <c r="N80" s="195"/>
      <c r="O80" s="195"/>
    </row>
    <row r="81" spans="1:15">
      <c r="A81" s="120" t="s">
        <v>116</v>
      </c>
      <c r="B81" s="120"/>
      <c r="C81" s="84" t="str">
        <f>VLOOKUP(I78,AVANCEVENDEDOR!$A$2:$R$35,3,0)</f>
        <v>ESCOBEDO DUANI</v>
      </c>
      <c r="D81" s="120"/>
      <c r="E81" s="120"/>
      <c r="F81" s="120"/>
      <c r="G81" s="120"/>
      <c r="H81" s="120"/>
      <c r="I81" s="120"/>
      <c r="J81" s="195"/>
      <c r="K81" s="195"/>
      <c r="L81" s="195"/>
      <c r="M81" s="195"/>
      <c r="N81" s="195"/>
      <c r="O81" s="195"/>
    </row>
    <row r="82" spans="1:15">
      <c r="A82" s="120"/>
      <c r="B82" s="120"/>
      <c r="C82" s="120"/>
      <c r="D82" s="120"/>
      <c r="E82" s="120"/>
      <c r="F82" s="120"/>
      <c r="G82" s="120"/>
      <c r="H82" s="120"/>
      <c r="I82" s="84" t="s">
        <v>118</v>
      </c>
      <c r="J82" s="195"/>
      <c r="K82" s="195"/>
      <c r="L82" s="195"/>
      <c r="M82" s="195"/>
      <c r="N82" s="195"/>
      <c r="O82" s="195"/>
    </row>
    <row r="83" spans="1:15">
      <c r="A83" s="120"/>
      <c r="B83" s="120"/>
      <c r="C83" s="120"/>
      <c r="D83" s="120"/>
      <c r="E83" s="120"/>
      <c r="F83" s="120"/>
      <c r="G83" s="120"/>
      <c r="H83" s="120"/>
      <c r="I83" s="120"/>
      <c r="J83" s="195"/>
      <c r="K83" s="195"/>
      <c r="L83" s="195"/>
      <c r="M83" s="195"/>
      <c r="N83" s="195"/>
      <c r="O83" s="195"/>
    </row>
    <row r="84" spans="1:15">
      <c r="A84" s="120" t="s">
        <v>119</v>
      </c>
      <c r="B84" s="120"/>
      <c r="C84" s="120"/>
      <c r="D84" s="120"/>
      <c r="E84" s="120"/>
      <c r="F84" s="120"/>
      <c r="G84" s="120"/>
      <c r="H84" s="120"/>
      <c r="I84" s="181">
        <v>850</v>
      </c>
      <c r="J84" s="195"/>
      <c r="K84" s="195"/>
      <c r="L84" s="195"/>
      <c r="M84" s="195"/>
      <c r="N84" s="195"/>
      <c r="O84" s="195"/>
    </row>
    <row r="85" spans="1:15">
      <c r="A85" s="120" t="s">
        <v>120</v>
      </c>
      <c r="B85" s="120"/>
      <c r="C85" s="120"/>
      <c r="D85" s="120"/>
      <c r="E85" s="120"/>
      <c r="F85" s="86" t="s">
        <v>272</v>
      </c>
      <c r="G85" s="86" t="s">
        <v>122</v>
      </c>
      <c r="H85" s="86" t="s">
        <v>123</v>
      </c>
      <c r="I85" s="181">
        <v>400</v>
      </c>
      <c r="J85" s="195"/>
      <c r="K85" s="195"/>
      <c r="L85" s="195"/>
      <c r="M85" s="195"/>
      <c r="N85" s="195"/>
      <c r="O85" s="195"/>
    </row>
    <row r="86" spans="1:15">
      <c r="A86" s="120" t="s">
        <v>291</v>
      </c>
      <c r="B86" s="120"/>
      <c r="C86" s="120"/>
      <c r="D86" s="120"/>
      <c r="E86" s="120"/>
      <c r="F86" s="182">
        <v>0.5</v>
      </c>
      <c r="G86" s="182">
        <f>IF(I78=13,80,85)</f>
        <v>85</v>
      </c>
      <c r="H86" s="182">
        <f>+H99</f>
        <v>87.38500564167235</v>
      </c>
      <c r="I86" s="181">
        <f>IF(H86&gt;=G86,E99*F86%,0)</f>
        <v>703.13234999999997</v>
      </c>
      <c r="J86" s="195"/>
      <c r="K86" s="195"/>
      <c r="L86" s="195"/>
      <c r="M86" s="195"/>
      <c r="N86" s="195"/>
      <c r="O86" s="195"/>
    </row>
    <row r="87" spans="1:15">
      <c r="A87" s="120" t="str">
        <f>CONCATENATE("COM. MOROSIDAD AL ",G87,"%")</f>
        <v>COM. MOROSIDAD AL 5%</v>
      </c>
      <c r="B87" s="120"/>
      <c r="C87" s="120"/>
      <c r="D87" s="120"/>
      <c r="E87" s="120"/>
      <c r="F87" s="182">
        <v>0.3</v>
      </c>
      <c r="G87" s="182">
        <v>5</v>
      </c>
      <c r="H87" s="182">
        <f>+H102</f>
        <v>23.87</v>
      </c>
      <c r="I87" s="181">
        <f>+IF(H87&lt;=G87,E99*F87%,0)</f>
        <v>0</v>
      </c>
      <c r="J87" s="195"/>
      <c r="K87" s="195"/>
      <c r="L87" s="195"/>
      <c r="M87" s="195"/>
      <c r="N87" s="195"/>
      <c r="O87" s="195"/>
    </row>
    <row r="88" spans="1:15">
      <c r="A88" s="120" t="s">
        <v>292</v>
      </c>
      <c r="B88" s="120"/>
      <c r="C88" s="120"/>
      <c r="D88" s="120"/>
      <c r="E88" s="120"/>
      <c r="F88" s="182">
        <f>IF(I78=3,0.1,0.2)</f>
        <v>0.2</v>
      </c>
      <c r="G88" s="182">
        <f>IF(I78=23,50,85)</f>
        <v>85</v>
      </c>
      <c r="H88" s="182">
        <f>+H106</f>
        <v>54.285714285714285</v>
      </c>
      <c r="I88" s="181">
        <f>IF(H88&gt;=G88,E99*F88%,0)</f>
        <v>0</v>
      </c>
      <c r="J88" s="195"/>
      <c r="K88" s="195"/>
      <c r="L88" s="195"/>
      <c r="M88" s="195"/>
      <c r="N88" s="195"/>
      <c r="O88" s="195"/>
    </row>
    <row r="89" spans="1:15">
      <c r="A89" s="120" t="str">
        <f>IF(I78=23,"COMISION POR TIEMPODE VIAJE",IF(I78=22,"BONIFICACION"," "))</f>
        <v xml:space="preserve"> </v>
      </c>
      <c r="B89" s="120"/>
      <c r="C89" s="120"/>
      <c r="D89" s="120"/>
      <c r="E89" s="120"/>
      <c r="F89" s="120"/>
      <c r="G89" s="120"/>
      <c r="H89" s="182"/>
      <c r="I89" s="181" t="str">
        <f>IF(I78=23,300,IF(I78=22,400," "))</f>
        <v xml:space="preserve"> </v>
      </c>
      <c r="J89" s="195"/>
      <c r="K89" s="195"/>
      <c r="L89" s="195"/>
      <c r="M89" s="195"/>
      <c r="N89" s="195"/>
      <c r="O89" s="195"/>
    </row>
    <row r="90" spans="1:15">
      <c r="A90" s="189" t="s">
        <v>274</v>
      </c>
      <c r="B90" s="189"/>
      <c r="C90" s="189"/>
      <c r="D90" s="189"/>
      <c r="E90" s="189"/>
      <c r="F90" s="374" t="s">
        <v>275</v>
      </c>
      <c r="G90" s="374"/>
      <c r="H90" s="375" t="s">
        <v>276</v>
      </c>
      <c r="I90" s="193"/>
      <c r="J90" s="195"/>
      <c r="K90" s="195"/>
      <c r="L90" s="195"/>
      <c r="M90" s="195"/>
      <c r="N90" s="195"/>
      <c r="O90" s="195"/>
    </row>
    <row r="91" spans="1:15">
      <c r="A91" s="189"/>
      <c r="B91" s="189"/>
      <c r="C91" s="189"/>
      <c r="D91" s="189"/>
      <c r="E91" s="189"/>
      <c r="F91" s="374" t="s">
        <v>277</v>
      </c>
      <c r="G91" s="374"/>
      <c r="H91" s="375"/>
      <c r="I91" s="376">
        <v>0</v>
      </c>
      <c r="J91" s="195"/>
      <c r="K91" s="195"/>
      <c r="L91" s="195"/>
      <c r="M91" s="195"/>
      <c r="N91" s="195"/>
      <c r="O91" s="195"/>
    </row>
    <row r="92" spans="1:15">
      <c r="A92" s="189"/>
      <c r="B92" s="197"/>
      <c r="C92" s="197"/>
      <c r="D92" s="197"/>
      <c r="E92" s="197"/>
      <c r="F92" s="374" t="s">
        <v>278</v>
      </c>
      <c r="G92" s="374"/>
      <c r="H92" s="375"/>
      <c r="I92" s="376"/>
      <c r="J92" s="195"/>
      <c r="K92" s="195"/>
      <c r="L92" s="195"/>
      <c r="M92" s="195"/>
      <c r="N92" s="195"/>
      <c r="O92" s="195"/>
    </row>
    <row r="93" spans="1:15">
      <c r="A93" s="189"/>
      <c r="B93" s="197"/>
      <c r="C93" s="197"/>
      <c r="D93" s="197"/>
      <c r="E93" s="197"/>
      <c r="F93" s="374" t="s">
        <v>279</v>
      </c>
      <c r="G93" s="374"/>
      <c r="H93" s="375"/>
      <c r="I93" s="198"/>
      <c r="J93" s="195"/>
      <c r="K93" s="195"/>
      <c r="L93" s="195"/>
      <c r="M93" s="195"/>
      <c r="N93" s="195"/>
      <c r="O93" s="195"/>
    </row>
    <row r="94" spans="1:15">
      <c r="A94" s="120"/>
      <c r="B94" s="84" t="str">
        <f>IF(I78=13,"Remuneracion Extra"," ")</f>
        <v xml:space="preserve"> </v>
      </c>
      <c r="C94" s="120"/>
      <c r="D94" s="120"/>
      <c r="E94" s="120"/>
      <c r="F94" s="120"/>
      <c r="G94" s="120"/>
      <c r="H94" s="120"/>
      <c r="I94" s="183"/>
      <c r="J94" s="195"/>
      <c r="K94" s="195"/>
      <c r="L94" s="195"/>
      <c r="M94" s="195"/>
      <c r="N94" s="195"/>
      <c r="O94" s="195"/>
    </row>
    <row r="95" spans="1:15" ht="15.75">
      <c r="A95" s="184" t="s">
        <v>129</v>
      </c>
      <c r="B95" s="185"/>
      <c r="C95" s="185"/>
      <c r="D95" s="185"/>
      <c r="E95" s="185"/>
      <c r="F95" s="185"/>
      <c r="G95" s="185"/>
      <c r="H95" s="185"/>
      <c r="I95" s="186">
        <f>SUM(I84:I94)</f>
        <v>1953.1323499999999</v>
      </c>
      <c r="J95" s="195"/>
      <c r="K95" s="195"/>
      <c r="L95" s="195"/>
      <c r="M95" s="195"/>
      <c r="N95" s="195"/>
      <c r="O95" s="195"/>
    </row>
    <row r="96" spans="1:15">
      <c r="A96" s="120"/>
      <c r="B96" s="120"/>
      <c r="C96" s="120"/>
      <c r="D96" s="120"/>
      <c r="E96" s="120"/>
      <c r="F96" s="120"/>
      <c r="G96" s="120"/>
      <c r="H96" s="120"/>
      <c r="I96" s="120"/>
      <c r="J96" s="195"/>
      <c r="K96" s="195"/>
      <c r="L96" s="195"/>
      <c r="M96" s="195"/>
      <c r="N96" s="195"/>
      <c r="O96" s="195"/>
    </row>
    <row r="97" spans="1:15">
      <c r="A97" s="121" t="s">
        <v>130</v>
      </c>
      <c r="B97" s="121"/>
      <c r="C97" s="121"/>
      <c r="D97" s="121"/>
      <c r="E97" s="121"/>
      <c r="F97" s="121"/>
      <c r="G97" s="121"/>
      <c r="H97" s="121"/>
      <c r="I97" s="121"/>
      <c r="J97" s="195"/>
      <c r="K97" s="195"/>
      <c r="L97" s="195"/>
      <c r="M97" s="195"/>
      <c r="N97" s="195"/>
      <c r="O97" s="195"/>
    </row>
    <row r="98" spans="1:15">
      <c r="A98" s="121"/>
      <c r="B98" s="121" t="s">
        <v>131</v>
      </c>
      <c r="C98" s="121"/>
      <c r="D98" s="121"/>
      <c r="E98" s="187">
        <f>VLOOKUP(I78,AVANCEVENDEDOR!$A$2:$R$35,7,0)</f>
        <v>160927.46</v>
      </c>
      <c r="F98" s="187"/>
      <c r="G98" s="121"/>
      <c r="H98" s="121"/>
      <c r="I98" s="121"/>
      <c r="J98" s="195"/>
      <c r="K98" s="195"/>
      <c r="L98" s="195"/>
      <c r="M98" s="199"/>
      <c r="N98" s="200"/>
      <c r="O98" s="195"/>
    </row>
    <row r="99" spans="1:15">
      <c r="A99" s="121"/>
      <c r="B99" s="121" t="s">
        <v>132</v>
      </c>
      <c r="C99" s="121"/>
      <c r="D99" s="121"/>
      <c r="E99" s="187">
        <f>IF(I78=27,(VLOOKUP(I78,AVANCEVENDEDOR!$A$2:$R$35,6,0)-I75),(VLOOKUP(I78,AVANCEVENDEDOR!$A$2:$R$35,6,0)))</f>
        <v>140626.47</v>
      </c>
      <c r="F99" s="187"/>
      <c r="G99" s="188" t="s">
        <v>133</v>
      </c>
      <c r="H99" s="187">
        <f>+E99*100/E98</f>
        <v>87.38500564167235</v>
      </c>
      <c r="I99" s="121"/>
      <c r="J99" s="195"/>
      <c r="K99" s="121"/>
      <c r="L99" s="201"/>
      <c r="M99" s="195"/>
      <c r="N99" s="195"/>
      <c r="O99" s="195"/>
    </row>
    <row r="100" spans="1:15">
      <c r="A100" s="121"/>
      <c r="B100" s="121"/>
      <c r="C100" s="121"/>
      <c r="D100" s="121"/>
      <c r="E100" s="121"/>
      <c r="F100" s="121"/>
      <c r="G100" s="188"/>
      <c r="H100" s="121"/>
      <c r="I100" s="121"/>
      <c r="J100" s="195"/>
      <c r="K100" s="195"/>
      <c r="L100" s="195"/>
      <c r="M100" s="195"/>
      <c r="N100" s="195"/>
      <c r="O100" s="195"/>
    </row>
    <row r="101" spans="1:15">
      <c r="A101" s="121"/>
      <c r="B101" s="121" t="s">
        <v>134</v>
      </c>
      <c r="C101" s="121"/>
      <c r="D101" s="121"/>
      <c r="E101" s="187">
        <f>VLOOKUP(I78,AVANCEVENDEDOR!$A$2:$R$35,10,0)</f>
        <v>307761.62</v>
      </c>
      <c r="F101" s="187"/>
      <c r="G101" s="188"/>
      <c r="H101" s="121"/>
      <c r="I101" s="121"/>
      <c r="J101" s="195"/>
      <c r="K101" s="195"/>
      <c r="L101" s="195"/>
      <c r="M101" s="195"/>
      <c r="N101" s="195"/>
      <c r="O101" s="195"/>
    </row>
    <row r="102" spans="1:15">
      <c r="A102" s="121"/>
      <c r="B102" s="121" t="s">
        <v>135</v>
      </c>
      <c r="C102" s="121"/>
      <c r="D102" s="121"/>
      <c r="E102" s="187">
        <f>VLOOKUP(I78,AVANCEVENDEDOR!$A$2:$R$35,11,0)</f>
        <v>73480.81</v>
      </c>
      <c r="F102" s="187"/>
      <c r="G102" s="188" t="s">
        <v>136</v>
      </c>
      <c r="H102" s="187">
        <f>VLOOKUP(I78,AVANCEVENDEDOR!$A$2:$R$35,15,0)</f>
        <v>23.87</v>
      </c>
      <c r="I102" s="121"/>
      <c r="J102" s="195"/>
      <c r="K102" s="195"/>
      <c r="L102" s="195"/>
      <c r="M102" s="195"/>
      <c r="N102" s="195"/>
      <c r="O102" s="195"/>
    </row>
    <row r="103" spans="1:15">
      <c r="A103" s="121"/>
      <c r="B103" s="121" t="s">
        <v>137</v>
      </c>
      <c r="C103" s="121"/>
      <c r="D103" s="121"/>
      <c r="E103" s="187">
        <f>VLOOKUP(I78,AVANCEVENDEDOR!$A$2:$R$35,9,0)</f>
        <v>141097.16</v>
      </c>
      <c r="F103" s="187"/>
      <c r="G103" s="188"/>
      <c r="H103" s="121"/>
      <c r="I103" s="121"/>
      <c r="J103" s="195"/>
      <c r="K103" s="195"/>
      <c r="L103" s="195"/>
      <c r="M103" s="195"/>
      <c r="N103" s="195"/>
      <c r="O103" s="195"/>
    </row>
    <row r="104" spans="1:15">
      <c r="A104" s="121"/>
      <c r="B104" s="121"/>
      <c r="C104" s="121"/>
      <c r="D104" s="121"/>
      <c r="E104" s="121"/>
      <c r="F104" s="121"/>
      <c r="G104" s="188"/>
      <c r="H104" s="121"/>
      <c r="I104" s="121"/>
      <c r="J104" s="195"/>
      <c r="K104" s="195"/>
      <c r="L104" s="195"/>
      <c r="M104" s="195"/>
      <c r="N104" s="195"/>
      <c r="O104" s="195"/>
    </row>
    <row r="105" spans="1:15">
      <c r="A105" s="121"/>
      <c r="B105" s="121" t="s">
        <v>280</v>
      </c>
      <c r="C105" s="121"/>
      <c r="D105" s="121"/>
      <c r="E105" s="187">
        <f>VLOOKUP(I78,AVANCEVENDEDOR!$A$2:$R$35,13,0)</f>
        <v>105</v>
      </c>
      <c r="F105" s="187"/>
      <c r="G105" s="121"/>
      <c r="H105" s="187"/>
      <c r="I105" s="121"/>
      <c r="J105" s="195"/>
      <c r="K105" s="195"/>
      <c r="L105" s="195"/>
      <c r="M105" s="195"/>
      <c r="N105" s="195"/>
      <c r="O105" s="195"/>
    </row>
    <row r="106" spans="1:15">
      <c r="A106" s="121"/>
      <c r="B106" s="121" t="s">
        <v>281</v>
      </c>
      <c r="C106" s="121"/>
      <c r="D106" s="121"/>
      <c r="E106" s="187">
        <f>VLOOKUP(I78,AVANCEVENDEDOR!$A$2:$R$35,14,0)</f>
        <v>57</v>
      </c>
      <c r="F106" s="187"/>
      <c r="G106" s="188" t="s">
        <v>140</v>
      </c>
      <c r="H106" s="187">
        <f>+E106*100/E105</f>
        <v>54.285714285714285</v>
      </c>
      <c r="I106" s="121"/>
      <c r="J106" s="195"/>
      <c r="K106" s="195"/>
      <c r="L106" s="195"/>
      <c r="M106" s="195"/>
      <c r="N106" s="195"/>
      <c r="O106" s="195"/>
    </row>
    <row r="107" spans="1:15">
      <c r="J107" s="195"/>
      <c r="K107" s="195"/>
      <c r="L107" s="195"/>
      <c r="M107" s="195"/>
      <c r="N107" s="195"/>
      <c r="O107" s="195"/>
    </row>
    <row r="108" spans="1:15" hidden="1">
      <c r="F108">
        <v>99</v>
      </c>
    </row>
    <row r="109" spans="1:15" hidden="1">
      <c r="F109">
        <v>100</v>
      </c>
      <c r="G109">
        <v>100</v>
      </c>
    </row>
    <row r="110" spans="1:15" hidden="1">
      <c r="F110">
        <v>101</v>
      </c>
      <c r="G110">
        <v>100</v>
      </c>
    </row>
    <row r="111" spans="1:15" hidden="1">
      <c r="F111">
        <v>102</v>
      </c>
      <c r="G111">
        <v>100</v>
      </c>
    </row>
    <row r="112" spans="1:15" hidden="1">
      <c r="F112">
        <v>103</v>
      </c>
      <c r="G112">
        <v>100</v>
      </c>
    </row>
    <row r="113" spans="6:7" hidden="1">
      <c r="F113">
        <v>104</v>
      </c>
      <c r="G113">
        <v>100</v>
      </c>
    </row>
    <row r="114" spans="6:7" hidden="1">
      <c r="F114">
        <v>105</v>
      </c>
      <c r="G114">
        <v>100</v>
      </c>
    </row>
    <row r="115" spans="6:7" hidden="1">
      <c r="F115">
        <v>106</v>
      </c>
      <c r="G115">
        <v>200</v>
      </c>
    </row>
    <row r="116" spans="6:7" hidden="1">
      <c r="F116">
        <v>107</v>
      </c>
      <c r="G116">
        <v>200</v>
      </c>
    </row>
    <row r="117" spans="6:7" hidden="1">
      <c r="F117">
        <v>108</v>
      </c>
      <c r="G117">
        <v>200</v>
      </c>
    </row>
    <row r="118" spans="6:7" hidden="1">
      <c r="F118">
        <v>109</v>
      </c>
      <c r="G118">
        <v>200</v>
      </c>
    </row>
    <row r="119" spans="6:7" hidden="1">
      <c r="F119">
        <v>110</v>
      </c>
      <c r="G119">
        <v>200</v>
      </c>
    </row>
    <row r="120" spans="6:7" hidden="1">
      <c r="F120">
        <v>111</v>
      </c>
      <c r="G120">
        <v>200</v>
      </c>
    </row>
    <row r="121" spans="6:7" hidden="1">
      <c r="F121">
        <v>112</v>
      </c>
      <c r="G121">
        <v>200</v>
      </c>
    </row>
    <row r="122" spans="6:7" hidden="1">
      <c r="F122">
        <v>113</v>
      </c>
      <c r="G122">
        <v>200</v>
      </c>
    </row>
    <row r="123" spans="6:7" hidden="1">
      <c r="F123">
        <v>114</v>
      </c>
      <c r="G123">
        <v>200</v>
      </c>
    </row>
    <row r="124" spans="6:7" hidden="1">
      <c r="F124">
        <v>115</v>
      </c>
      <c r="G124">
        <v>300</v>
      </c>
    </row>
    <row r="125" spans="6:7" hidden="1">
      <c r="F125">
        <v>116</v>
      </c>
      <c r="G125">
        <v>300</v>
      </c>
    </row>
    <row r="126" spans="6:7" hidden="1">
      <c r="F126">
        <v>117</v>
      </c>
      <c r="G126">
        <v>300</v>
      </c>
    </row>
    <row r="127" spans="6:7" hidden="1">
      <c r="F127">
        <v>118</v>
      </c>
      <c r="G127">
        <v>300</v>
      </c>
    </row>
    <row r="128" spans="6:7" hidden="1">
      <c r="F128">
        <v>119</v>
      </c>
      <c r="G128">
        <v>300</v>
      </c>
    </row>
    <row r="129" spans="6:7" hidden="1">
      <c r="F129">
        <v>120</v>
      </c>
      <c r="G129">
        <v>300</v>
      </c>
    </row>
    <row r="130" spans="6:7" hidden="1">
      <c r="F130">
        <v>121</v>
      </c>
      <c r="G130">
        <v>400</v>
      </c>
    </row>
    <row r="131" spans="6:7" hidden="1">
      <c r="F131">
        <v>122</v>
      </c>
      <c r="G131">
        <v>400</v>
      </c>
    </row>
    <row r="149" spans="1:15">
      <c r="A149" s="84" t="s">
        <v>112</v>
      </c>
      <c r="B149" s="120"/>
      <c r="C149" s="120"/>
      <c r="D149" s="120"/>
      <c r="E149" s="120"/>
      <c r="F149" s="120"/>
      <c r="G149" s="120"/>
      <c r="H149" s="120"/>
      <c r="I149" s="189"/>
      <c r="J149" s="195"/>
      <c r="K149" s="195"/>
      <c r="L149" s="195"/>
      <c r="M149" s="195"/>
      <c r="N149" s="195"/>
      <c r="O149" s="195"/>
    </row>
    <row r="150" spans="1:15">
      <c r="A150" s="84" t="s">
        <v>113</v>
      </c>
      <c r="B150" s="120"/>
      <c r="C150" s="120"/>
      <c r="D150" s="120"/>
      <c r="E150" s="120"/>
      <c r="F150" s="120"/>
      <c r="G150" s="120"/>
      <c r="H150" s="120"/>
      <c r="I150" s="179" t="str">
        <f>+CONCATENATE("20142_",I152)</f>
        <v>20142_3</v>
      </c>
      <c r="J150" s="195"/>
      <c r="K150" s="195"/>
      <c r="L150" s="195"/>
      <c r="M150" s="195"/>
      <c r="N150" s="195"/>
      <c r="O150" s="195"/>
    </row>
    <row r="151" spans="1:15">
      <c r="A151" s="84" t="s">
        <v>114</v>
      </c>
      <c r="B151" s="120"/>
      <c r="C151" s="120"/>
      <c r="D151" s="120"/>
      <c r="E151" s="120"/>
      <c r="F151" s="120"/>
      <c r="G151" s="120"/>
      <c r="H151" s="120"/>
      <c r="I151" s="120"/>
      <c r="J151" s="195"/>
      <c r="K151" s="195"/>
      <c r="L151" s="195"/>
      <c r="M151" s="195"/>
      <c r="N151" s="195"/>
      <c r="O151" s="195"/>
    </row>
    <row r="152" spans="1:15">
      <c r="A152" s="120"/>
      <c r="B152" s="120"/>
      <c r="C152" s="120"/>
      <c r="D152" s="120"/>
      <c r="E152" s="120"/>
      <c r="F152" s="120"/>
      <c r="G152" s="120"/>
      <c r="H152" s="120"/>
      <c r="I152" s="191">
        <v>3</v>
      </c>
      <c r="J152" s="195"/>
      <c r="K152" s="195"/>
      <c r="L152" s="195"/>
      <c r="M152" s="195"/>
      <c r="N152" s="195"/>
      <c r="O152" s="195"/>
    </row>
    <row r="153" spans="1:15">
      <c r="A153" s="120" t="s">
        <v>115</v>
      </c>
      <c r="B153" s="120"/>
      <c r="C153" s="120"/>
      <c r="D153" s="120"/>
      <c r="E153" s="120"/>
      <c r="F153" s="120"/>
      <c r="G153" s="120"/>
      <c r="H153" s="120"/>
      <c r="I153" s="83">
        <f>I5</f>
        <v>43801</v>
      </c>
      <c r="J153" s="195"/>
      <c r="K153" s="195"/>
      <c r="L153" s="195"/>
      <c r="M153" s="195"/>
      <c r="N153" s="195"/>
      <c r="O153" s="195"/>
    </row>
    <row r="154" spans="1:15">
      <c r="A154" s="120"/>
      <c r="B154" s="120"/>
      <c r="C154" s="120"/>
      <c r="D154" s="120"/>
      <c r="E154" s="120"/>
      <c r="F154" s="120"/>
      <c r="G154" s="120"/>
      <c r="H154" s="120"/>
      <c r="I154" s="120"/>
      <c r="J154" s="195"/>
      <c r="K154" s="195"/>
      <c r="L154" s="195"/>
      <c r="M154" s="195"/>
      <c r="N154" s="195"/>
      <c r="O154" s="195"/>
    </row>
    <row r="155" spans="1:15">
      <c r="A155" s="120" t="s">
        <v>116</v>
      </c>
      <c r="B155" s="120"/>
      <c r="C155" s="84" t="str">
        <f>VLOOKUP(I152,AVANCEVENDEDOR!$A$2:$R$35,3,0)</f>
        <v>GARCIA GARCIA ROXANA</v>
      </c>
      <c r="D155" s="120"/>
      <c r="E155" s="120"/>
      <c r="F155" s="120"/>
      <c r="G155" s="120"/>
      <c r="H155" s="120"/>
      <c r="I155" s="120"/>
      <c r="J155" s="195"/>
      <c r="K155" s="195"/>
      <c r="L155" s="195"/>
      <c r="M155" s="195"/>
      <c r="N155" s="195"/>
      <c r="O155" s="195"/>
    </row>
    <row r="156" spans="1:15">
      <c r="A156" s="120"/>
      <c r="B156" s="120"/>
      <c r="C156" s="120"/>
      <c r="D156" s="120"/>
      <c r="E156" s="120"/>
      <c r="F156" s="120"/>
      <c r="G156" s="120"/>
      <c r="H156" s="120"/>
      <c r="I156" s="84" t="s">
        <v>118</v>
      </c>
      <c r="J156" s="195"/>
      <c r="K156" s="195"/>
      <c r="L156" s="195"/>
      <c r="M156" s="195"/>
      <c r="N156" s="195"/>
      <c r="O156" s="195"/>
    </row>
    <row r="157" spans="1:15">
      <c r="A157" s="120"/>
      <c r="B157" s="120"/>
      <c r="C157" s="120"/>
      <c r="D157" s="120"/>
      <c r="E157" s="120"/>
      <c r="F157" s="120"/>
      <c r="G157" s="120"/>
      <c r="H157" s="120"/>
      <c r="I157" s="120"/>
      <c r="J157" s="195"/>
      <c r="K157" s="195"/>
      <c r="L157" s="195"/>
      <c r="M157" s="195"/>
      <c r="N157" s="195"/>
      <c r="O157" s="195"/>
    </row>
    <row r="158" spans="1:15">
      <c r="A158" s="120" t="s">
        <v>119</v>
      </c>
      <c r="B158" s="120"/>
      <c r="C158" s="120"/>
      <c r="D158" s="120"/>
      <c r="E158" s="120"/>
      <c r="F158" s="120"/>
      <c r="G158" s="120"/>
      <c r="H158" s="120"/>
      <c r="I158" s="181">
        <v>930</v>
      </c>
      <c r="J158" s="195"/>
      <c r="K158" s="195"/>
      <c r="L158" s="195"/>
      <c r="M158" s="195"/>
      <c r="N158" s="195"/>
      <c r="O158" s="195"/>
    </row>
    <row r="159" spans="1:15">
      <c r="A159" s="120" t="s">
        <v>120</v>
      </c>
      <c r="B159" s="120"/>
      <c r="C159" s="120"/>
      <c r="D159" s="120"/>
      <c r="E159" s="120"/>
      <c r="F159" s="86" t="s">
        <v>272</v>
      </c>
      <c r="G159" s="86" t="s">
        <v>122</v>
      </c>
      <c r="H159" s="86" t="s">
        <v>123</v>
      </c>
      <c r="I159" s="181">
        <v>400</v>
      </c>
      <c r="J159" s="195"/>
      <c r="K159" s="195"/>
      <c r="L159" s="195"/>
      <c r="M159" s="195"/>
      <c r="N159" s="195"/>
      <c r="O159" s="195"/>
    </row>
    <row r="160" spans="1:15">
      <c r="A160" s="120" t="s">
        <v>291</v>
      </c>
      <c r="B160" s="120"/>
      <c r="C160" s="120"/>
      <c r="D160" s="120"/>
      <c r="E160" s="120"/>
      <c r="F160" s="182">
        <v>0.5</v>
      </c>
      <c r="G160" s="182">
        <f>IF(I152=13,80,85)</f>
        <v>85</v>
      </c>
      <c r="H160" s="182">
        <f>+H173</f>
        <v>63.302902551287382</v>
      </c>
      <c r="I160" s="181">
        <f>IF(H160&gt;=G160,E173*F160%,0)</f>
        <v>0</v>
      </c>
      <c r="J160" s="195"/>
      <c r="K160" s="195"/>
      <c r="L160" s="195"/>
      <c r="M160" s="195"/>
      <c r="N160" s="195"/>
      <c r="O160" s="195"/>
    </row>
    <row r="161" spans="1:15">
      <c r="A161" s="120" t="str">
        <f>CONCATENATE("COM. MOROSIDAD AL ",G161,"%")</f>
        <v>COM. MOROSIDAD AL 5%</v>
      </c>
      <c r="B161" s="120"/>
      <c r="C161" s="120"/>
      <c r="D161" s="120"/>
      <c r="E161" s="120"/>
      <c r="F161" s="182">
        <v>0.3</v>
      </c>
      <c r="G161" s="182">
        <v>5</v>
      </c>
      <c r="H161" s="182">
        <f>+H176</f>
        <v>4</v>
      </c>
      <c r="I161" s="181">
        <f>+IF(H161&lt;=G161,E173*F161%,0)</f>
        <v>841.93400999999994</v>
      </c>
      <c r="J161" s="195"/>
      <c r="K161" s="195"/>
      <c r="L161" s="195"/>
      <c r="M161" s="195"/>
      <c r="N161" s="195"/>
      <c r="O161" s="195"/>
    </row>
    <row r="162" spans="1:15">
      <c r="A162" s="120" t="s">
        <v>292</v>
      </c>
      <c r="B162" s="120"/>
      <c r="C162" s="120"/>
      <c r="D162" s="120"/>
      <c r="E162" s="120"/>
      <c r="F162" s="182">
        <f>IF(I152=3,0.1,0.2)</f>
        <v>0.1</v>
      </c>
      <c r="G162" s="182">
        <f>IF(I152=23,50,85)</f>
        <v>85</v>
      </c>
      <c r="H162" s="182">
        <f>+H180</f>
        <v>93.333333333333329</v>
      </c>
      <c r="I162" s="181">
        <f>IF(H162&gt;=G162,E173*F162%,0)</f>
        <v>280.64466999999996</v>
      </c>
      <c r="J162" s="195"/>
      <c r="K162" s="195"/>
      <c r="L162" s="195"/>
      <c r="M162" s="195"/>
      <c r="N162" s="195"/>
      <c r="O162" s="195"/>
    </row>
    <row r="163" spans="1:15">
      <c r="A163" s="120" t="str">
        <f>IF(I152=23,"COMISION POR TIEMPODE VIAJE",IF(I152=22,"BONIFICACION"," "))</f>
        <v xml:space="preserve"> </v>
      </c>
      <c r="B163" s="120"/>
      <c r="C163" s="120"/>
      <c r="D163" s="120"/>
      <c r="E163" s="120"/>
      <c r="F163" s="120"/>
      <c r="G163" s="120"/>
      <c r="H163" s="182"/>
      <c r="I163" s="181" t="str">
        <f>IF(I152=23,300,IF(I152=22,400," "))</f>
        <v xml:space="preserve"> </v>
      </c>
      <c r="J163" s="195"/>
      <c r="K163" s="195"/>
      <c r="L163" s="195"/>
      <c r="M163" s="195"/>
      <c r="N163" s="195"/>
      <c r="O163" s="195"/>
    </row>
    <row r="164" spans="1:15">
      <c r="A164" s="189" t="s">
        <v>274</v>
      </c>
      <c r="B164" s="189"/>
      <c r="C164" s="189"/>
      <c r="D164" s="189"/>
      <c r="E164" s="189"/>
      <c r="F164" s="374" t="s">
        <v>275</v>
      </c>
      <c r="G164" s="374"/>
      <c r="H164" s="375" t="s">
        <v>276</v>
      </c>
      <c r="I164" s="193"/>
      <c r="J164" s="195"/>
      <c r="K164" s="195"/>
      <c r="L164" s="195"/>
      <c r="M164" s="195"/>
      <c r="N164" s="195"/>
      <c r="O164" s="195"/>
    </row>
    <row r="165" spans="1:15">
      <c r="A165" s="189"/>
      <c r="B165" s="189"/>
      <c r="C165" s="189"/>
      <c r="D165" s="189"/>
      <c r="E165" s="189"/>
      <c r="F165" s="374" t="s">
        <v>277</v>
      </c>
      <c r="G165" s="374"/>
      <c r="H165" s="375"/>
      <c r="I165" s="376">
        <v>0</v>
      </c>
      <c r="J165" s="195"/>
      <c r="K165" s="195"/>
      <c r="L165" s="195"/>
      <c r="M165" s="195"/>
      <c r="N165" s="195"/>
      <c r="O165" s="195"/>
    </row>
    <row r="166" spans="1:15">
      <c r="A166" s="189"/>
      <c r="B166" s="197"/>
      <c r="C166" s="197"/>
      <c r="D166" s="197"/>
      <c r="E166" s="197"/>
      <c r="F166" s="374" t="s">
        <v>278</v>
      </c>
      <c r="G166" s="374"/>
      <c r="H166" s="375"/>
      <c r="I166" s="376"/>
      <c r="J166" s="195"/>
      <c r="K166" s="195"/>
      <c r="L166" s="195"/>
      <c r="M166" s="195"/>
      <c r="N166" s="195"/>
      <c r="O166" s="195"/>
    </row>
    <row r="167" spans="1:15">
      <c r="A167" s="189"/>
      <c r="B167" s="197"/>
      <c r="C167" s="197"/>
      <c r="D167" s="197"/>
      <c r="E167" s="197"/>
      <c r="F167" s="374" t="s">
        <v>279</v>
      </c>
      <c r="G167" s="374"/>
      <c r="H167" s="375"/>
      <c r="I167" s="198"/>
      <c r="J167" s="195"/>
      <c r="K167" s="195"/>
      <c r="L167" s="195"/>
      <c r="M167" s="195"/>
      <c r="N167" s="195"/>
      <c r="O167" s="195"/>
    </row>
    <row r="168" spans="1:15">
      <c r="A168" s="120"/>
      <c r="B168" s="84" t="str">
        <f>IF(I152=13,"Remuneracion Extra"," ")</f>
        <v xml:space="preserve"> </v>
      </c>
      <c r="C168" s="120"/>
      <c r="D168" s="120"/>
      <c r="E168" s="120"/>
      <c r="F168" s="120"/>
      <c r="G168" s="120"/>
      <c r="H168" s="120"/>
      <c r="I168" s="183"/>
      <c r="J168" s="195"/>
      <c r="K168" s="195"/>
      <c r="L168" s="195"/>
      <c r="M168" s="195"/>
      <c r="N168" s="195"/>
      <c r="O168" s="195"/>
    </row>
    <row r="169" spans="1:15" ht="15.75">
      <c r="A169" s="184" t="s">
        <v>129</v>
      </c>
      <c r="B169" s="185"/>
      <c r="C169" s="185"/>
      <c r="D169" s="185"/>
      <c r="E169" s="185"/>
      <c r="F169" s="185"/>
      <c r="G169" s="185"/>
      <c r="H169" s="185"/>
      <c r="I169" s="186">
        <f>SUM(I158:I168)</f>
        <v>2452.5786800000001</v>
      </c>
      <c r="J169" s="195"/>
      <c r="K169" s="195"/>
      <c r="L169" s="195"/>
      <c r="M169" s="195"/>
      <c r="N169" s="195"/>
      <c r="O169" s="195"/>
    </row>
    <row r="170" spans="1:15">
      <c r="A170" s="120"/>
      <c r="B170" s="120"/>
      <c r="C170" s="120"/>
      <c r="D170" s="120"/>
      <c r="E170" s="120"/>
      <c r="F170" s="120"/>
      <c r="G170" s="120"/>
      <c r="H170" s="120"/>
      <c r="I170" s="120"/>
      <c r="J170" s="195"/>
      <c r="K170" s="195"/>
      <c r="L170" s="195"/>
      <c r="M170" s="195"/>
      <c r="N170" s="195"/>
      <c r="O170" s="195"/>
    </row>
    <row r="171" spans="1:15">
      <c r="A171" s="121" t="s">
        <v>130</v>
      </c>
      <c r="B171" s="121"/>
      <c r="C171" s="121"/>
      <c r="D171" s="121"/>
      <c r="E171" s="121"/>
      <c r="F171" s="121"/>
      <c r="G171" s="121"/>
      <c r="H171" s="121"/>
      <c r="I171" s="121"/>
      <c r="J171" s="195"/>
      <c r="K171" s="195"/>
      <c r="L171" s="195"/>
      <c r="M171" s="195"/>
      <c r="N171" s="195"/>
      <c r="O171" s="195"/>
    </row>
    <row r="172" spans="1:15">
      <c r="A172" s="121"/>
      <c r="B172" s="121" t="s">
        <v>131</v>
      </c>
      <c r="C172" s="121"/>
      <c r="D172" s="121"/>
      <c r="E172" s="187">
        <f>VLOOKUP(I152,AVANCEVENDEDOR!$A$2:$R$35,7,0)</f>
        <v>443336.18</v>
      </c>
      <c r="F172" s="187"/>
      <c r="G172" s="121"/>
      <c r="H172" s="121"/>
      <c r="I172" s="121"/>
      <c r="J172" s="195"/>
      <c r="K172" s="195"/>
      <c r="L172" s="195"/>
      <c r="M172" s="199"/>
      <c r="N172" s="200"/>
      <c r="O172" s="195"/>
    </row>
    <row r="173" spans="1:15">
      <c r="A173" s="121"/>
      <c r="B173" s="121" t="s">
        <v>132</v>
      </c>
      <c r="C173" s="121"/>
      <c r="D173" s="121"/>
      <c r="E173" s="187">
        <f>IF(I152=27,(VLOOKUP(I152,AVANCEVENDEDOR!$A$2:$R$35,6,0)-I149),(VLOOKUP(I152,AVANCEVENDEDOR!$A$2:$R$35,6,0)))</f>
        <v>280644.67</v>
      </c>
      <c r="F173" s="187"/>
      <c r="G173" s="188" t="s">
        <v>133</v>
      </c>
      <c r="H173" s="187">
        <f>+E173*100/E172</f>
        <v>63.302902551287382</v>
      </c>
      <c r="I173" s="121"/>
      <c r="J173" s="195"/>
      <c r="K173" s="121"/>
      <c r="L173" s="201"/>
      <c r="M173" s="195"/>
      <c r="N173" s="195"/>
      <c r="O173" s="195"/>
    </row>
    <row r="174" spans="1:15">
      <c r="A174" s="121"/>
      <c r="B174" s="121"/>
      <c r="C174" s="121"/>
      <c r="D174" s="121"/>
      <c r="E174" s="121"/>
      <c r="F174" s="121"/>
      <c r="G174" s="188"/>
      <c r="H174" s="121"/>
      <c r="I174" s="121"/>
      <c r="J174" s="195"/>
      <c r="K174" s="195"/>
      <c r="L174" s="195"/>
      <c r="M174" s="195"/>
      <c r="N174" s="195"/>
      <c r="O174" s="195"/>
    </row>
    <row r="175" spans="1:15">
      <c r="A175" s="121"/>
      <c r="B175" s="121" t="s">
        <v>134</v>
      </c>
      <c r="C175" s="121"/>
      <c r="D175" s="121"/>
      <c r="E175" s="187">
        <f>VLOOKUP(I152,AVANCEVENDEDOR!$A$2:$R$35,10,0)</f>
        <v>696268.14</v>
      </c>
      <c r="F175" s="187"/>
      <c r="G175" s="188"/>
      <c r="H175" s="121"/>
      <c r="I175" s="121"/>
      <c r="J175" s="195"/>
      <c r="K175" s="195"/>
      <c r="L175" s="195"/>
      <c r="M175" s="195"/>
      <c r="N175" s="195"/>
      <c r="O175" s="195"/>
    </row>
    <row r="176" spans="1:15">
      <c r="A176" s="121"/>
      <c r="B176" s="121" t="s">
        <v>135</v>
      </c>
      <c r="C176" s="121"/>
      <c r="D176" s="121"/>
      <c r="E176" s="187">
        <f>VLOOKUP(I152,AVANCEVENDEDOR!$A$2:$R$35,11,0)</f>
        <v>27826.86</v>
      </c>
      <c r="F176" s="187"/>
      <c r="G176" s="188" t="s">
        <v>136</v>
      </c>
      <c r="H176" s="187">
        <f>VLOOKUP(I152,AVANCEVENDEDOR!$A$2:$R$35,15,0)</f>
        <v>4</v>
      </c>
      <c r="I176" s="121"/>
      <c r="J176" s="195"/>
      <c r="K176" s="195"/>
      <c r="L176" s="195"/>
      <c r="M176" s="195"/>
      <c r="N176" s="195"/>
      <c r="O176" s="195"/>
    </row>
    <row r="177" spans="1:15">
      <c r="A177" s="121"/>
      <c r="B177" s="121" t="s">
        <v>137</v>
      </c>
      <c r="C177" s="121"/>
      <c r="D177" s="121"/>
      <c r="E177" s="187">
        <f>VLOOKUP(I152,AVANCEVENDEDOR!$A$2:$R$35,9,0)</f>
        <v>454604.1</v>
      </c>
      <c r="F177" s="187"/>
      <c r="G177" s="188"/>
      <c r="H177" s="121"/>
      <c r="I177" s="121"/>
      <c r="J177" s="195"/>
      <c r="K177" s="195"/>
      <c r="L177" s="195"/>
      <c r="M177" s="195"/>
      <c r="N177" s="195"/>
      <c r="O177" s="195"/>
    </row>
    <row r="178" spans="1:15">
      <c r="A178" s="121"/>
      <c r="B178" s="121"/>
      <c r="C178" s="121"/>
      <c r="D178" s="121"/>
      <c r="E178" s="121"/>
      <c r="F178" s="121"/>
      <c r="G178" s="188"/>
      <c r="H178" s="121"/>
      <c r="I178" s="121"/>
      <c r="J178" s="195"/>
      <c r="K178" s="195"/>
      <c r="L178" s="195"/>
      <c r="M178" s="195"/>
      <c r="N178" s="195"/>
      <c r="O178" s="195"/>
    </row>
    <row r="179" spans="1:15">
      <c r="A179" s="121"/>
      <c r="B179" s="121" t="s">
        <v>280</v>
      </c>
      <c r="C179" s="121"/>
      <c r="D179" s="121"/>
      <c r="E179" s="187">
        <f>VLOOKUP(I152,AVANCEVENDEDOR!$A$2:$R$35,13,0)</f>
        <v>15</v>
      </c>
      <c r="F179" s="187"/>
      <c r="G179" s="121"/>
      <c r="H179" s="187"/>
      <c r="I179" s="121"/>
      <c r="J179" s="195"/>
      <c r="K179" s="195"/>
      <c r="L179" s="195"/>
      <c r="M179" s="195"/>
      <c r="N179" s="195"/>
      <c r="O179" s="195"/>
    </row>
    <row r="180" spans="1:15">
      <c r="A180" s="121"/>
      <c r="B180" s="121" t="s">
        <v>281</v>
      </c>
      <c r="C180" s="121"/>
      <c r="D180" s="121"/>
      <c r="E180" s="187">
        <f>VLOOKUP(I152,AVANCEVENDEDOR!$A$2:$R$35,14,0)</f>
        <v>14</v>
      </c>
      <c r="F180" s="187"/>
      <c r="G180" s="188" t="s">
        <v>140</v>
      </c>
      <c r="H180" s="187">
        <f>+E180*100/E179</f>
        <v>93.333333333333329</v>
      </c>
      <c r="I180" s="121"/>
      <c r="J180" s="195"/>
      <c r="K180" s="195"/>
      <c r="L180" s="195"/>
      <c r="M180" s="195"/>
      <c r="N180" s="195"/>
      <c r="O180" s="195"/>
    </row>
    <row r="181" spans="1:15">
      <c r="J181" s="195"/>
      <c r="K181" s="195"/>
      <c r="L181" s="195"/>
      <c r="M181" s="195"/>
      <c r="N181" s="195"/>
      <c r="O181" s="195"/>
    </row>
    <row r="182" spans="1:15" hidden="1">
      <c r="F182">
        <v>99</v>
      </c>
    </row>
    <row r="183" spans="1:15" hidden="1">
      <c r="F183">
        <v>100</v>
      </c>
      <c r="G183">
        <v>100</v>
      </c>
    </row>
    <row r="184" spans="1:15" hidden="1">
      <c r="F184">
        <v>101</v>
      </c>
      <c r="G184">
        <v>100</v>
      </c>
    </row>
    <row r="185" spans="1:15" hidden="1">
      <c r="F185">
        <v>102</v>
      </c>
      <c r="G185">
        <v>100</v>
      </c>
    </row>
    <row r="186" spans="1:15" hidden="1">
      <c r="F186">
        <v>103</v>
      </c>
      <c r="G186">
        <v>100</v>
      </c>
    </row>
    <row r="187" spans="1:15" hidden="1">
      <c r="F187">
        <v>104</v>
      </c>
      <c r="G187">
        <v>100</v>
      </c>
    </row>
    <row r="188" spans="1:15" hidden="1">
      <c r="F188">
        <v>105</v>
      </c>
      <c r="G188">
        <v>100</v>
      </c>
    </row>
    <row r="189" spans="1:15" hidden="1">
      <c r="F189">
        <v>106</v>
      </c>
      <c r="G189">
        <v>200</v>
      </c>
    </row>
    <row r="190" spans="1:15" hidden="1">
      <c r="F190">
        <v>107</v>
      </c>
      <c r="G190">
        <v>200</v>
      </c>
    </row>
    <row r="191" spans="1:15" hidden="1">
      <c r="F191">
        <v>108</v>
      </c>
      <c r="G191">
        <v>200</v>
      </c>
    </row>
    <row r="192" spans="1:15" hidden="1">
      <c r="F192">
        <v>109</v>
      </c>
      <c r="G192">
        <v>200</v>
      </c>
    </row>
    <row r="193" spans="6:7" hidden="1">
      <c r="F193">
        <v>110</v>
      </c>
      <c r="G193">
        <v>200</v>
      </c>
    </row>
    <row r="194" spans="6:7" hidden="1">
      <c r="F194">
        <v>111</v>
      </c>
      <c r="G194">
        <v>200</v>
      </c>
    </row>
    <row r="195" spans="6:7" hidden="1">
      <c r="F195">
        <v>112</v>
      </c>
      <c r="G195">
        <v>200</v>
      </c>
    </row>
    <row r="196" spans="6:7" hidden="1">
      <c r="F196">
        <v>113</v>
      </c>
      <c r="G196">
        <v>200</v>
      </c>
    </row>
    <row r="197" spans="6:7" hidden="1">
      <c r="F197">
        <v>114</v>
      </c>
      <c r="G197">
        <v>200</v>
      </c>
    </row>
    <row r="198" spans="6:7" hidden="1">
      <c r="F198">
        <v>115</v>
      </c>
      <c r="G198">
        <v>300</v>
      </c>
    </row>
    <row r="199" spans="6:7" hidden="1">
      <c r="F199">
        <v>116</v>
      </c>
      <c r="G199">
        <v>300</v>
      </c>
    </row>
    <row r="200" spans="6:7" hidden="1">
      <c r="F200">
        <v>117</v>
      </c>
      <c r="G200">
        <v>300</v>
      </c>
    </row>
    <row r="201" spans="6:7" hidden="1">
      <c r="F201">
        <v>118</v>
      </c>
      <c r="G201">
        <v>300</v>
      </c>
    </row>
    <row r="202" spans="6:7" hidden="1">
      <c r="F202">
        <v>119</v>
      </c>
      <c r="G202">
        <v>300</v>
      </c>
    </row>
    <row r="203" spans="6:7" hidden="1">
      <c r="F203">
        <v>120</v>
      </c>
      <c r="G203">
        <v>300</v>
      </c>
    </row>
    <row r="204" spans="6:7" hidden="1">
      <c r="F204">
        <v>121</v>
      </c>
      <c r="G204">
        <v>400</v>
      </c>
    </row>
    <row r="205" spans="6:7" hidden="1">
      <c r="F205">
        <v>122</v>
      </c>
      <c r="G205">
        <v>400</v>
      </c>
    </row>
    <row r="223" spans="1:15">
      <c r="A223" s="84" t="s">
        <v>112</v>
      </c>
      <c r="B223" s="120"/>
      <c r="C223" s="120"/>
      <c r="D223" s="120"/>
      <c r="E223" s="120"/>
      <c r="F223" s="120"/>
      <c r="G223" s="120"/>
      <c r="H223" s="120"/>
      <c r="I223" s="189"/>
      <c r="J223" s="195"/>
      <c r="K223" s="195"/>
      <c r="L223" s="195"/>
      <c r="M223" s="195"/>
      <c r="N223" s="195"/>
      <c r="O223" s="195"/>
    </row>
    <row r="224" spans="1:15">
      <c r="A224" s="84" t="s">
        <v>113</v>
      </c>
      <c r="B224" s="120"/>
      <c r="C224" s="120"/>
      <c r="D224" s="120"/>
      <c r="E224" s="120"/>
      <c r="F224" s="120"/>
      <c r="G224" s="120"/>
      <c r="H224" s="120"/>
      <c r="I224" s="179" t="str">
        <f>+CONCATENATE("20142_",I226)</f>
        <v>20142_4</v>
      </c>
      <c r="J224" s="195"/>
      <c r="K224" s="195"/>
      <c r="L224" s="195"/>
      <c r="M224" s="195"/>
      <c r="N224" s="195"/>
      <c r="O224" s="195"/>
    </row>
    <row r="225" spans="1:15">
      <c r="A225" s="84" t="s">
        <v>114</v>
      </c>
      <c r="B225" s="120"/>
      <c r="C225" s="120"/>
      <c r="D225" s="120"/>
      <c r="E225" s="120"/>
      <c r="F225" s="120"/>
      <c r="G225" s="120"/>
      <c r="H225" s="120"/>
      <c r="I225" s="120"/>
      <c r="J225" s="195"/>
      <c r="K225" s="195"/>
      <c r="L225" s="195"/>
      <c r="M225" s="195"/>
      <c r="N225" s="195"/>
      <c r="O225" s="195"/>
    </row>
    <row r="226" spans="1:15">
      <c r="A226" s="120"/>
      <c r="B226" s="120"/>
      <c r="C226" s="120"/>
      <c r="D226" s="120"/>
      <c r="E226" s="120"/>
      <c r="F226" s="120"/>
      <c r="G226" s="120"/>
      <c r="H226" s="120"/>
      <c r="I226" s="191">
        <v>4</v>
      </c>
      <c r="J226" s="195"/>
      <c r="K226" s="195"/>
      <c r="L226" s="195"/>
      <c r="M226" s="195"/>
      <c r="N226" s="195"/>
      <c r="O226" s="195"/>
    </row>
    <row r="227" spans="1:15">
      <c r="A227" s="120" t="s">
        <v>115</v>
      </c>
      <c r="B227" s="120"/>
      <c r="C227" s="120"/>
      <c r="D227" s="120"/>
      <c r="E227" s="120"/>
      <c r="F227" s="120"/>
      <c r="G227" s="120"/>
      <c r="H227" s="120"/>
      <c r="I227" s="83">
        <f>I5</f>
        <v>43801</v>
      </c>
      <c r="J227" s="195"/>
      <c r="K227" s="195"/>
      <c r="L227" s="195"/>
      <c r="M227" s="195"/>
      <c r="N227" s="195"/>
      <c r="O227" s="195"/>
    </row>
    <row r="228" spans="1:15">
      <c r="A228" s="120"/>
      <c r="B228" s="120"/>
      <c r="C228" s="120"/>
      <c r="D228" s="120"/>
      <c r="E228" s="120"/>
      <c r="F228" s="120"/>
      <c r="G228" s="120"/>
      <c r="H228" s="120"/>
      <c r="I228" s="120"/>
      <c r="J228" s="195"/>
      <c r="K228" s="195"/>
      <c r="L228" s="195"/>
      <c r="M228" s="195"/>
      <c r="N228" s="195"/>
      <c r="O228" s="195"/>
    </row>
    <row r="229" spans="1:15">
      <c r="A229" s="120" t="s">
        <v>116</v>
      </c>
      <c r="B229" s="120"/>
      <c r="C229" s="84" t="str">
        <f>VLOOKUP(I226,AVANCEVENDEDOR!$A$2:$R$35,3,0)</f>
        <v>MIRANDA CCOILA PATRICIA</v>
      </c>
      <c r="D229" s="120"/>
      <c r="E229" s="120"/>
      <c r="F229" s="120"/>
      <c r="G229" s="120"/>
      <c r="H229" s="120"/>
      <c r="I229" s="120"/>
      <c r="J229" s="195"/>
      <c r="K229" s="195"/>
      <c r="L229" s="195"/>
      <c r="M229" s="195"/>
      <c r="N229" s="195"/>
      <c r="O229" s="195"/>
    </row>
    <row r="230" spans="1:15">
      <c r="A230" s="120"/>
      <c r="B230" s="120"/>
      <c r="C230" s="120"/>
      <c r="D230" s="120"/>
      <c r="E230" s="120"/>
      <c r="F230" s="120"/>
      <c r="G230" s="120"/>
      <c r="H230" s="120"/>
      <c r="I230" s="84" t="s">
        <v>118</v>
      </c>
      <c r="J230" s="195"/>
      <c r="K230" s="195"/>
      <c r="L230" s="195"/>
      <c r="M230" s="195"/>
      <c r="N230" s="195"/>
      <c r="O230" s="195"/>
    </row>
    <row r="231" spans="1:15">
      <c r="A231" s="120"/>
      <c r="B231" s="120"/>
      <c r="C231" s="120"/>
      <c r="D231" s="120"/>
      <c r="E231" s="120"/>
      <c r="F231" s="120"/>
      <c r="G231" s="120"/>
      <c r="H231" s="120"/>
      <c r="I231" s="120"/>
      <c r="J231" s="195"/>
      <c r="K231" s="195"/>
      <c r="L231" s="195"/>
      <c r="M231" s="195"/>
      <c r="N231" s="195"/>
      <c r="O231" s="195"/>
    </row>
    <row r="232" spans="1:15">
      <c r="A232" s="120" t="s">
        <v>119</v>
      </c>
      <c r="B232" s="120"/>
      <c r="C232" s="120"/>
      <c r="D232" s="120"/>
      <c r="E232" s="120"/>
      <c r="F232" s="120"/>
      <c r="G232" s="120"/>
      <c r="H232" s="120"/>
      <c r="I232" s="181">
        <v>850</v>
      </c>
      <c r="J232" s="195"/>
      <c r="K232" s="195"/>
      <c r="L232" s="195"/>
      <c r="M232" s="195"/>
      <c r="N232" s="195"/>
      <c r="O232" s="195"/>
    </row>
    <row r="233" spans="1:15">
      <c r="A233" s="120" t="s">
        <v>120</v>
      </c>
      <c r="B233" s="120"/>
      <c r="C233" s="120"/>
      <c r="D233" s="120"/>
      <c r="E233" s="120"/>
      <c r="F233" s="86" t="s">
        <v>272</v>
      </c>
      <c r="G233" s="86" t="s">
        <v>122</v>
      </c>
      <c r="H233" s="86" t="s">
        <v>123</v>
      </c>
      <c r="I233" s="181">
        <v>400</v>
      </c>
      <c r="J233" s="195"/>
      <c r="K233" s="195"/>
      <c r="L233" s="195"/>
      <c r="M233" s="195"/>
      <c r="N233" s="195"/>
      <c r="O233" s="195"/>
    </row>
    <row r="234" spans="1:15">
      <c r="A234" s="120" t="s">
        <v>291</v>
      </c>
      <c r="B234" s="120"/>
      <c r="C234" s="120"/>
      <c r="D234" s="120"/>
      <c r="E234" s="120"/>
      <c r="F234" s="182">
        <v>0.5</v>
      </c>
      <c r="G234" s="182">
        <f>IF(I226=13,80,85)</f>
        <v>85</v>
      </c>
      <c r="H234" s="182">
        <f>+H247</f>
        <v>75.06181779372362</v>
      </c>
      <c r="I234" s="181">
        <f>IF(H234&gt;=G234,E247*F234%,0)</f>
        <v>0</v>
      </c>
      <c r="J234" s="195"/>
      <c r="K234" s="195"/>
      <c r="L234" s="195"/>
      <c r="M234" s="195"/>
      <c r="N234" s="195"/>
      <c r="O234" s="195"/>
    </row>
    <row r="235" spans="1:15">
      <c r="A235" s="120" t="str">
        <f>CONCATENATE("COM. MOROSIDAD AL ",G235,"%")</f>
        <v>COM. MOROSIDAD AL 5%</v>
      </c>
      <c r="B235" s="120"/>
      <c r="C235" s="120"/>
      <c r="D235" s="120"/>
      <c r="E235" s="120"/>
      <c r="F235" s="182">
        <v>0.3</v>
      </c>
      <c r="G235" s="182">
        <v>5</v>
      </c>
      <c r="H235" s="182">
        <f>+H250</f>
        <v>4.4400000000000004</v>
      </c>
      <c r="I235" s="181">
        <f>+IF(H235&lt;=G235,E247*F235%,0)</f>
        <v>465.03075000000001</v>
      </c>
      <c r="J235" s="195"/>
      <c r="K235" s="195"/>
      <c r="L235" s="195"/>
      <c r="M235" s="195"/>
      <c r="N235" s="195"/>
      <c r="O235" s="195"/>
    </row>
    <row r="236" spans="1:15">
      <c r="A236" s="120" t="s">
        <v>292</v>
      </c>
      <c r="B236" s="120"/>
      <c r="C236" s="120"/>
      <c r="D236" s="120"/>
      <c r="E236" s="120"/>
      <c r="F236" s="182">
        <f>IF(I226=3,0.1,0.2)</f>
        <v>0.2</v>
      </c>
      <c r="G236" s="182">
        <f>IF(I226=23,50,85)</f>
        <v>85</v>
      </c>
      <c r="H236" s="182">
        <f>+H254</f>
        <v>69.230769230769226</v>
      </c>
      <c r="I236" s="181">
        <f>IF(H236&gt;=G236,E247*F236%,0)</f>
        <v>0</v>
      </c>
      <c r="J236" s="195"/>
      <c r="K236" s="195"/>
      <c r="L236" s="195"/>
      <c r="M236" s="195"/>
      <c r="N236" s="195"/>
      <c r="O236" s="195"/>
    </row>
    <row r="237" spans="1:15">
      <c r="A237" s="120" t="str">
        <f>IF(I226=23,"COMISION POR TIEMPODE VIAJE",IF(I226=22,"BONIFICACION"," "))</f>
        <v xml:space="preserve"> </v>
      </c>
      <c r="B237" s="120"/>
      <c r="C237" s="120"/>
      <c r="D237" s="120"/>
      <c r="E237" s="120"/>
      <c r="F237" s="120"/>
      <c r="G237" s="120"/>
      <c r="H237" s="182"/>
      <c r="I237" s="181" t="str">
        <f>IF(I226=23,300,IF(I226=22,400," "))</f>
        <v xml:space="preserve"> </v>
      </c>
      <c r="J237" s="195"/>
      <c r="K237" s="195"/>
      <c r="L237" s="195"/>
      <c r="M237" s="195"/>
      <c r="N237" s="195"/>
      <c r="O237" s="195"/>
    </row>
    <row r="238" spans="1:15">
      <c r="A238" s="189" t="s">
        <v>274</v>
      </c>
      <c r="B238" s="189"/>
      <c r="C238" s="189"/>
      <c r="D238" s="189"/>
      <c r="E238" s="189"/>
      <c r="F238" s="374" t="s">
        <v>275</v>
      </c>
      <c r="G238" s="374"/>
      <c r="H238" s="375" t="s">
        <v>276</v>
      </c>
      <c r="I238" s="193"/>
      <c r="J238" s="195"/>
      <c r="K238" s="195"/>
      <c r="L238" s="195"/>
      <c r="M238" s="195"/>
      <c r="N238" s="195"/>
      <c r="O238" s="195"/>
    </row>
    <row r="239" spans="1:15">
      <c r="A239" s="189"/>
      <c r="B239" s="189"/>
      <c r="C239" s="189"/>
      <c r="D239" s="189"/>
      <c r="E239" s="189"/>
      <c r="F239" s="374" t="s">
        <v>277</v>
      </c>
      <c r="G239" s="374"/>
      <c r="H239" s="375"/>
      <c r="I239" s="376">
        <v>0</v>
      </c>
      <c r="J239" s="195"/>
      <c r="K239" s="195"/>
      <c r="L239" s="195"/>
      <c r="M239" s="195"/>
      <c r="N239" s="195"/>
      <c r="O239" s="195"/>
    </row>
    <row r="240" spans="1:15">
      <c r="A240" s="189"/>
      <c r="B240" s="197"/>
      <c r="C240" s="197"/>
      <c r="D240" s="197"/>
      <c r="E240" s="197"/>
      <c r="F240" s="374" t="s">
        <v>278</v>
      </c>
      <c r="G240" s="374"/>
      <c r="H240" s="375"/>
      <c r="I240" s="376"/>
      <c r="J240" s="195"/>
      <c r="K240" s="195"/>
      <c r="L240" s="195"/>
      <c r="M240" s="195"/>
      <c r="N240" s="195"/>
      <c r="O240" s="195"/>
    </row>
    <row r="241" spans="1:15">
      <c r="A241" s="189"/>
      <c r="B241" s="197"/>
      <c r="C241" s="197"/>
      <c r="D241" s="197"/>
      <c r="E241" s="197"/>
      <c r="F241" s="374" t="s">
        <v>279</v>
      </c>
      <c r="G241" s="374"/>
      <c r="H241" s="375"/>
      <c r="I241" s="198"/>
      <c r="J241" s="195"/>
      <c r="K241" s="195"/>
      <c r="L241" s="195"/>
      <c r="M241" s="195"/>
      <c r="N241" s="195"/>
      <c r="O241" s="195"/>
    </row>
    <row r="242" spans="1:15">
      <c r="A242" s="120"/>
      <c r="B242" s="84" t="str">
        <f>IF(I226=13,"Remuneracion Extra"," ")</f>
        <v xml:space="preserve"> </v>
      </c>
      <c r="C242" s="120"/>
      <c r="D242" s="120"/>
      <c r="E242" s="120"/>
      <c r="F242" s="120"/>
      <c r="G242" s="120"/>
      <c r="H242" s="120"/>
      <c r="I242" s="183"/>
      <c r="J242" s="195"/>
      <c r="K242" s="195"/>
      <c r="L242" s="195"/>
      <c r="M242" s="195"/>
      <c r="N242" s="195"/>
      <c r="O242" s="195"/>
    </row>
    <row r="243" spans="1:15" ht="15.75">
      <c r="A243" s="184" t="s">
        <v>129</v>
      </c>
      <c r="B243" s="185"/>
      <c r="C243" s="185"/>
      <c r="D243" s="185"/>
      <c r="E243" s="185"/>
      <c r="F243" s="185"/>
      <c r="G243" s="185"/>
      <c r="H243" s="185"/>
      <c r="I243" s="186">
        <f>SUM(I232:I242)</f>
        <v>1715.0307499999999</v>
      </c>
      <c r="J243" s="195"/>
      <c r="K243" s="195"/>
      <c r="L243" s="195"/>
      <c r="M243" s="195"/>
      <c r="N243" s="195"/>
      <c r="O243" s="195"/>
    </row>
    <row r="244" spans="1:15">
      <c r="A244" s="120"/>
      <c r="B244" s="120"/>
      <c r="C244" s="120"/>
      <c r="D244" s="120"/>
      <c r="E244" s="120"/>
      <c r="F244" s="120"/>
      <c r="G244" s="120"/>
      <c r="H244" s="120"/>
      <c r="I244" s="120"/>
      <c r="J244" s="195"/>
      <c r="K244" s="195"/>
      <c r="L244" s="195"/>
      <c r="M244" s="195"/>
      <c r="N244" s="195"/>
      <c r="O244" s="195"/>
    </row>
    <row r="245" spans="1:15">
      <c r="A245" s="121" t="s">
        <v>130</v>
      </c>
      <c r="B245" s="121"/>
      <c r="C245" s="121"/>
      <c r="D245" s="121"/>
      <c r="E245" s="121"/>
      <c r="F245" s="121"/>
      <c r="G245" s="121"/>
      <c r="H245" s="121"/>
      <c r="I245" s="121"/>
      <c r="J245" s="195"/>
      <c r="K245" s="195"/>
      <c r="L245" s="195"/>
      <c r="M245" s="195"/>
      <c r="N245" s="195"/>
      <c r="O245" s="195"/>
    </row>
    <row r="246" spans="1:15">
      <c r="A246" s="121"/>
      <c r="B246" s="121" t="s">
        <v>131</v>
      </c>
      <c r="C246" s="121"/>
      <c r="D246" s="121"/>
      <c r="E246" s="187">
        <f>VLOOKUP(I226,AVANCEVENDEDOR!$A$2:$R$35,7,0)</f>
        <v>206510.12</v>
      </c>
      <c r="F246" s="187"/>
      <c r="G246" s="121"/>
      <c r="H246" s="121"/>
      <c r="I246" s="121"/>
      <c r="J246" s="195"/>
      <c r="K246" s="195"/>
      <c r="L246" s="195"/>
      <c r="M246" s="199"/>
      <c r="N246" s="200"/>
      <c r="O246" s="195"/>
    </row>
    <row r="247" spans="1:15">
      <c r="A247" s="121"/>
      <c r="B247" s="121" t="s">
        <v>132</v>
      </c>
      <c r="C247" s="121"/>
      <c r="D247" s="121"/>
      <c r="E247" s="187">
        <f>IF(I226=27,(VLOOKUP(I226,AVANCEVENDEDOR!$A$2:$R$35,6,0)-I223),(VLOOKUP(I226,AVANCEVENDEDOR!$A$2:$R$35,6,0)))</f>
        <v>155010.25</v>
      </c>
      <c r="F247" s="187"/>
      <c r="G247" s="188" t="s">
        <v>133</v>
      </c>
      <c r="H247" s="187">
        <f>+E247*100/E246</f>
        <v>75.06181779372362</v>
      </c>
      <c r="I247" s="121"/>
      <c r="J247" s="195"/>
      <c r="K247" s="121"/>
      <c r="L247" s="201"/>
      <c r="M247" s="195"/>
      <c r="N247" s="195"/>
      <c r="O247" s="195"/>
    </row>
    <row r="248" spans="1:15">
      <c r="A248" s="121"/>
      <c r="B248" s="121"/>
      <c r="C248" s="121"/>
      <c r="D248" s="121"/>
      <c r="E248" s="121"/>
      <c r="F248" s="121"/>
      <c r="G248" s="188"/>
      <c r="H248" s="121"/>
      <c r="I248" s="121"/>
      <c r="J248" s="195"/>
      <c r="K248" s="195"/>
      <c r="L248" s="195"/>
      <c r="M248" s="195"/>
      <c r="N248" s="195"/>
      <c r="O248" s="195"/>
    </row>
    <row r="249" spans="1:15">
      <c r="A249" s="121"/>
      <c r="B249" s="121" t="s">
        <v>134</v>
      </c>
      <c r="C249" s="121"/>
      <c r="D249" s="121"/>
      <c r="E249" s="187">
        <f>VLOOKUP(I226,AVANCEVENDEDOR!$A$2:$R$35,10,0)</f>
        <v>368574.69</v>
      </c>
      <c r="F249" s="187"/>
      <c r="G249" s="188"/>
      <c r="H249" s="121"/>
      <c r="I249" s="121"/>
      <c r="J249" s="195"/>
      <c r="K249" s="195"/>
      <c r="L249" s="195"/>
      <c r="M249" s="195"/>
      <c r="N249" s="195"/>
      <c r="O249" s="195"/>
    </row>
    <row r="250" spans="1:15">
      <c r="A250" s="121"/>
      <c r="B250" s="121" t="s">
        <v>135</v>
      </c>
      <c r="C250" s="121"/>
      <c r="D250" s="121"/>
      <c r="E250" s="187">
        <f>VLOOKUP(I226,AVANCEVENDEDOR!$A$2:$R$35,11,0)</f>
        <v>16341.22</v>
      </c>
      <c r="F250" s="187"/>
      <c r="G250" s="188" t="s">
        <v>136</v>
      </c>
      <c r="H250" s="187">
        <f>VLOOKUP(I226,AVANCEVENDEDOR!$A$2:$R$35,15,0)</f>
        <v>4.4400000000000004</v>
      </c>
      <c r="I250" s="121"/>
      <c r="J250" s="195"/>
      <c r="K250" s="195"/>
      <c r="L250" s="195"/>
      <c r="M250" s="195"/>
      <c r="N250" s="195"/>
      <c r="O250" s="195"/>
    </row>
    <row r="251" spans="1:15">
      <c r="A251" s="121"/>
      <c r="B251" s="121" t="s">
        <v>137</v>
      </c>
      <c r="C251" s="121"/>
      <c r="D251" s="121"/>
      <c r="E251" s="187">
        <f>VLOOKUP(I226,AVANCEVENDEDOR!$A$2:$R$35,9,0)</f>
        <v>200686.73</v>
      </c>
      <c r="F251" s="187"/>
      <c r="G251" s="188"/>
      <c r="H251" s="121"/>
      <c r="I251" s="121"/>
      <c r="J251" s="195"/>
      <c r="K251" s="195"/>
      <c r="L251" s="195"/>
      <c r="M251" s="195"/>
      <c r="N251" s="195"/>
      <c r="O251" s="195"/>
    </row>
    <row r="252" spans="1:15">
      <c r="A252" s="121"/>
      <c r="B252" s="121"/>
      <c r="C252" s="121"/>
      <c r="D252" s="121"/>
      <c r="E252" s="121"/>
      <c r="F252" s="121"/>
      <c r="G252" s="188"/>
      <c r="H252" s="121"/>
      <c r="I252" s="121"/>
      <c r="J252" s="195"/>
      <c r="K252" s="195"/>
      <c r="L252" s="195"/>
      <c r="M252" s="195"/>
      <c r="N252" s="195"/>
      <c r="O252" s="195"/>
    </row>
    <row r="253" spans="1:15">
      <c r="A253" s="121"/>
      <c r="B253" s="121" t="s">
        <v>280</v>
      </c>
      <c r="C253" s="121"/>
      <c r="D253" s="121"/>
      <c r="E253" s="187">
        <f>VLOOKUP(I226,AVANCEVENDEDOR!$A$2:$R$35,13,0)</f>
        <v>52</v>
      </c>
      <c r="F253" s="187"/>
      <c r="G253" s="121"/>
      <c r="H253" s="187"/>
      <c r="I253" s="121"/>
      <c r="J253" s="195"/>
      <c r="K253" s="195"/>
      <c r="L253" s="195"/>
      <c r="M253" s="195"/>
      <c r="N253" s="195"/>
      <c r="O253" s="195"/>
    </row>
    <row r="254" spans="1:15">
      <c r="A254" s="121"/>
      <c r="B254" s="121" t="s">
        <v>281</v>
      </c>
      <c r="C254" s="121"/>
      <c r="D254" s="121"/>
      <c r="E254" s="187">
        <f>VLOOKUP(I226,AVANCEVENDEDOR!$A$2:$R$35,14,0)</f>
        <v>36</v>
      </c>
      <c r="F254" s="187"/>
      <c r="G254" s="188" t="s">
        <v>140</v>
      </c>
      <c r="H254" s="187">
        <f>+E254*100/E253</f>
        <v>69.230769230769226</v>
      </c>
      <c r="I254" s="121"/>
      <c r="J254" s="195"/>
      <c r="K254" s="195"/>
      <c r="L254" s="195"/>
      <c r="M254" s="195"/>
      <c r="N254" s="195"/>
      <c r="O254" s="195"/>
    </row>
    <row r="255" spans="1:15">
      <c r="J255" s="195"/>
      <c r="K255" s="195"/>
      <c r="L255" s="195"/>
      <c r="M255" s="195"/>
      <c r="N255" s="195"/>
      <c r="O255" s="195"/>
    </row>
    <row r="256" spans="1:15" hidden="1">
      <c r="F256">
        <v>99</v>
      </c>
    </row>
    <row r="257" spans="6:7" hidden="1">
      <c r="F257">
        <v>100</v>
      </c>
      <c r="G257">
        <v>100</v>
      </c>
    </row>
    <row r="258" spans="6:7" hidden="1">
      <c r="F258">
        <v>101</v>
      </c>
      <c r="G258">
        <v>100</v>
      </c>
    </row>
    <row r="259" spans="6:7" hidden="1">
      <c r="F259">
        <v>102</v>
      </c>
      <c r="G259">
        <v>100</v>
      </c>
    </row>
    <row r="260" spans="6:7" hidden="1">
      <c r="F260">
        <v>103</v>
      </c>
      <c r="G260">
        <v>100</v>
      </c>
    </row>
    <row r="261" spans="6:7" hidden="1">
      <c r="F261">
        <v>104</v>
      </c>
      <c r="G261">
        <v>100</v>
      </c>
    </row>
    <row r="262" spans="6:7" hidden="1">
      <c r="F262">
        <v>105</v>
      </c>
      <c r="G262">
        <v>100</v>
      </c>
    </row>
    <row r="263" spans="6:7" hidden="1">
      <c r="F263">
        <v>106</v>
      </c>
      <c r="G263">
        <v>200</v>
      </c>
    </row>
    <row r="264" spans="6:7" hidden="1">
      <c r="F264">
        <v>107</v>
      </c>
      <c r="G264">
        <v>200</v>
      </c>
    </row>
    <row r="265" spans="6:7" hidden="1">
      <c r="F265">
        <v>108</v>
      </c>
      <c r="G265">
        <v>200</v>
      </c>
    </row>
    <row r="266" spans="6:7" hidden="1">
      <c r="F266">
        <v>109</v>
      </c>
      <c r="G266">
        <v>200</v>
      </c>
    </row>
    <row r="267" spans="6:7" hidden="1">
      <c r="F267">
        <v>110</v>
      </c>
      <c r="G267">
        <v>200</v>
      </c>
    </row>
    <row r="268" spans="6:7" hidden="1">
      <c r="F268">
        <v>111</v>
      </c>
      <c r="G268">
        <v>200</v>
      </c>
    </row>
    <row r="269" spans="6:7" hidden="1">
      <c r="F269">
        <v>112</v>
      </c>
      <c r="G269">
        <v>200</v>
      </c>
    </row>
    <row r="270" spans="6:7" hidden="1">
      <c r="F270">
        <v>113</v>
      </c>
      <c r="G270">
        <v>200</v>
      </c>
    </row>
    <row r="271" spans="6:7" hidden="1">
      <c r="F271">
        <v>114</v>
      </c>
      <c r="G271">
        <v>200</v>
      </c>
    </row>
    <row r="272" spans="6:7" hidden="1">
      <c r="F272">
        <v>115</v>
      </c>
      <c r="G272">
        <v>300</v>
      </c>
    </row>
    <row r="273" spans="6:7" hidden="1">
      <c r="F273">
        <v>116</v>
      </c>
      <c r="G273">
        <v>300</v>
      </c>
    </row>
    <row r="274" spans="6:7" hidden="1">
      <c r="F274">
        <v>117</v>
      </c>
      <c r="G274">
        <v>300</v>
      </c>
    </row>
    <row r="275" spans="6:7" hidden="1">
      <c r="F275">
        <v>118</v>
      </c>
      <c r="G275">
        <v>300</v>
      </c>
    </row>
    <row r="276" spans="6:7" hidden="1">
      <c r="F276">
        <v>119</v>
      </c>
      <c r="G276">
        <v>300</v>
      </c>
    </row>
    <row r="277" spans="6:7" hidden="1">
      <c r="F277">
        <v>120</v>
      </c>
      <c r="G277">
        <v>300</v>
      </c>
    </row>
    <row r="278" spans="6:7" hidden="1">
      <c r="F278">
        <v>121</v>
      </c>
      <c r="G278">
        <v>400</v>
      </c>
    </row>
    <row r="279" spans="6:7" hidden="1">
      <c r="F279">
        <v>122</v>
      </c>
      <c r="G279">
        <v>400</v>
      </c>
    </row>
    <row r="297" spans="1:15">
      <c r="A297" s="84" t="s">
        <v>112</v>
      </c>
      <c r="B297" s="120"/>
      <c r="C297" s="120"/>
      <c r="D297" s="120"/>
      <c r="E297" s="120"/>
      <c r="F297" s="120"/>
      <c r="G297" s="120"/>
      <c r="H297" s="120"/>
      <c r="I297" s="189"/>
      <c r="J297" s="195"/>
      <c r="K297" s="195"/>
      <c r="L297" s="195"/>
      <c r="M297" s="195"/>
      <c r="N297" s="195"/>
      <c r="O297" s="195"/>
    </row>
    <row r="298" spans="1:15">
      <c r="A298" s="84" t="s">
        <v>113</v>
      </c>
      <c r="B298" s="120"/>
      <c r="C298" s="120"/>
      <c r="D298" s="120"/>
      <c r="E298" s="120"/>
      <c r="F298" s="120"/>
      <c r="G298" s="120"/>
      <c r="H298" s="120"/>
      <c r="I298" s="179" t="str">
        <f>+CONCATENATE("20142_",I300)</f>
        <v>20142_5</v>
      </c>
      <c r="J298" s="195"/>
      <c r="K298" s="195"/>
      <c r="L298" s="195"/>
      <c r="M298" s="195"/>
      <c r="N298" s="195"/>
      <c r="O298" s="195"/>
    </row>
    <row r="299" spans="1:15">
      <c r="A299" s="84" t="s">
        <v>114</v>
      </c>
      <c r="B299" s="120"/>
      <c r="C299" s="120"/>
      <c r="D299" s="120"/>
      <c r="E299" s="120"/>
      <c r="F299" s="120"/>
      <c r="G299" s="120"/>
      <c r="H299" s="120"/>
      <c r="I299" s="120"/>
      <c r="J299" s="195"/>
      <c r="K299" s="195"/>
      <c r="L299" s="195"/>
      <c r="M299" s="195"/>
      <c r="N299" s="195"/>
      <c r="O299" s="195"/>
    </row>
    <row r="300" spans="1:15">
      <c r="A300" s="120"/>
      <c r="B300" s="120"/>
      <c r="C300" s="120"/>
      <c r="D300" s="120"/>
      <c r="E300" s="120"/>
      <c r="F300" s="120"/>
      <c r="G300" s="120"/>
      <c r="H300" s="120"/>
      <c r="I300" s="191">
        <v>5</v>
      </c>
      <c r="J300" s="195"/>
      <c r="K300" s="195"/>
      <c r="L300" s="195"/>
      <c r="M300" s="195"/>
      <c r="N300" s="195"/>
      <c r="O300" s="195"/>
    </row>
    <row r="301" spans="1:15">
      <c r="A301" s="120" t="s">
        <v>115</v>
      </c>
      <c r="B301" s="120"/>
      <c r="C301" s="120"/>
      <c r="D301" s="120"/>
      <c r="E301" s="120"/>
      <c r="F301" s="120"/>
      <c r="G301" s="120"/>
      <c r="H301" s="120"/>
      <c r="I301" s="83">
        <f>I5</f>
        <v>43801</v>
      </c>
      <c r="J301" s="195"/>
      <c r="K301" s="195"/>
      <c r="L301" s="195"/>
      <c r="M301" s="195"/>
      <c r="N301" s="195"/>
      <c r="O301" s="195"/>
    </row>
    <row r="302" spans="1:15">
      <c r="A302" s="120"/>
      <c r="B302" s="120"/>
      <c r="C302" s="120"/>
      <c r="D302" s="120"/>
      <c r="E302" s="120"/>
      <c r="F302" s="120"/>
      <c r="G302" s="120"/>
      <c r="H302" s="120"/>
      <c r="I302" s="120"/>
      <c r="J302" s="195"/>
      <c r="K302" s="195"/>
      <c r="L302" s="195"/>
      <c r="M302" s="195"/>
      <c r="N302" s="195"/>
      <c r="O302" s="195"/>
    </row>
    <row r="303" spans="1:15">
      <c r="A303" s="120" t="s">
        <v>116</v>
      </c>
      <c r="B303" s="120"/>
      <c r="C303" s="84" t="e">
        <f>VLOOKUP(I300,AVANCEVENDEDOR!$A$2:$R$35,3,0)</f>
        <v>#N/A</v>
      </c>
      <c r="D303" s="120"/>
      <c r="E303" s="120"/>
      <c r="F303" s="120"/>
      <c r="G303" s="120"/>
      <c r="H303" s="120"/>
      <c r="I303" s="120"/>
      <c r="J303" s="195"/>
      <c r="K303" s="195"/>
      <c r="L303" s="195"/>
      <c r="M303" s="195"/>
      <c r="N303" s="195"/>
      <c r="O303" s="195"/>
    </row>
    <row r="304" spans="1:15">
      <c r="A304" s="120"/>
      <c r="B304" s="120"/>
      <c r="C304" s="120"/>
      <c r="D304" s="120"/>
      <c r="E304" s="120"/>
      <c r="F304" s="120"/>
      <c r="G304" s="120"/>
      <c r="H304" s="120"/>
      <c r="I304" s="84" t="s">
        <v>118</v>
      </c>
      <c r="J304" s="195"/>
      <c r="K304" s="195"/>
      <c r="L304" s="195"/>
      <c r="M304" s="195"/>
      <c r="N304" s="195"/>
      <c r="O304" s="195"/>
    </row>
    <row r="305" spans="1:15">
      <c r="A305" s="120"/>
      <c r="B305" s="120"/>
      <c r="C305" s="120"/>
      <c r="D305" s="120"/>
      <c r="E305" s="120"/>
      <c r="F305" s="120"/>
      <c r="G305" s="120"/>
      <c r="H305" s="120"/>
      <c r="I305" s="120"/>
      <c r="J305" s="195"/>
      <c r="K305" s="195"/>
      <c r="L305" s="195"/>
      <c r="M305" s="195"/>
      <c r="N305" s="195"/>
      <c r="O305" s="195"/>
    </row>
    <row r="306" spans="1:15">
      <c r="A306" s="120" t="s">
        <v>119</v>
      </c>
      <c r="B306" s="120"/>
      <c r="C306" s="120"/>
      <c r="D306" s="120"/>
      <c r="E306" s="120"/>
      <c r="F306" s="120"/>
      <c r="G306" s="120"/>
      <c r="H306" s="120"/>
      <c r="I306" s="181">
        <v>850</v>
      </c>
      <c r="J306" s="195"/>
      <c r="K306" s="195"/>
      <c r="L306" s="195"/>
      <c r="M306" s="195"/>
      <c r="N306" s="195"/>
      <c r="O306" s="195"/>
    </row>
    <row r="307" spans="1:15">
      <c r="A307" s="120" t="s">
        <v>120</v>
      </c>
      <c r="B307" s="120"/>
      <c r="C307" s="120"/>
      <c r="D307" s="120"/>
      <c r="E307" s="120"/>
      <c r="F307" s="86" t="s">
        <v>272</v>
      </c>
      <c r="G307" s="86" t="s">
        <v>122</v>
      </c>
      <c r="H307" s="86" t="s">
        <v>123</v>
      </c>
      <c r="I307" s="181">
        <v>400</v>
      </c>
      <c r="J307" s="195"/>
      <c r="K307" s="195"/>
      <c r="L307" s="195"/>
      <c r="M307" s="195"/>
      <c r="N307" s="195"/>
      <c r="O307" s="195"/>
    </row>
    <row r="308" spans="1:15">
      <c r="A308" s="120" t="s">
        <v>291</v>
      </c>
      <c r="B308" s="120"/>
      <c r="C308" s="120"/>
      <c r="D308" s="120"/>
      <c r="E308" s="120"/>
      <c r="F308" s="182">
        <v>0.5</v>
      </c>
      <c r="G308" s="182">
        <f>IF(I300=13,80,85)</f>
        <v>85</v>
      </c>
      <c r="H308" s="182" t="e">
        <f>+H321</f>
        <v>#DIV/0!</v>
      </c>
      <c r="I308" s="181" t="e">
        <f>IF(H308&gt;=G308,E321*F308%,0)</f>
        <v>#DIV/0!</v>
      </c>
      <c r="J308" s="195"/>
      <c r="K308" s="195"/>
      <c r="L308" s="195"/>
      <c r="M308" s="195"/>
      <c r="N308" s="195"/>
      <c r="O308" s="195"/>
    </row>
    <row r="309" spans="1:15">
      <c r="A309" s="120" t="str">
        <f>CONCATENATE("COM. MOROSIDAD AL ",G309,"%")</f>
        <v>COM. MOROSIDAD AL 5%</v>
      </c>
      <c r="B309" s="120"/>
      <c r="C309" s="120"/>
      <c r="D309" s="120"/>
      <c r="E309" s="120"/>
      <c r="F309" s="182">
        <v>0.3</v>
      </c>
      <c r="G309" s="182">
        <v>5</v>
      </c>
      <c r="H309" s="182">
        <f>+H324</f>
        <v>0</v>
      </c>
      <c r="I309" s="181">
        <f>+IF(H309&lt;=G309,E321*F309%,0)</f>
        <v>0</v>
      </c>
      <c r="J309" s="195"/>
      <c r="K309" s="195"/>
      <c r="L309" s="195"/>
      <c r="M309" s="195"/>
      <c r="N309" s="195"/>
      <c r="O309" s="195"/>
    </row>
    <row r="310" spans="1:15">
      <c r="A310" s="120" t="s">
        <v>292</v>
      </c>
      <c r="B310" s="120"/>
      <c r="C310" s="120"/>
      <c r="D310" s="120"/>
      <c r="E310" s="120"/>
      <c r="F310" s="182">
        <f>IF(I300=3,0.1,0.2)</f>
        <v>0.2</v>
      </c>
      <c r="G310" s="182">
        <f>IF(I300=23,50,85)</f>
        <v>85</v>
      </c>
      <c r="H310" s="182" t="e">
        <f>+H328</f>
        <v>#DIV/0!</v>
      </c>
      <c r="I310" s="181" t="e">
        <f>IF(H310&gt;=G310,E321*F310%,0)</f>
        <v>#DIV/0!</v>
      </c>
      <c r="J310" s="195"/>
      <c r="K310" s="195"/>
      <c r="L310" s="195"/>
      <c r="M310" s="195"/>
      <c r="N310" s="195"/>
      <c r="O310" s="195"/>
    </row>
    <row r="311" spans="1:15">
      <c r="A311" s="120" t="str">
        <f>IF(I300=23,"COMISION POR TIEMPODE VIAJE",IF(I300=22,"BONIFICACION"," "))</f>
        <v xml:space="preserve"> </v>
      </c>
      <c r="B311" s="120"/>
      <c r="C311" s="120"/>
      <c r="D311" s="120"/>
      <c r="E311" s="120"/>
      <c r="F311" s="120"/>
      <c r="G311" s="120"/>
      <c r="H311" s="182"/>
      <c r="I311" s="181" t="str">
        <f>IF(I300=23,300,IF(I300=22,400," "))</f>
        <v xml:space="preserve"> </v>
      </c>
      <c r="J311" s="195"/>
      <c r="K311" s="195"/>
      <c r="L311" s="195"/>
      <c r="M311" s="195"/>
      <c r="N311" s="195"/>
      <c r="O311" s="195"/>
    </row>
    <row r="312" spans="1:15">
      <c r="A312" s="189" t="s">
        <v>274</v>
      </c>
      <c r="B312" s="189"/>
      <c r="C312" s="189"/>
      <c r="D312" s="189"/>
      <c r="E312" s="189"/>
      <c r="F312" s="374" t="s">
        <v>275</v>
      </c>
      <c r="G312" s="374"/>
      <c r="H312" s="375" t="s">
        <v>276</v>
      </c>
      <c r="I312" s="193"/>
      <c r="J312" s="195"/>
      <c r="K312" s="195"/>
      <c r="L312" s="195"/>
      <c r="M312" s="195"/>
      <c r="N312" s="195"/>
      <c r="O312" s="195"/>
    </row>
    <row r="313" spans="1:15">
      <c r="A313" s="189"/>
      <c r="B313" s="189"/>
      <c r="C313" s="189"/>
      <c r="D313" s="189"/>
      <c r="E313" s="189"/>
      <c r="F313" s="374" t="s">
        <v>277</v>
      </c>
      <c r="G313" s="374"/>
      <c r="H313" s="375"/>
      <c r="I313" s="376">
        <v>0</v>
      </c>
      <c r="J313" s="195"/>
      <c r="K313" s="195"/>
      <c r="L313" s="195"/>
      <c r="M313" s="195"/>
      <c r="N313" s="195"/>
      <c r="O313" s="195"/>
    </row>
    <row r="314" spans="1:15">
      <c r="A314" s="189"/>
      <c r="B314" s="197"/>
      <c r="C314" s="197"/>
      <c r="D314" s="197"/>
      <c r="E314" s="197"/>
      <c r="F314" s="374" t="s">
        <v>278</v>
      </c>
      <c r="G314" s="374"/>
      <c r="H314" s="375"/>
      <c r="I314" s="376"/>
      <c r="J314" s="195"/>
      <c r="K314" s="195"/>
      <c r="L314" s="195"/>
      <c r="M314" s="195"/>
      <c r="N314" s="195"/>
      <c r="O314" s="195"/>
    </row>
    <row r="315" spans="1:15">
      <c r="A315" s="189"/>
      <c r="B315" s="197"/>
      <c r="C315" s="197"/>
      <c r="D315" s="197"/>
      <c r="E315" s="197"/>
      <c r="F315" s="374" t="s">
        <v>279</v>
      </c>
      <c r="G315" s="374"/>
      <c r="H315" s="375"/>
      <c r="I315" s="198"/>
      <c r="J315" s="195"/>
      <c r="K315" s="195"/>
      <c r="L315" s="195"/>
      <c r="M315" s="195"/>
      <c r="N315" s="195"/>
      <c r="O315" s="195"/>
    </row>
    <row r="316" spans="1:15">
      <c r="A316" s="120"/>
      <c r="B316" s="84" t="str">
        <f>IF(I300=13,"Remuneracion Extra"," ")</f>
        <v xml:space="preserve"> </v>
      </c>
      <c r="C316" s="120"/>
      <c r="D316" s="120"/>
      <c r="E316" s="120"/>
      <c r="F316" s="120"/>
      <c r="G316" s="120"/>
      <c r="H316" s="120"/>
      <c r="I316" s="183"/>
      <c r="J316" s="195"/>
      <c r="K316" s="195"/>
      <c r="L316" s="195"/>
      <c r="M316" s="195"/>
      <c r="N316" s="195"/>
      <c r="O316" s="195"/>
    </row>
    <row r="317" spans="1:15" ht="15.75">
      <c r="A317" s="184" t="s">
        <v>129</v>
      </c>
      <c r="B317" s="185"/>
      <c r="C317" s="185"/>
      <c r="D317" s="185"/>
      <c r="E317" s="185"/>
      <c r="F317" s="185"/>
      <c r="G317" s="185"/>
      <c r="H317" s="185"/>
      <c r="I317" s="186" t="e">
        <f>SUM(I306:I316)</f>
        <v>#DIV/0!</v>
      </c>
      <c r="J317" s="195"/>
      <c r="K317" s="195"/>
      <c r="L317" s="195"/>
      <c r="M317" s="195"/>
      <c r="N317" s="195"/>
      <c r="O317" s="195"/>
    </row>
    <row r="318" spans="1:15">
      <c r="A318" s="120"/>
      <c r="B318" s="120"/>
      <c r="C318" s="120"/>
      <c r="D318" s="120"/>
      <c r="E318" s="120"/>
      <c r="F318" s="120"/>
      <c r="G318" s="120"/>
      <c r="H318" s="120"/>
      <c r="I318" s="120"/>
      <c r="J318" s="195"/>
      <c r="K318" s="195"/>
      <c r="L318" s="195"/>
      <c r="M318" s="195"/>
      <c r="N318" s="195"/>
      <c r="O318" s="195"/>
    </row>
    <row r="319" spans="1:15">
      <c r="A319" s="121" t="s">
        <v>130</v>
      </c>
      <c r="B319" s="121"/>
      <c r="C319" s="121"/>
      <c r="D319" s="121"/>
      <c r="E319" s="121"/>
      <c r="F319" s="121"/>
      <c r="G319" s="121"/>
      <c r="H319" s="121"/>
      <c r="I319" s="121"/>
      <c r="J319" s="195"/>
      <c r="K319" s="195"/>
      <c r="L319" s="195"/>
      <c r="M319" s="195"/>
      <c r="N319" s="195"/>
      <c r="O319" s="195"/>
    </row>
    <row r="320" spans="1:15">
      <c r="A320" s="121"/>
      <c r="B320" s="121" t="s">
        <v>131</v>
      </c>
      <c r="C320" s="121"/>
      <c r="D320" s="121"/>
      <c r="E320" s="187">
        <f>VLOOKUP(I300,AVANCEVENDEDOR!$A$2:$R$35,7,0)</f>
        <v>0</v>
      </c>
      <c r="F320" s="187"/>
      <c r="G320" s="121"/>
      <c r="H320" s="121"/>
      <c r="I320" s="121"/>
      <c r="J320" s="195"/>
      <c r="K320" s="195"/>
      <c r="L320" s="195"/>
      <c r="M320" s="199"/>
      <c r="N320" s="200"/>
      <c r="O320" s="195"/>
    </row>
    <row r="321" spans="1:15">
      <c r="A321" s="121"/>
      <c r="B321" s="121" t="s">
        <v>132</v>
      </c>
      <c r="C321" s="121"/>
      <c r="D321" s="121"/>
      <c r="E321" s="187">
        <f>IF(I300=27,(VLOOKUP(I300,AVANCEVENDEDOR!$A$2:$R$35,6,0)-I297),(VLOOKUP(I300,AVANCEVENDEDOR!$A$2:$R$35,6,0)))</f>
        <v>0</v>
      </c>
      <c r="F321" s="187"/>
      <c r="G321" s="188" t="s">
        <v>133</v>
      </c>
      <c r="H321" s="187" t="e">
        <f>+E321*100/E320</f>
        <v>#DIV/0!</v>
      </c>
      <c r="I321" s="121"/>
      <c r="J321" s="195"/>
      <c r="K321" s="121"/>
      <c r="L321" s="201"/>
      <c r="M321" s="195"/>
      <c r="N321" s="195"/>
      <c r="O321" s="195"/>
    </row>
    <row r="322" spans="1:15">
      <c r="A322" s="121"/>
      <c r="B322" s="121"/>
      <c r="C322" s="121"/>
      <c r="D322" s="121"/>
      <c r="E322" s="121"/>
      <c r="F322" s="121"/>
      <c r="G322" s="188"/>
      <c r="H322" s="121"/>
      <c r="I322" s="121"/>
      <c r="J322" s="195"/>
      <c r="K322" s="195"/>
      <c r="L322" s="195"/>
      <c r="M322" s="195"/>
      <c r="N322" s="195"/>
      <c r="O322" s="195"/>
    </row>
    <row r="323" spans="1:15">
      <c r="A323" s="121"/>
      <c r="B323" s="121" t="s">
        <v>134</v>
      </c>
      <c r="C323" s="121"/>
      <c r="D323" s="121"/>
      <c r="E323" s="187">
        <f>VLOOKUP(I300,AVANCEVENDEDOR!$A$2:$R$35,10,0)</f>
        <v>0</v>
      </c>
      <c r="F323" s="187"/>
      <c r="G323" s="188"/>
      <c r="H323" s="121"/>
      <c r="I323" s="121"/>
      <c r="J323" s="195"/>
      <c r="K323" s="195"/>
      <c r="L323" s="195"/>
      <c r="M323" s="195"/>
      <c r="N323" s="195"/>
      <c r="O323" s="195"/>
    </row>
    <row r="324" spans="1:15">
      <c r="A324" s="121"/>
      <c r="B324" s="121" t="s">
        <v>135</v>
      </c>
      <c r="C324" s="121"/>
      <c r="D324" s="121"/>
      <c r="E324" s="187">
        <f>VLOOKUP(I300,AVANCEVENDEDOR!$A$2:$R$35,11,0)</f>
        <v>0</v>
      </c>
      <c r="F324" s="187"/>
      <c r="G324" s="188" t="s">
        <v>136</v>
      </c>
      <c r="H324" s="187">
        <f>VLOOKUP(I300,AVANCEVENDEDOR!$A$2:$R$35,15,0)</f>
        <v>0</v>
      </c>
      <c r="I324" s="121"/>
      <c r="J324" s="195"/>
      <c r="K324" s="195"/>
      <c r="L324" s="195"/>
      <c r="M324" s="195"/>
      <c r="N324" s="195"/>
      <c r="O324" s="195"/>
    </row>
    <row r="325" spans="1:15">
      <c r="A325" s="121"/>
      <c r="B325" s="121" t="s">
        <v>137</v>
      </c>
      <c r="C325" s="121"/>
      <c r="D325" s="121"/>
      <c r="E325" s="187">
        <f>VLOOKUP(I300,AVANCEVENDEDOR!$A$2:$R$35,9,0)</f>
        <v>0</v>
      </c>
      <c r="F325" s="187"/>
      <c r="G325" s="188"/>
      <c r="H325" s="121"/>
      <c r="I325" s="121"/>
      <c r="J325" s="195"/>
      <c r="K325" s="195"/>
      <c r="L325" s="195"/>
      <c r="M325" s="195"/>
      <c r="N325" s="195"/>
      <c r="O325" s="195"/>
    </row>
    <row r="326" spans="1:15">
      <c r="A326" s="121"/>
      <c r="B326" s="121"/>
      <c r="C326" s="121"/>
      <c r="D326" s="121"/>
      <c r="E326" s="121"/>
      <c r="F326" s="121"/>
      <c r="G326" s="188"/>
      <c r="H326" s="121"/>
      <c r="I326" s="121"/>
      <c r="J326" s="195"/>
      <c r="K326" s="195"/>
      <c r="L326" s="195"/>
      <c r="M326" s="195"/>
      <c r="N326" s="195"/>
      <c r="O326" s="195"/>
    </row>
    <row r="327" spans="1:15">
      <c r="A327" s="121"/>
      <c r="B327" s="121" t="s">
        <v>280</v>
      </c>
      <c r="C327" s="121"/>
      <c r="D327" s="121"/>
      <c r="E327" s="187">
        <f>VLOOKUP(I300,AVANCEVENDEDOR!$A$2:$R$35,13,0)</f>
        <v>0</v>
      </c>
      <c r="F327" s="187"/>
      <c r="G327" s="121"/>
      <c r="H327" s="187"/>
      <c r="I327" s="121"/>
      <c r="J327" s="195"/>
      <c r="K327" s="195"/>
      <c r="L327" s="195"/>
      <c r="M327" s="195"/>
      <c r="N327" s="195"/>
      <c r="O327" s="195"/>
    </row>
    <row r="328" spans="1:15">
      <c r="A328" s="121"/>
      <c r="B328" s="121" t="s">
        <v>281</v>
      </c>
      <c r="C328" s="121"/>
      <c r="D328" s="121"/>
      <c r="E328" s="187">
        <f>VLOOKUP(I300,AVANCEVENDEDOR!$A$2:$R$35,14,0)</f>
        <v>0</v>
      </c>
      <c r="F328" s="187"/>
      <c r="G328" s="188" t="s">
        <v>140</v>
      </c>
      <c r="H328" s="187" t="e">
        <f>+E328*100/E327</f>
        <v>#DIV/0!</v>
      </c>
      <c r="I328" s="121"/>
      <c r="J328" s="195"/>
      <c r="K328" s="195"/>
      <c r="L328" s="195"/>
      <c r="M328" s="195"/>
      <c r="N328" s="195"/>
      <c r="O328" s="195"/>
    </row>
    <row r="329" spans="1:15">
      <c r="J329" s="195"/>
      <c r="K329" s="195"/>
      <c r="L329" s="195"/>
      <c r="M329" s="195"/>
      <c r="N329" s="195"/>
      <c r="O329" s="195"/>
    </row>
    <row r="330" spans="1:15" hidden="1">
      <c r="F330">
        <v>99</v>
      </c>
    </row>
    <row r="331" spans="1:15" hidden="1">
      <c r="F331">
        <v>100</v>
      </c>
      <c r="G331">
        <v>100</v>
      </c>
    </row>
    <row r="332" spans="1:15" hidden="1">
      <c r="F332">
        <v>101</v>
      </c>
      <c r="G332">
        <v>100</v>
      </c>
    </row>
    <row r="333" spans="1:15" hidden="1">
      <c r="F333">
        <v>102</v>
      </c>
      <c r="G333">
        <v>100</v>
      </c>
    </row>
    <row r="334" spans="1:15" hidden="1">
      <c r="F334">
        <v>103</v>
      </c>
      <c r="G334">
        <v>100</v>
      </c>
    </row>
    <row r="335" spans="1:15" hidden="1">
      <c r="F335">
        <v>104</v>
      </c>
      <c r="G335">
        <v>100</v>
      </c>
    </row>
    <row r="336" spans="1:15" hidden="1">
      <c r="F336">
        <v>105</v>
      </c>
      <c r="G336">
        <v>100</v>
      </c>
    </row>
    <row r="337" spans="6:7" hidden="1">
      <c r="F337">
        <v>106</v>
      </c>
      <c r="G337">
        <v>200</v>
      </c>
    </row>
    <row r="338" spans="6:7" hidden="1">
      <c r="F338">
        <v>107</v>
      </c>
      <c r="G338">
        <v>200</v>
      </c>
    </row>
    <row r="339" spans="6:7" hidden="1">
      <c r="F339">
        <v>108</v>
      </c>
      <c r="G339">
        <v>200</v>
      </c>
    </row>
    <row r="340" spans="6:7" hidden="1">
      <c r="F340">
        <v>109</v>
      </c>
      <c r="G340">
        <v>200</v>
      </c>
    </row>
    <row r="341" spans="6:7" hidden="1">
      <c r="F341">
        <v>110</v>
      </c>
      <c r="G341">
        <v>200</v>
      </c>
    </row>
    <row r="342" spans="6:7" hidden="1">
      <c r="F342">
        <v>111</v>
      </c>
      <c r="G342">
        <v>200</v>
      </c>
    </row>
    <row r="343" spans="6:7" hidden="1">
      <c r="F343">
        <v>112</v>
      </c>
      <c r="G343">
        <v>200</v>
      </c>
    </row>
    <row r="344" spans="6:7" hidden="1">
      <c r="F344">
        <v>113</v>
      </c>
      <c r="G344">
        <v>200</v>
      </c>
    </row>
    <row r="345" spans="6:7" hidden="1">
      <c r="F345">
        <v>114</v>
      </c>
      <c r="G345">
        <v>200</v>
      </c>
    </row>
    <row r="346" spans="6:7" hidden="1">
      <c r="F346">
        <v>115</v>
      </c>
      <c r="G346">
        <v>300</v>
      </c>
    </row>
    <row r="347" spans="6:7" hidden="1">
      <c r="F347">
        <v>116</v>
      </c>
      <c r="G347">
        <v>300</v>
      </c>
    </row>
    <row r="348" spans="6:7" hidden="1">
      <c r="F348">
        <v>117</v>
      </c>
      <c r="G348">
        <v>300</v>
      </c>
    </row>
    <row r="349" spans="6:7" hidden="1">
      <c r="F349">
        <v>118</v>
      </c>
      <c r="G349">
        <v>300</v>
      </c>
    </row>
    <row r="350" spans="6:7" hidden="1">
      <c r="F350">
        <v>119</v>
      </c>
      <c r="G350">
        <v>300</v>
      </c>
    </row>
    <row r="351" spans="6:7" hidden="1">
      <c r="F351">
        <v>120</v>
      </c>
      <c r="G351">
        <v>300</v>
      </c>
    </row>
    <row r="352" spans="6:7" hidden="1">
      <c r="F352">
        <v>121</v>
      </c>
      <c r="G352">
        <v>400</v>
      </c>
    </row>
    <row r="353" spans="6:7" hidden="1">
      <c r="F353">
        <v>122</v>
      </c>
      <c r="G353">
        <v>400</v>
      </c>
    </row>
    <row r="371" spans="1:15">
      <c r="A371" s="84" t="s">
        <v>112</v>
      </c>
      <c r="B371" s="120"/>
      <c r="C371" s="120"/>
      <c r="D371" s="120"/>
      <c r="E371" s="120"/>
      <c r="F371" s="120"/>
      <c r="G371" s="120"/>
      <c r="H371" s="120"/>
      <c r="I371" s="189"/>
      <c r="J371" s="195"/>
      <c r="K371" s="195"/>
      <c r="L371" s="195"/>
      <c r="M371" s="195"/>
      <c r="N371" s="195"/>
      <c r="O371" s="195"/>
    </row>
    <row r="372" spans="1:15">
      <c r="A372" s="84" t="s">
        <v>113</v>
      </c>
      <c r="B372" s="120"/>
      <c r="C372" s="120"/>
      <c r="D372" s="120"/>
      <c r="E372" s="120"/>
      <c r="F372" s="120"/>
      <c r="G372" s="120"/>
      <c r="H372" s="120"/>
      <c r="I372" s="179" t="str">
        <f>+CONCATENATE("20142_",I374)</f>
        <v>20142_6</v>
      </c>
      <c r="J372" s="195"/>
      <c r="K372" s="195"/>
      <c r="L372" s="195"/>
      <c r="M372" s="195"/>
      <c r="N372" s="195"/>
      <c r="O372" s="195"/>
    </row>
    <row r="373" spans="1:15">
      <c r="A373" s="84" t="s">
        <v>114</v>
      </c>
      <c r="B373" s="120"/>
      <c r="C373" s="120"/>
      <c r="D373" s="120"/>
      <c r="E373" s="120"/>
      <c r="F373" s="120"/>
      <c r="G373" s="120"/>
      <c r="H373" s="120"/>
      <c r="I373" s="120"/>
      <c r="J373" s="195"/>
      <c r="K373" s="195"/>
      <c r="L373" s="195"/>
      <c r="M373" s="195"/>
      <c r="N373" s="195"/>
      <c r="O373" s="195"/>
    </row>
    <row r="374" spans="1:15">
      <c r="A374" s="120"/>
      <c r="B374" s="120"/>
      <c r="C374" s="120"/>
      <c r="D374" s="120"/>
      <c r="E374" s="120"/>
      <c r="F374" s="120"/>
      <c r="G374" s="120"/>
      <c r="H374" s="120"/>
      <c r="I374" s="191">
        <v>6</v>
      </c>
      <c r="J374" s="195"/>
      <c r="K374" s="195"/>
      <c r="L374" s="195"/>
      <c r="M374" s="195"/>
      <c r="N374" s="195"/>
      <c r="O374" s="195"/>
    </row>
    <row r="375" spans="1:15">
      <c r="A375" s="120" t="s">
        <v>115</v>
      </c>
      <c r="B375" s="120"/>
      <c r="C375" s="120"/>
      <c r="D375" s="120"/>
      <c r="E375" s="120"/>
      <c r="F375" s="120"/>
      <c r="G375" s="120"/>
      <c r="H375" s="120"/>
      <c r="I375" s="83">
        <f>I5</f>
        <v>43801</v>
      </c>
      <c r="J375" s="195"/>
      <c r="K375" s="195"/>
      <c r="L375" s="195"/>
      <c r="M375" s="195"/>
      <c r="N375" s="195"/>
      <c r="O375" s="195"/>
    </row>
    <row r="376" spans="1:15">
      <c r="A376" s="120"/>
      <c r="B376" s="120"/>
      <c r="C376" s="120"/>
      <c r="D376" s="120"/>
      <c r="E376" s="120"/>
      <c r="F376" s="120"/>
      <c r="G376" s="120"/>
      <c r="H376" s="120"/>
      <c r="I376" s="120"/>
      <c r="J376" s="195"/>
      <c r="K376" s="195"/>
      <c r="L376" s="195"/>
      <c r="M376" s="195"/>
      <c r="N376" s="195"/>
      <c r="O376" s="195"/>
    </row>
    <row r="377" spans="1:15">
      <c r="A377" s="120" t="s">
        <v>116</v>
      </c>
      <c r="B377" s="120"/>
      <c r="C377" s="84" t="str">
        <f>VLOOKUP(I374,AVANCEVENDEDOR!$A$2:$R$35,3,0)</f>
        <v>SANTOS TORRES OSCAR LUIS</v>
      </c>
      <c r="D377" s="120"/>
      <c r="E377" s="120"/>
      <c r="F377" s="120"/>
      <c r="G377" s="120"/>
      <c r="H377" s="120"/>
      <c r="I377" s="120"/>
      <c r="J377" s="195"/>
      <c r="K377" s="195"/>
      <c r="L377" s="195"/>
      <c r="M377" s="195"/>
      <c r="N377" s="195"/>
      <c r="O377" s="195"/>
    </row>
    <row r="378" spans="1:15">
      <c r="A378" s="120"/>
      <c r="B378" s="120"/>
      <c r="C378" s="120"/>
      <c r="D378" s="120"/>
      <c r="E378" s="120"/>
      <c r="F378" s="120"/>
      <c r="G378" s="120"/>
      <c r="H378" s="120"/>
      <c r="I378" s="84" t="s">
        <v>118</v>
      </c>
      <c r="J378" s="195"/>
      <c r="K378" s="195"/>
      <c r="L378" s="195"/>
      <c r="M378" s="195"/>
      <c r="N378" s="195"/>
      <c r="O378" s="195"/>
    </row>
    <row r="379" spans="1:15">
      <c r="A379" s="120"/>
      <c r="B379" s="120"/>
      <c r="C379" s="120"/>
      <c r="D379" s="120"/>
      <c r="E379" s="120"/>
      <c r="F379" s="120"/>
      <c r="G379" s="120"/>
      <c r="H379" s="120"/>
      <c r="I379" s="120"/>
      <c r="J379" s="195"/>
      <c r="K379" s="195"/>
      <c r="L379" s="195"/>
      <c r="M379" s="195"/>
      <c r="N379" s="195"/>
      <c r="O379" s="195"/>
    </row>
    <row r="380" spans="1:15">
      <c r="A380" s="120" t="s">
        <v>119</v>
      </c>
      <c r="B380" s="120"/>
      <c r="C380" s="120"/>
      <c r="D380" s="120"/>
      <c r="E380" s="120"/>
      <c r="F380" s="120"/>
      <c r="G380" s="120"/>
      <c r="H380" s="120"/>
      <c r="I380" s="181">
        <v>850</v>
      </c>
      <c r="J380" s="195"/>
      <c r="K380" s="195"/>
      <c r="L380" s="195"/>
      <c r="M380" s="195"/>
      <c r="N380" s="195"/>
      <c r="O380" s="195"/>
    </row>
    <row r="381" spans="1:15">
      <c r="A381" s="120" t="s">
        <v>120</v>
      </c>
      <c r="B381" s="120"/>
      <c r="C381" s="120"/>
      <c r="D381" s="120"/>
      <c r="E381" s="120"/>
      <c r="F381" s="86" t="s">
        <v>272</v>
      </c>
      <c r="G381" s="86" t="s">
        <v>122</v>
      </c>
      <c r="H381" s="86" t="s">
        <v>123</v>
      </c>
      <c r="I381" s="181">
        <v>400</v>
      </c>
      <c r="J381" s="195"/>
      <c r="K381" s="195"/>
      <c r="L381" s="195"/>
      <c r="M381" s="195"/>
      <c r="N381" s="195"/>
      <c r="O381" s="195"/>
    </row>
    <row r="382" spans="1:15">
      <c r="A382" s="120" t="s">
        <v>291</v>
      </c>
      <c r="B382" s="120"/>
      <c r="C382" s="120"/>
      <c r="D382" s="120"/>
      <c r="E382" s="120"/>
      <c r="F382" s="182">
        <v>0.5</v>
      </c>
      <c r="G382" s="182">
        <f>IF(I374=13,80,85)</f>
        <v>85</v>
      </c>
      <c r="H382" s="182">
        <f>+H395</f>
        <v>47.76101217828684</v>
      </c>
      <c r="I382" s="181">
        <f>IF(H382&gt;=G382,E395*F382%,0)</f>
        <v>0</v>
      </c>
      <c r="J382" s="195"/>
      <c r="K382" s="195"/>
      <c r="L382" s="195"/>
      <c r="M382" s="195"/>
      <c r="N382" s="195"/>
      <c r="O382" s="195"/>
    </row>
    <row r="383" spans="1:15">
      <c r="A383" s="120" t="str">
        <f>CONCATENATE("COM. MOROSIDAD AL ",G383,"%")</f>
        <v>COM. MOROSIDAD AL 5%</v>
      </c>
      <c r="B383" s="120"/>
      <c r="C383" s="120"/>
      <c r="D383" s="120"/>
      <c r="E383" s="120"/>
      <c r="F383" s="182">
        <v>0.3</v>
      </c>
      <c r="G383" s="182">
        <v>5</v>
      </c>
      <c r="H383" s="182">
        <f>+H398</f>
        <v>1.76</v>
      </c>
      <c r="I383" s="181">
        <f>+IF(H383&lt;=G383,E395*F383%,0)</f>
        <v>501.79413</v>
      </c>
      <c r="J383" s="195"/>
      <c r="K383" s="195"/>
      <c r="L383" s="195"/>
      <c r="M383" s="195"/>
      <c r="N383" s="195"/>
      <c r="O383" s="195"/>
    </row>
    <row r="384" spans="1:15">
      <c r="A384" s="120" t="s">
        <v>292</v>
      </c>
      <c r="B384" s="120"/>
      <c r="C384" s="120"/>
      <c r="D384" s="120"/>
      <c r="E384" s="120"/>
      <c r="F384" s="182">
        <f>IF(I374=3,0.1,0.2)</f>
        <v>0.2</v>
      </c>
      <c r="G384" s="182">
        <f>IF(I374=23,50,85)</f>
        <v>85</v>
      </c>
      <c r="H384" s="182">
        <f>+H402</f>
        <v>66.666666666666671</v>
      </c>
      <c r="I384" s="181">
        <f>IF(H384&gt;=G384,E395*F384%,0)</f>
        <v>0</v>
      </c>
      <c r="J384" s="195"/>
      <c r="K384" s="195"/>
      <c r="L384" s="195"/>
      <c r="M384" s="195"/>
      <c r="N384" s="195"/>
      <c r="O384" s="195"/>
    </row>
    <row r="385" spans="1:15">
      <c r="A385" s="120" t="str">
        <f>IF(I374=23,"COMISION POR TIEMPODE VIAJE",IF(I374=22,"BONIFICACION"," "))</f>
        <v xml:space="preserve"> </v>
      </c>
      <c r="B385" s="120"/>
      <c r="C385" s="120"/>
      <c r="D385" s="120"/>
      <c r="E385" s="120"/>
      <c r="F385" s="120"/>
      <c r="G385" s="120"/>
      <c r="H385" s="182"/>
      <c r="I385" s="181" t="str">
        <f>IF(I374=23,300,IF(I374=22,400," "))</f>
        <v xml:space="preserve"> </v>
      </c>
      <c r="J385" s="195"/>
      <c r="K385" s="195"/>
      <c r="L385" s="195"/>
      <c r="M385" s="195"/>
      <c r="N385" s="195"/>
      <c r="O385" s="195"/>
    </row>
    <row r="386" spans="1:15">
      <c r="A386" s="189" t="s">
        <v>274</v>
      </c>
      <c r="B386" s="189"/>
      <c r="C386" s="189"/>
      <c r="D386" s="189"/>
      <c r="E386" s="189"/>
      <c r="F386" s="374" t="s">
        <v>275</v>
      </c>
      <c r="G386" s="374"/>
      <c r="H386" s="375" t="s">
        <v>276</v>
      </c>
      <c r="I386" s="193"/>
      <c r="J386" s="195"/>
      <c r="K386" s="195"/>
      <c r="L386" s="195"/>
      <c r="M386" s="195"/>
      <c r="N386" s="195"/>
      <c r="O386" s="195"/>
    </row>
    <row r="387" spans="1:15">
      <c r="A387" s="189"/>
      <c r="B387" s="189"/>
      <c r="C387" s="189"/>
      <c r="D387" s="189"/>
      <c r="E387" s="189"/>
      <c r="F387" s="374" t="s">
        <v>277</v>
      </c>
      <c r="G387" s="374"/>
      <c r="H387" s="375"/>
      <c r="I387" s="376">
        <v>0</v>
      </c>
      <c r="J387" s="195"/>
      <c r="K387" s="195"/>
      <c r="L387" s="195"/>
      <c r="M387" s="195"/>
      <c r="N387" s="195"/>
      <c r="O387" s="195"/>
    </row>
    <row r="388" spans="1:15">
      <c r="A388" s="189"/>
      <c r="B388" s="197"/>
      <c r="C388" s="197"/>
      <c r="D388" s="197"/>
      <c r="E388" s="197"/>
      <c r="F388" s="374" t="s">
        <v>278</v>
      </c>
      <c r="G388" s="374"/>
      <c r="H388" s="375"/>
      <c r="I388" s="376"/>
      <c r="J388" s="195"/>
      <c r="K388" s="195"/>
      <c r="L388" s="195"/>
      <c r="M388" s="195"/>
      <c r="N388" s="195"/>
      <c r="O388" s="195"/>
    </row>
    <row r="389" spans="1:15">
      <c r="A389" s="189"/>
      <c r="B389" s="197"/>
      <c r="C389" s="197"/>
      <c r="D389" s="197"/>
      <c r="E389" s="197"/>
      <c r="F389" s="374" t="s">
        <v>279</v>
      </c>
      <c r="G389" s="374"/>
      <c r="H389" s="375"/>
      <c r="I389" s="198"/>
      <c r="J389" s="195"/>
      <c r="K389" s="195"/>
      <c r="L389" s="195"/>
      <c r="M389" s="195"/>
      <c r="N389" s="195"/>
      <c r="O389" s="195"/>
    </row>
    <row r="390" spans="1:15">
      <c r="A390" s="120"/>
      <c r="B390" s="84" t="str">
        <f>IF(I374=13,"Remuneracion Extra"," ")</f>
        <v xml:space="preserve"> </v>
      </c>
      <c r="C390" s="120"/>
      <c r="D390" s="120"/>
      <c r="E390" s="120"/>
      <c r="F390" s="120"/>
      <c r="G390" s="120"/>
      <c r="H390" s="120"/>
      <c r="I390" s="183"/>
      <c r="J390" s="195"/>
      <c r="K390" s="195"/>
      <c r="L390" s="195"/>
      <c r="M390" s="195"/>
      <c r="N390" s="195"/>
      <c r="O390" s="195"/>
    </row>
    <row r="391" spans="1:15" ht="15.75">
      <c r="A391" s="184" t="s">
        <v>129</v>
      </c>
      <c r="B391" s="185"/>
      <c r="C391" s="185"/>
      <c r="D391" s="185"/>
      <c r="E391" s="185"/>
      <c r="F391" s="185"/>
      <c r="G391" s="185"/>
      <c r="H391" s="185"/>
      <c r="I391" s="186">
        <f>SUM(I380:I390)</f>
        <v>1751.79413</v>
      </c>
      <c r="J391" s="195"/>
      <c r="K391" s="195"/>
      <c r="L391" s="195"/>
      <c r="M391" s="195"/>
      <c r="N391" s="195"/>
      <c r="O391" s="195"/>
    </row>
    <row r="392" spans="1:15">
      <c r="A392" s="120"/>
      <c r="B392" s="120"/>
      <c r="C392" s="120"/>
      <c r="D392" s="120"/>
      <c r="E392" s="120"/>
      <c r="F392" s="120"/>
      <c r="G392" s="120"/>
      <c r="H392" s="120"/>
      <c r="I392" s="120"/>
      <c r="J392" s="195"/>
      <c r="K392" s="195"/>
      <c r="L392" s="195"/>
      <c r="M392" s="195"/>
      <c r="N392" s="195"/>
      <c r="O392" s="195"/>
    </row>
    <row r="393" spans="1:15">
      <c r="A393" s="121" t="s">
        <v>130</v>
      </c>
      <c r="B393" s="121"/>
      <c r="C393" s="121"/>
      <c r="D393" s="121"/>
      <c r="E393" s="121"/>
      <c r="F393" s="121"/>
      <c r="G393" s="121"/>
      <c r="H393" s="121"/>
      <c r="I393" s="121"/>
      <c r="J393" s="195"/>
      <c r="K393" s="195"/>
      <c r="L393" s="195"/>
      <c r="M393" s="195"/>
      <c r="N393" s="195"/>
      <c r="O393" s="195"/>
    </row>
    <row r="394" spans="1:15">
      <c r="A394" s="121"/>
      <c r="B394" s="121" t="s">
        <v>131</v>
      </c>
      <c r="C394" s="121"/>
      <c r="D394" s="121"/>
      <c r="E394" s="187">
        <f>VLOOKUP(I374,AVANCEVENDEDOR!$A$2:$R$35,7,0)</f>
        <v>350211.82</v>
      </c>
      <c r="F394" s="187"/>
      <c r="G394" s="121"/>
      <c r="H394" s="121"/>
      <c r="I394" s="121"/>
      <c r="J394" s="195"/>
      <c r="K394" s="195"/>
      <c r="L394" s="195"/>
      <c r="M394" s="199"/>
      <c r="N394" s="200"/>
      <c r="O394" s="195"/>
    </row>
    <row r="395" spans="1:15">
      <c r="A395" s="121"/>
      <c r="B395" s="121" t="s">
        <v>132</v>
      </c>
      <c r="C395" s="121"/>
      <c r="D395" s="121"/>
      <c r="E395" s="187">
        <f>IF(I374=27,(VLOOKUP(I374,AVANCEVENDEDOR!$A$2:$R$35,6,0)-I371),(VLOOKUP(I374,AVANCEVENDEDOR!$A$2:$R$35,6,0)))</f>
        <v>167264.71</v>
      </c>
      <c r="F395" s="187"/>
      <c r="G395" s="188" t="s">
        <v>133</v>
      </c>
      <c r="H395" s="187">
        <f>+E395*100/E394</f>
        <v>47.76101217828684</v>
      </c>
      <c r="I395" s="121"/>
      <c r="J395" s="195"/>
      <c r="K395" s="121"/>
      <c r="L395" s="201"/>
      <c r="M395" s="195"/>
      <c r="N395" s="195"/>
      <c r="O395" s="195"/>
    </row>
    <row r="396" spans="1:15">
      <c r="A396" s="121"/>
      <c r="B396" s="121"/>
      <c r="C396" s="121"/>
      <c r="D396" s="121"/>
      <c r="E396" s="121"/>
      <c r="F396" s="121"/>
      <c r="G396" s="188"/>
      <c r="H396" s="121"/>
      <c r="I396" s="121"/>
      <c r="J396" s="195"/>
      <c r="K396" s="195"/>
      <c r="L396" s="195"/>
      <c r="M396" s="195"/>
      <c r="N396" s="195"/>
      <c r="O396" s="195"/>
    </row>
    <row r="397" spans="1:15">
      <c r="A397" s="121"/>
      <c r="B397" s="121" t="s">
        <v>134</v>
      </c>
      <c r="C397" s="121"/>
      <c r="D397" s="121"/>
      <c r="E397" s="187">
        <f>VLOOKUP(I374,AVANCEVENDEDOR!$A$2:$R$35,10,0)</f>
        <v>692118.64</v>
      </c>
      <c r="F397" s="187"/>
      <c r="G397" s="188"/>
      <c r="H397" s="121"/>
      <c r="I397" s="121"/>
      <c r="J397" s="195"/>
      <c r="K397" s="195"/>
      <c r="L397" s="195"/>
      <c r="M397" s="195"/>
      <c r="N397" s="195"/>
      <c r="O397" s="195"/>
    </row>
    <row r="398" spans="1:15">
      <c r="A398" s="121"/>
      <c r="B398" s="121" t="s">
        <v>135</v>
      </c>
      <c r="C398" s="121"/>
      <c r="D398" s="121"/>
      <c r="E398" s="187">
        <f>VLOOKUP(I374,AVANCEVENDEDOR!$A$2:$R$35,11,0)</f>
        <v>12189.77</v>
      </c>
      <c r="F398" s="187"/>
      <c r="G398" s="188" t="s">
        <v>136</v>
      </c>
      <c r="H398" s="187">
        <f>VLOOKUP(I374,AVANCEVENDEDOR!$A$2:$R$35,15,0)</f>
        <v>1.76</v>
      </c>
      <c r="I398" s="121"/>
      <c r="J398" s="195"/>
      <c r="K398" s="195"/>
      <c r="L398" s="195"/>
      <c r="M398" s="195"/>
      <c r="N398" s="195"/>
      <c r="O398" s="195"/>
    </row>
    <row r="399" spans="1:15">
      <c r="A399" s="121"/>
      <c r="B399" s="121" t="s">
        <v>137</v>
      </c>
      <c r="C399" s="121"/>
      <c r="D399" s="121"/>
      <c r="E399" s="187">
        <f>VLOOKUP(I374,AVANCEVENDEDOR!$A$2:$R$35,9,0)</f>
        <v>451561.19</v>
      </c>
      <c r="F399" s="187"/>
      <c r="G399" s="188"/>
      <c r="H399" s="121"/>
      <c r="I399" s="121"/>
      <c r="J399" s="195"/>
      <c r="K399" s="195"/>
      <c r="L399" s="195"/>
      <c r="M399" s="195"/>
      <c r="N399" s="195"/>
      <c r="O399" s="195"/>
    </row>
    <row r="400" spans="1:15">
      <c r="A400" s="121"/>
      <c r="B400" s="121"/>
      <c r="C400" s="121"/>
      <c r="D400" s="121"/>
      <c r="E400" s="121"/>
      <c r="F400" s="121"/>
      <c r="G400" s="188"/>
      <c r="H400" s="121"/>
      <c r="I400" s="121"/>
      <c r="J400" s="195"/>
      <c r="K400" s="195"/>
      <c r="L400" s="195"/>
      <c r="M400" s="195"/>
      <c r="N400" s="195"/>
      <c r="O400" s="195"/>
    </row>
    <row r="401" spans="1:15">
      <c r="A401" s="121"/>
      <c r="B401" s="121" t="s">
        <v>280</v>
      </c>
      <c r="C401" s="121"/>
      <c r="D401" s="121"/>
      <c r="E401" s="187">
        <f>VLOOKUP(I374,AVANCEVENDEDOR!$A$2:$R$35,13,0)</f>
        <v>15</v>
      </c>
      <c r="F401" s="187"/>
      <c r="G401" s="121"/>
      <c r="H401" s="187"/>
      <c r="I401" s="121"/>
      <c r="J401" s="195"/>
      <c r="K401" s="195"/>
      <c r="L401" s="195"/>
      <c r="M401" s="195"/>
      <c r="N401" s="195"/>
      <c r="O401" s="195"/>
    </row>
    <row r="402" spans="1:15">
      <c r="A402" s="121"/>
      <c r="B402" s="121" t="s">
        <v>281</v>
      </c>
      <c r="C402" s="121"/>
      <c r="D402" s="121"/>
      <c r="E402" s="187">
        <f>VLOOKUP(I374,AVANCEVENDEDOR!$A$2:$R$35,14,0)</f>
        <v>10</v>
      </c>
      <c r="F402" s="187"/>
      <c r="G402" s="188" t="s">
        <v>140</v>
      </c>
      <c r="H402" s="187">
        <f>+E402*100/E401</f>
        <v>66.666666666666671</v>
      </c>
      <c r="I402" s="121"/>
      <c r="J402" s="195"/>
      <c r="K402" s="195"/>
      <c r="L402" s="195"/>
      <c r="M402" s="195"/>
      <c r="N402" s="195"/>
      <c r="O402" s="195"/>
    </row>
    <row r="403" spans="1:15">
      <c r="J403" s="195"/>
      <c r="K403" s="195"/>
      <c r="L403" s="195"/>
      <c r="M403" s="195"/>
      <c r="N403" s="195"/>
      <c r="O403" s="195"/>
    </row>
    <row r="404" spans="1:15" hidden="1">
      <c r="F404">
        <v>99</v>
      </c>
    </row>
    <row r="405" spans="1:15" hidden="1">
      <c r="F405">
        <v>100</v>
      </c>
      <c r="G405">
        <v>100</v>
      </c>
    </row>
    <row r="406" spans="1:15" hidden="1">
      <c r="F406">
        <v>101</v>
      </c>
      <c r="G406">
        <v>100</v>
      </c>
    </row>
    <row r="407" spans="1:15" hidden="1">
      <c r="F407">
        <v>102</v>
      </c>
      <c r="G407">
        <v>100</v>
      </c>
    </row>
    <row r="408" spans="1:15" hidden="1">
      <c r="F408">
        <v>103</v>
      </c>
      <c r="G408">
        <v>100</v>
      </c>
    </row>
    <row r="409" spans="1:15" hidden="1">
      <c r="F409">
        <v>104</v>
      </c>
      <c r="G409">
        <v>100</v>
      </c>
    </row>
    <row r="410" spans="1:15" hidden="1">
      <c r="F410">
        <v>105</v>
      </c>
      <c r="G410">
        <v>100</v>
      </c>
    </row>
    <row r="411" spans="1:15" hidden="1">
      <c r="F411">
        <v>106</v>
      </c>
      <c r="G411">
        <v>200</v>
      </c>
    </row>
    <row r="412" spans="1:15" hidden="1">
      <c r="F412">
        <v>107</v>
      </c>
      <c r="G412">
        <v>200</v>
      </c>
    </row>
    <row r="413" spans="1:15" hidden="1">
      <c r="F413">
        <v>108</v>
      </c>
      <c r="G413">
        <v>200</v>
      </c>
    </row>
    <row r="414" spans="1:15" hidden="1">
      <c r="F414">
        <v>109</v>
      </c>
      <c r="G414">
        <v>200</v>
      </c>
    </row>
    <row r="415" spans="1:15" hidden="1">
      <c r="F415">
        <v>110</v>
      </c>
      <c r="G415">
        <v>200</v>
      </c>
    </row>
    <row r="416" spans="1:15" hidden="1">
      <c r="F416">
        <v>111</v>
      </c>
      <c r="G416">
        <v>200</v>
      </c>
    </row>
    <row r="417" spans="6:7" hidden="1">
      <c r="F417">
        <v>112</v>
      </c>
      <c r="G417">
        <v>200</v>
      </c>
    </row>
    <row r="418" spans="6:7" hidden="1">
      <c r="F418">
        <v>113</v>
      </c>
      <c r="G418">
        <v>200</v>
      </c>
    </row>
    <row r="419" spans="6:7" hidden="1">
      <c r="F419">
        <v>114</v>
      </c>
      <c r="G419">
        <v>200</v>
      </c>
    </row>
    <row r="420" spans="6:7" hidden="1">
      <c r="F420">
        <v>115</v>
      </c>
      <c r="G420">
        <v>300</v>
      </c>
    </row>
    <row r="421" spans="6:7" hidden="1">
      <c r="F421">
        <v>116</v>
      </c>
      <c r="G421">
        <v>300</v>
      </c>
    </row>
    <row r="422" spans="6:7" hidden="1">
      <c r="F422">
        <v>117</v>
      </c>
      <c r="G422">
        <v>300</v>
      </c>
    </row>
    <row r="423" spans="6:7" hidden="1">
      <c r="F423">
        <v>118</v>
      </c>
      <c r="G423">
        <v>300</v>
      </c>
    </row>
    <row r="424" spans="6:7" hidden="1">
      <c r="F424">
        <v>119</v>
      </c>
      <c r="G424">
        <v>300</v>
      </c>
    </row>
    <row r="425" spans="6:7" hidden="1">
      <c r="F425">
        <v>120</v>
      </c>
      <c r="G425">
        <v>300</v>
      </c>
    </row>
    <row r="426" spans="6:7" hidden="1">
      <c r="F426">
        <v>121</v>
      </c>
      <c r="G426">
        <v>400</v>
      </c>
    </row>
    <row r="427" spans="6:7" hidden="1">
      <c r="F427">
        <v>122</v>
      </c>
      <c r="G427">
        <v>400</v>
      </c>
    </row>
    <row r="445" spans="1:15">
      <c r="A445" s="84" t="s">
        <v>112</v>
      </c>
      <c r="B445" s="120"/>
      <c r="C445" s="120"/>
      <c r="D445" s="120"/>
      <c r="E445" s="120"/>
      <c r="F445" s="120"/>
      <c r="G445" s="120"/>
      <c r="H445" s="120"/>
      <c r="I445" s="189"/>
      <c r="J445" s="195"/>
      <c r="K445" s="195"/>
      <c r="L445" s="195"/>
      <c r="M445" s="195"/>
      <c r="N445" s="195"/>
      <c r="O445" s="195"/>
    </row>
    <row r="446" spans="1:15">
      <c r="A446" s="84" t="s">
        <v>113</v>
      </c>
      <c r="B446" s="120"/>
      <c r="C446" s="120"/>
      <c r="D446" s="120"/>
      <c r="E446" s="120"/>
      <c r="F446" s="120"/>
      <c r="G446" s="120"/>
      <c r="H446" s="120"/>
      <c r="I446" s="179" t="str">
        <f>+CONCATENATE("20142_",I448)</f>
        <v>20142_7</v>
      </c>
      <c r="J446" s="195"/>
      <c r="K446" s="195"/>
      <c r="L446" s="195"/>
      <c r="M446" s="195"/>
      <c r="N446" s="195"/>
      <c r="O446" s="195"/>
    </row>
    <row r="447" spans="1:15">
      <c r="A447" s="84" t="s">
        <v>114</v>
      </c>
      <c r="B447" s="120"/>
      <c r="C447" s="120"/>
      <c r="D447" s="120"/>
      <c r="E447" s="120"/>
      <c r="F447" s="120"/>
      <c r="G447" s="120"/>
      <c r="H447" s="120"/>
      <c r="I447" s="120"/>
      <c r="J447" s="195"/>
      <c r="K447" s="195"/>
      <c r="L447" s="195"/>
      <c r="M447" s="195"/>
      <c r="N447" s="195"/>
      <c r="O447" s="195"/>
    </row>
    <row r="448" spans="1:15">
      <c r="A448" s="120"/>
      <c r="B448" s="120"/>
      <c r="C448" s="120"/>
      <c r="D448" s="120"/>
      <c r="E448" s="120"/>
      <c r="F448" s="120"/>
      <c r="G448" s="120"/>
      <c r="H448" s="120"/>
      <c r="I448" s="191">
        <v>7</v>
      </c>
      <c r="J448" s="195"/>
      <c r="K448" s="195"/>
      <c r="L448" s="195"/>
      <c r="M448" s="195"/>
      <c r="N448" s="195"/>
      <c r="O448" s="195"/>
    </row>
    <row r="449" spans="1:15">
      <c r="A449" s="120" t="s">
        <v>115</v>
      </c>
      <c r="B449" s="120"/>
      <c r="C449" s="120"/>
      <c r="D449" s="120"/>
      <c r="E449" s="120"/>
      <c r="F449" s="120"/>
      <c r="G449" s="120"/>
      <c r="H449" s="120"/>
      <c r="I449" s="83">
        <f>I5</f>
        <v>43801</v>
      </c>
      <c r="J449" s="195"/>
      <c r="K449" s="195"/>
      <c r="L449" s="195"/>
      <c r="M449" s="195"/>
      <c r="N449" s="195"/>
      <c r="O449" s="195"/>
    </row>
    <row r="450" spans="1:15">
      <c r="A450" s="120"/>
      <c r="B450" s="120"/>
      <c r="C450" s="120"/>
      <c r="D450" s="120"/>
      <c r="E450" s="120"/>
      <c r="F450" s="120"/>
      <c r="G450" s="120"/>
      <c r="H450" s="120"/>
      <c r="I450" s="120"/>
      <c r="J450" s="195"/>
      <c r="K450" s="195"/>
      <c r="L450" s="195"/>
      <c r="M450" s="195"/>
      <c r="N450" s="195"/>
      <c r="O450" s="195"/>
    </row>
    <row r="451" spans="1:15">
      <c r="A451" s="120" t="s">
        <v>116</v>
      </c>
      <c r="B451" s="120"/>
      <c r="C451" s="84" t="str">
        <f>VLOOKUP(I448,AVANCEVENDEDOR!$A$2:$R$35,3,0)</f>
        <v>QUISPE GARCIA JACKELINE</v>
      </c>
      <c r="D451" s="120"/>
      <c r="E451" s="120"/>
      <c r="F451" s="120"/>
      <c r="G451" s="120"/>
      <c r="H451" s="120"/>
      <c r="I451" s="120"/>
      <c r="J451" s="195"/>
      <c r="K451" s="195"/>
      <c r="L451" s="195"/>
      <c r="M451" s="195"/>
      <c r="N451" s="195"/>
      <c r="O451" s="195"/>
    </row>
    <row r="452" spans="1:15">
      <c r="A452" s="120"/>
      <c r="B452" s="120"/>
      <c r="C452" s="120"/>
      <c r="D452" s="120"/>
      <c r="E452" s="120"/>
      <c r="F452" s="120"/>
      <c r="G452" s="120"/>
      <c r="H452" s="120"/>
      <c r="I452" s="84" t="s">
        <v>118</v>
      </c>
      <c r="J452" s="195"/>
      <c r="K452" s="195"/>
      <c r="L452" s="195"/>
      <c r="M452" s="195"/>
      <c r="N452" s="195"/>
      <c r="O452" s="195"/>
    </row>
    <row r="453" spans="1:15">
      <c r="A453" s="120"/>
      <c r="B453" s="120"/>
      <c r="C453" s="120"/>
      <c r="D453" s="120"/>
      <c r="E453" s="120"/>
      <c r="F453" s="120"/>
      <c r="G453" s="120"/>
      <c r="H453" s="120"/>
      <c r="I453" s="120"/>
      <c r="J453" s="195"/>
      <c r="K453" s="195"/>
      <c r="L453" s="195"/>
      <c r="M453" s="195"/>
      <c r="N453" s="195"/>
      <c r="O453" s="195"/>
    </row>
    <row r="454" spans="1:15">
      <c r="A454" s="120" t="s">
        <v>119</v>
      </c>
      <c r="B454" s="120"/>
      <c r="C454" s="120"/>
      <c r="D454" s="120"/>
      <c r="E454" s="120"/>
      <c r="F454" s="120"/>
      <c r="G454" s="120"/>
      <c r="H454" s="120"/>
      <c r="I454" s="181">
        <v>850</v>
      </c>
      <c r="J454" s="195"/>
      <c r="K454" s="195"/>
      <c r="L454" s="195"/>
      <c r="M454" s="195"/>
      <c r="N454" s="195"/>
      <c r="O454" s="195"/>
    </row>
    <row r="455" spans="1:15">
      <c r="A455" s="120" t="s">
        <v>120</v>
      </c>
      <c r="B455" s="120"/>
      <c r="C455" s="120"/>
      <c r="D455" s="120"/>
      <c r="E455" s="120"/>
      <c r="F455" s="86" t="s">
        <v>272</v>
      </c>
      <c r="G455" s="86" t="s">
        <v>122</v>
      </c>
      <c r="H455" s="86" t="s">
        <v>123</v>
      </c>
      <c r="I455" s="181">
        <v>400</v>
      </c>
      <c r="J455" s="195"/>
      <c r="K455" s="195"/>
      <c r="L455" s="195"/>
      <c r="M455" s="195"/>
      <c r="N455" s="195"/>
      <c r="O455" s="195"/>
    </row>
    <row r="456" spans="1:15">
      <c r="A456" s="120" t="s">
        <v>291</v>
      </c>
      <c r="B456" s="120"/>
      <c r="C456" s="120"/>
      <c r="D456" s="120"/>
      <c r="E456" s="120"/>
      <c r="F456" s="182">
        <v>0.5</v>
      </c>
      <c r="G456" s="182">
        <f>IF(I448=13,80,85)</f>
        <v>85</v>
      </c>
      <c r="H456" s="182">
        <f>+H469</f>
        <v>52.105481495887339</v>
      </c>
      <c r="I456" s="181">
        <f>IF(H456&gt;=G456,E469*F456%,0)</f>
        <v>0</v>
      </c>
      <c r="J456" s="195"/>
      <c r="K456" s="195"/>
      <c r="L456" s="195"/>
      <c r="M456" s="195"/>
      <c r="N456" s="195"/>
      <c r="O456" s="195"/>
    </row>
    <row r="457" spans="1:15">
      <c r="A457" s="120" t="str">
        <f>CONCATENATE("COM. MOROSIDAD AL ",G457,"%")</f>
        <v>COM. MOROSIDAD AL 5%</v>
      </c>
      <c r="B457" s="120"/>
      <c r="C457" s="120"/>
      <c r="D457" s="120"/>
      <c r="E457" s="120"/>
      <c r="F457" s="182">
        <v>0.3</v>
      </c>
      <c r="G457" s="182">
        <v>5</v>
      </c>
      <c r="H457" s="182">
        <f>+H472</f>
        <v>14.29</v>
      </c>
      <c r="I457" s="181">
        <f>+IF(H457&lt;=G457,E469*F457%,0)</f>
        <v>0</v>
      </c>
      <c r="J457" s="195"/>
      <c r="K457" s="195"/>
      <c r="L457" s="195"/>
      <c r="M457" s="195"/>
      <c r="N457" s="195"/>
      <c r="O457" s="195"/>
    </row>
    <row r="458" spans="1:15">
      <c r="A458" s="120" t="s">
        <v>292</v>
      </c>
      <c r="B458" s="120"/>
      <c r="C458" s="120"/>
      <c r="D458" s="120"/>
      <c r="E458" s="120"/>
      <c r="F458" s="182">
        <f>IF(I448=3,0.1,0.2)</f>
        <v>0.2</v>
      </c>
      <c r="G458" s="182">
        <f>IF(I448=23,50,85)</f>
        <v>85</v>
      </c>
      <c r="H458" s="182">
        <f>+H476</f>
        <v>50</v>
      </c>
      <c r="I458" s="181">
        <f>IF(H458&gt;=G458,E469*F458%,0)</f>
        <v>0</v>
      </c>
      <c r="J458" s="195"/>
      <c r="K458" s="195"/>
      <c r="L458" s="195"/>
      <c r="M458" s="195"/>
      <c r="N458" s="195"/>
      <c r="O458" s="195"/>
    </row>
    <row r="459" spans="1:15">
      <c r="A459" s="120" t="str">
        <f>IF(I448=23,"COMISION POR TIEMPODE VIAJE",IF(I448=22,"BONIFICACION"," "))</f>
        <v xml:space="preserve"> </v>
      </c>
      <c r="B459" s="120"/>
      <c r="C459" s="120"/>
      <c r="D459" s="120"/>
      <c r="E459" s="120"/>
      <c r="F459" s="120"/>
      <c r="G459" s="120"/>
      <c r="H459" s="182"/>
      <c r="I459" s="181" t="str">
        <f>IF(I448=23,300,IF(I448=22,400," "))</f>
        <v xml:space="preserve"> </v>
      </c>
      <c r="J459" s="195"/>
      <c r="K459" s="195"/>
      <c r="L459" s="195"/>
      <c r="M459" s="195"/>
      <c r="N459" s="195"/>
      <c r="O459" s="195"/>
    </row>
    <row r="460" spans="1:15">
      <c r="A460" s="189" t="s">
        <v>274</v>
      </c>
      <c r="B460" s="189"/>
      <c r="C460" s="189"/>
      <c r="D460" s="189"/>
      <c r="E460" s="189"/>
      <c r="F460" s="374" t="s">
        <v>275</v>
      </c>
      <c r="G460" s="374"/>
      <c r="H460" s="375" t="s">
        <v>276</v>
      </c>
      <c r="I460" s="193"/>
      <c r="J460" s="195"/>
      <c r="K460" s="195"/>
      <c r="L460" s="195"/>
      <c r="M460" s="195"/>
      <c r="N460" s="195"/>
      <c r="O460" s="195"/>
    </row>
    <row r="461" spans="1:15">
      <c r="A461" s="189"/>
      <c r="B461" s="189"/>
      <c r="C461" s="189"/>
      <c r="D461" s="189"/>
      <c r="E461" s="189"/>
      <c r="F461" s="374" t="s">
        <v>277</v>
      </c>
      <c r="G461" s="374"/>
      <c r="H461" s="375"/>
      <c r="I461" s="376">
        <v>0</v>
      </c>
      <c r="J461" s="195"/>
      <c r="K461" s="195"/>
      <c r="L461" s="195"/>
      <c r="M461" s="195"/>
      <c r="N461" s="195"/>
      <c r="O461" s="195"/>
    </row>
    <row r="462" spans="1:15">
      <c r="A462" s="189"/>
      <c r="B462" s="197"/>
      <c r="C462" s="197"/>
      <c r="D462" s="197"/>
      <c r="E462" s="197"/>
      <c r="F462" s="374" t="s">
        <v>278</v>
      </c>
      <c r="G462" s="374"/>
      <c r="H462" s="375"/>
      <c r="I462" s="376"/>
      <c r="J462" s="195"/>
      <c r="K462" s="195"/>
      <c r="L462" s="195"/>
      <c r="M462" s="195"/>
      <c r="N462" s="195"/>
      <c r="O462" s="195"/>
    </row>
    <row r="463" spans="1:15">
      <c r="A463" s="189"/>
      <c r="B463" s="197"/>
      <c r="C463" s="197"/>
      <c r="D463" s="197"/>
      <c r="E463" s="197"/>
      <c r="F463" s="374" t="s">
        <v>279</v>
      </c>
      <c r="G463" s="374"/>
      <c r="H463" s="375"/>
      <c r="I463" s="198"/>
      <c r="J463" s="195"/>
      <c r="K463" s="195"/>
      <c r="L463" s="195"/>
      <c r="M463" s="195"/>
      <c r="N463" s="195"/>
      <c r="O463" s="195"/>
    </row>
    <row r="464" spans="1:15">
      <c r="A464" s="120"/>
      <c r="B464" s="84" t="str">
        <f>IF(I448=13,"Remuneracion Extra"," ")</f>
        <v xml:space="preserve"> </v>
      </c>
      <c r="C464" s="120"/>
      <c r="D464" s="120"/>
      <c r="E464" s="120"/>
      <c r="F464" s="120"/>
      <c r="G464" s="120"/>
      <c r="H464" s="120"/>
      <c r="I464" s="183"/>
      <c r="J464" s="195"/>
      <c r="K464" s="195"/>
      <c r="L464" s="195"/>
      <c r="M464" s="195"/>
      <c r="N464" s="195"/>
      <c r="O464" s="195"/>
    </row>
    <row r="465" spans="1:15" ht="15.75">
      <c r="A465" s="184" t="s">
        <v>129</v>
      </c>
      <c r="B465" s="185"/>
      <c r="C465" s="185"/>
      <c r="D465" s="185"/>
      <c r="E465" s="185"/>
      <c r="F465" s="185"/>
      <c r="G465" s="185"/>
      <c r="H465" s="185"/>
      <c r="I465" s="186">
        <f>SUM(I454:I464)</f>
        <v>1250</v>
      </c>
      <c r="J465" s="195"/>
      <c r="K465" s="195"/>
      <c r="L465" s="195"/>
      <c r="M465" s="195"/>
      <c r="N465" s="195"/>
      <c r="O465" s="195"/>
    </row>
    <row r="466" spans="1:15">
      <c r="A466" s="120"/>
      <c r="B466" s="120"/>
      <c r="C466" s="120"/>
      <c r="D466" s="120"/>
      <c r="E466" s="120"/>
      <c r="F466" s="120"/>
      <c r="G466" s="120"/>
      <c r="H466" s="120"/>
      <c r="I466" s="120"/>
      <c r="J466" s="195"/>
      <c r="K466" s="195"/>
      <c r="L466" s="195"/>
      <c r="M466" s="195"/>
      <c r="N466" s="195"/>
      <c r="O466" s="195"/>
    </row>
    <row r="467" spans="1:15">
      <c r="A467" s="121" t="s">
        <v>130</v>
      </c>
      <c r="B467" s="121"/>
      <c r="C467" s="121"/>
      <c r="D467" s="121"/>
      <c r="E467" s="121"/>
      <c r="F467" s="121"/>
      <c r="G467" s="121"/>
      <c r="H467" s="121"/>
      <c r="I467" s="121"/>
      <c r="J467" s="195"/>
      <c r="K467" s="195"/>
      <c r="L467" s="195"/>
      <c r="M467" s="195"/>
      <c r="N467" s="195"/>
      <c r="O467" s="195"/>
    </row>
    <row r="468" spans="1:15">
      <c r="A468" s="121"/>
      <c r="B468" s="121" t="s">
        <v>131</v>
      </c>
      <c r="C468" s="121"/>
      <c r="D468" s="121"/>
      <c r="E468" s="187">
        <f>VLOOKUP(I448,AVANCEVENDEDOR!$A$2:$R$35,7,0)</f>
        <v>114356.74</v>
      </c>
      <c r="F468" s="187"/>
      <c r="G468" s="121"/>
      <c r="H468" s="121"/>
      <c r="I468" s="121"/>
      <c r="J468" s="195"/>
      <c r="K468" s="195"/>
      <c r="L468" s="195"/>
      <c r="M468" s="199"/>
      <c r="N468" s="200"/>
      <c r="O468" s="195"/>
    </row>
    <row r="469" spans="1:15">
      <c r="A469" s="121"/>
      <c r="B469" s="121" t="s">
        <v>132</v>
      </c>
      <c r="C469" s="121"/>
      <c r="D469" s="121"/>
      <c r="E469" s="187">
        <f>IF(I448=27,(VLOOKUP(I448,AVANCEVENDEDOR!$A$2:$R$35,6,0)-I445),(VLOOKUP(I448,AVANCEVENDEDOR!$A$2:$R$35,6,0)))</f>
        <v>59586.13</v>
      </c>
      <c r="F469" s="187"/>
      <c r="G469" s="188" t="s">
        <v>133</v>
      </c>
      <c r="H469" s="187">
        <f>+E469*100/E468</f>
        <v>52.105481495887339</v>
      </c>
      <c r="I469" s="121"/>
      <c r="J469" s="195"/>
      <c r="K469" s="121"/>
      <c r="L469" s="201"/>
      <c r="M469" s="195"/>
      <c r="N469" s="195"/>
      <c r="O469" s="195"/>
    </row>
    <row r="470" spans="1:15">
      <c r="A470" s="121"/>
      <c r="B470" s="121"/>
      <c r="C470" s="121"/>
      <c r="D470" s="121"/>
      <c r="E470" s="121"/>
      <c r="F470" s="121"/>
      <c r="G470" s="188"/>
      <c r="H470" s="121"/>
      <c r="I470" s="121"/>
      <c r="J470" s="195"/>
      <c r="K470" s="195"/>
      <c r="L470" s="195"/>
      <c r="M470" s="195"/>
      <c r="N470" s="195"/>
      <c r="O470" s="195"/>
    </row>
    <row r="471" spans="1:15">
      <c r="A471" s="121"/>
      <c r="B471" s="121" t="s">
        <v>134</v>
      </c>
      <c r="C471" s="121"/>
      <c r="D471" s="121"/>
      <c r="E471" s="187">
        <f>VLOOKUP(I448,AVANCEVENDEDOR!$A$2:$R$35,10,0)</f>
        <v>232096.39</v>
      </c>
      <c r="F471" s="187"/>
      <c r="G471" s="188"/>
      <c r="H471" s="121"/>
      <c r="I471" s="121"/>
      <c r="J471" s="195"/>
      <c r="K471" s="195"/>
      <c r="L471" s="195"/>
      <c r="M471" s="195"/>
      <c r="N471" s="195"/>
      <c r="O471" s="195"/>
    </row>
    <row r="472" spans="1:15">
      <c r="A472" s="121"/>
      <c r="B472" s="121" t="s">
        <v>135</v>
      </c>
      <c r="C472" s="121"/>
      <c r="D472" s="121"/>
      <c r="E472" s="187">
        <f>VLOOKUP(I448,AVANCEVENDEDOR!$A$2:$R$35,11,0)</f>
        <v>33178.550000000003</v>
      </c>
      <c r="F472" s="187"/>
      <c r="G472" s="188" t="s">
        <v>136</v>
      </c>
      <c r="H472" s="187">
        <f>VLOOKUP(I448,AVANCEVENDEDOR!$A$2:$R$35,15,0)</f>
        <v>14.29</v>
      </c>
      <c r="I472" s="121"/>
      <c r="J472" s="195"/>
      <c r="K472" s="195"/>
      <c r="L472" s="195"/>
      <c r="M472" s="195"/>
      <c r="N472" s="195"/>
      <c r="O472" s="195"/>
    </row>
    <row r="473" spans="1:15">
      <c r="A473" s="121"/>
      <c r="B473" s="121" t="s">
        <v>137</v>
      </c>
      <c r="C473" s="121"/>
      <c r="D473" s="121"/>
      <c r="E473" s="187">
        <f>VLOOKUP(I448,AVANCEVENDEDOR!$A$2:$R$35,9,0)</f>
        <v>117829.09</v>
      </c>
      <c r="F473" s="187"/>
      <c r="G473" s="188"/>
      <c r="H473" s="121"/>
      <c r="I473" s="121"/>
      <c r="J473" s="195"/>
      <c r="K473" s="195"/>
      <c r="L473" s="195"/>
      <c r="M473" s="195"/>
      <c r="N473" s="195"/>
      <c r="O473" s="195"/>
    </row>
    <row r="474" spans="1:15">
      <c r="A474" s="121"/>
      <c r="B474" s="121"/>
      <c r="C474" s="121"/>
      <c r="D474" s="121"/>
      <c r="E474" s="121"/>
      <c r="F474" s="121"/>
      <c r="G474" s="188"/>
      <c r="H474" s="121"/>
      <c r="I474" s="121"/>
      <c r="J474" s="195"/>
      <c r="K474" s="195"/>
      <c r="L474" s="195"/>
      <c r="M474" s="195"/>
      <c r="N474" s="195"/>
      <c r="O474" s="195"/>
    </row>
    <row r="475" spans="1:15">
      <c r="A475" s="121"/>
      <c r="B475" s="121" t="s">
        <v>280</v>
      </c>
      <c r="C475" s="121"/>
      <c r="D475" s="121"/>
      <c r="E475" s="187">
        <f>VLOOKUP(I448,AVANCEVENDEDOR!$A$2:$R$35,13,0)</f>
        <v>108</v>
      </c>
      <c r="F475" s="187"/>
      <c r="G475" s="121"/>
      <c r="H475" s="187"/>
      <c r="I475" s="121"/>
      <c r="J475" s="195"/>
      <c r="K475" s="195"/>
      <c r="L475" s="195"/>
      <c r="M475" s="195"/>
      <c r="N475" s="195"/>
      <c r="O475" s="195"/>
    </row>
    <row r="476" spans="1:15">
      <c r="A476" s="121"/>
      <c r="B476" s="121" t="s">
        <v>281</v>
      </c>
      <c r="C476" s="121"/>
      <c r="D476" s="121"/>
      <c r="E476" s="187">
        <f>VLOOKUP(I448,AVANCEVENDEDOR!$A$2:$R$35,14,0)</f>
        <v>54</v>
      </c>
      <c r="F476" s="187"/>
      <c r="G476" s="188" t="s">
        <v>140</v>
      </c>
      <c r="H476" s="187">
        <f>+E476*100/E475</f>
        <v>50</v>
      </c>
      <c r="I476" s="121"/>
      <c r="J476" s="195"/>
      <c r="K476" s="195"/>
      <c r="L476" s="195"/>
      <c r="M476" s="195"/>
      <c r="N476" s="195"/>
      <c r="O476" s="195"/>
    </row>
    <row r="477" spans="1:15">
      <c r="J477" s="195"/>
      <c r="K477" s="195"/>
      <c r="L477" s="195"/>
      <c r="M477" s="195"/>
      <c r="N477" s="195"/>
      <c r="O477" s="195"/>
    </row>
    <row r="478" spans="1:15" hidden="1">
      <c r="F478">
        <v>99</v>
      </c>
    </row>
    <row r="479" spans="1:15" hidden="1">
      <c r="F479">
        <v>100</v>
      </c>
      <c r="G479">
        <v>100</v>
      </c>
    </row>
    <row r="480" spans="1:15" hidden="1">
      <c r="F480">
        <v>101</v>
      </c>
      <c r="G480">
        <v>100</v>
      </c>
    </row>
    <row r="481" spans="6:7" hidden="1">
      <c r="F481">
        <v>102</v>
      </c>
      <c r="G481">
        <v>100</v>
      </c>
    </row>
    <row r="482" spans="6:7" hidden="1">
      <c r="F482">
        <v>103</v>
      </c>
      <c r="G482">
        <v>100</v>
      </c>
    </row>
    <row r="483" spans="6:7" hidden="1">
      <c r="F483">
        <v>104</v>
      </c>
      <c r="G483">
        <v>100</v>
      </c>
    </row>
    <row r="484" spans="6:7" hidden="1">
      <c r="F484">
        <v>105</v>
      </c>
      <c r="G484">
        <v>100</v>
      </c>
    </row>
    <row r="485" spans="6:7" hidden="1">
      <c r="F485">
        <v>106</v>
      </c>
      <c r="G485">
        <v>200</v>
      </c>
    </row>
    <row r="486" spans="6:7" hidden="1">
      <c r="F486">
        <v>107</v>
      </c>
      <c r="G486">
        <v>200</v>
      </c>
    </row>
    <row r="487" spans="6:7" hidden="1">
      <c r="F487">
        <v>108</v>
      </c>
      <c r="G487">
        <v>200</v>
      </c>
    </row>
    <row r="488" spans="6:7" hidden="1">
      <c r="F488">
        <v>109</v>
      </c>
      <c r="G488">
        <v>200</v>
      </c>
    </row>
    <row r="489" spans="6:7" hidden="1">
      <c r="F489">
        <v>110</v>
      </c>
      <c r="G489">
        <v>200</v>
      </c>
    </row>
    <row r="490" spans="6:7" hidden="1">
      <c r="F490">
        <v>111</v>
      </c>
      <c r="G490">
        <v>200</v>
      </c>
    </row>
    <row r="491" spans="6:7" hidden="1">
      <c r="F491">
        <v>112</v>
      </c>
      <c r="G491">
        <v>200</v>
      </c>
    </row>
    <row r="492" spans="6:7" hidden="1">
      <c r="F492">
        <v>113</v>
      </c>
      <c r="G492">
        <v>200</v>
      </c>
    </row>
    <row r="493" spans="6:7" hidden="1">
      <c r="F493">
        <v>114</v>
      </c>
      <c r="G493">
        <v>200</v>
      </c>
    </row>
    <row r="494" spans="6:7" hidden="1">
      <c r="F494">
        <v>115</v>
      </c>
      <c r="G494">
        <v>300</v>
      </c>
    </row>
    <row r="495" spans="6:7" hidden="1">
      <c r="F495">
        <v>116</v>
      </c>
      <c r="G495">
        <v>300</v>
      </c>
    </row>
    <row r="496" spans="6:7" hidden="1">
      <c r="F496">
        <v>117</v>
      </c>
      <c r="G496">
        <v>300</v>
      </c>
    </row>
    <row r="497" spans="6:7" hidden="1">
      <c r="F497">
        <v>118</v>
      </c>
      <c r="G497">
        <v>300</v>
      </c>
    </row>
    <row r="498" spans="6:7" hidden="1">
      <c r="F498">
        <v>119</v>
      </c>
      <c r="G498">
        <v>300</v>
      </c>
    </row>
    <row r="499" spans="6:7" hidden="1">
      <c r="F499">
        <v>120</v>
      </c>
      <c r="G499">
        <v>300</v>
      </c>
    </row>
    <row r="500" spans="6:7" hidden="1">
      <c r="F500">
        <v>121</v>
      </c>
      <c r="G500">
        <v>400</v>
      </c>
    </row>
    <row r="501" spans="6:7" hidden="1">
      <c r="F501">
        <v>122</v>
      </c>
      <c r="G501">
        <v>400</v>
      </c>
    </row>
    <row r="519" spans="1:15">
      <c r="A519" s="84" t="s">
        <v>112</v>
      </c>
      <c r="B519" s="120"/>
      <c r="C519" s="120"/>
      <c r="D519" s="120"/>
      <c r="E519" s="120"/>
      <c r="F519" s="120"/>
      <c r="G519" s="120"/>
      <c r="H519" s="120"/>
      <c r="I519" s="189"/>
      <c r="J519" s="195"/>
      <c r="K519" s="195"/>
      <c r="L519" s="195"/>
      <c r="M519" s="195"/>
      <c r="N519" s="195"/>
      <c r="O519" s="195"/>
    </row>
    <row r="520" spans="1:15">
      <c r="A520" s="84" t="s">
        <v>113</v>
      </c>
      <c r="B520" s="120"/>
      <c r="C520" s="120"/>
      <c r="D520" s="120"/>
      <c r="E520" s="120"/>
      <c r="F520" s="120"/>
      <c r="G520" s="120"/>
      <c r="H520" s="120"/>
      <c r="I520" s="179" t="str">
        <f>+CONCATENATE("20142_",I522)</f>
        <v>20142_8</v>
      </c>
      <c r="J520" s="195"/>
      <c r="K520" s="195"/>
      <c r="L520" s="195"/>
      <c r="M520" s="195"/>
      <c r="N520" s="195"/>
      <c r="O520" s="195"/>
    </row>
    <row r="521" spans="1:15">
      <c r="A521" s="84" t="s">
        <v>114</v>
      </c>
      <c r="B521" s="120"/>
      <c r="C521" s="120"/>
      <c r="D521" s="120"/>
      <c r="E521" s="120"/>
      <c r="F521" s="120"/>
      <c r="G521" s="120"/>
      <c r="H521" s="120"/>
      <c r="I521" s="120"/>
      <c r="J521" s="195"/>
      <c r="K521" s="195"/>
      <c r="L521" s="195"/>
      <c r="M521" s="195"/>
      <c r="N521" s="195"/>
      <c r="O521" s="195"/>
    </row>
    <row r="522" spans="1:15">
      <c r="A522" s="120"/>
      <c r="B522" s="120"/>
      <c r="C522" s="120"/>
      <c r="D522" s="120"/>
      <c r="E522" s="120"/>
      <c r="F522" s="120"/>
      <c r="G522" s="120"/>
      <c r="H522" s="120"/>
      <c r="I522" s="191">
        <v>8</v>
      </c>
      <c r="J522" s="195"/>
      <c r="K522" s="195"/>
      <c r="L522" s="195"/>
      <c r="M522" s="195"/>
      <c r="N522" s="195"/>
      <c r="O522" s="195"/>
    </row>
    <row r="523" spans="1:15">
      <c r="A523" s="120" t="s">
        <v>115</v>
      </c>
      <c r="B523" s="120"/>
      <c r="C523" s="120"/>
      <c r="D523" s="120"/>
      <c r="E523" s="120"/>
      <c r="F523" s="120"/>
      <c r="G523" s="120"/>
      <c r="H523" s="120"/>
      <c r="I523" s="83">
        <f>I5</f>
        <v>43801</v>
      </c>
      <c r="J523" s="195"/>
      <c r="K523" s="195"/>
      <c r="L523" s="195"/>
      <c r="M523" s="195"/>
      <c r="N523" s="195"/>
      <c r="O523" s="195"/>
    </row>
    <row r="524" spans="1:15">
      <c r="A524" s="120"/>
      <c r="B524" s="120"/>
      <c r="C524" s="120"/>
      <c r="D524" s="120"/>
      <c r="E524" s="120"/>
      <c r="F524" s="120"/>
      <c r="G524" s="120"/>
      <c r="H524" s="120"/>
      <c r="I524" s="120"/>
      <c r="J524" s="195"/>
      <c r="K524" s="195"/>
      <c r="L524" s="195"/>
      <c r="M524" s="195"/>
      <c r="N524" s="195"/>
      <c r="O524" s="195"/>
    </row>
    <row r="525" spans="1:15">
      <c r="A525" s="120" t="s">
        <v>116</v>
      </c>
      <c r="B525" s="120"/>
      <c r="C525" s="84" t="str">
        <f>VLOOKUP(I522,AVANCEVENDEDOR!$A$2:$R$35,3,0)</f>
        <v>APAZA YANA SANDRA</v>
      </c>
      <c r="D525" s="120"/>
      <c r="E525" s="120"/>
      <c r="F525" s="120"/>
      <c r="G525" s="120"/>
      <c r="H525" s="120"/>
      <c r="I525" s="120"/>
      <c r="J525" s="195"/>
      <c r="K525" s="195"/>
      <c r="L525" s="195"/>
      <c r="M525" s="195"/>
      <c r="N525" s="195"/>
      <c r="O525" s="195"/>
    </row>
    <row r="526" spans="1:15">
      <c r="A526" s="120"/>
      <c r="B526" s="120"/>
      <c r="C526" s="120"/>
      <c r="D526" s="120"/>
      <c r="E526" s="120"/>
      <c r="F526" s="120"/>
      <c r="G526" s="120"/>
      <c r="H526" s="120"/>
      <c r="I526" s="84" t="s">
        <v>118</v>
      </c>
      <c r="J526" s="195"/>
      <c r="K526" s="195"/>
      <c r="L526" s="195"/>
      <c r="M526" s="195"/>
      <c r="N526" s="195"/>
      <c r="O526" s="195"/>
    </row>
    <row r="527" spans="1:15">
      <c r="A527" s="120"/>
      <c r="B527" s="120"/>
      <c r="C527" s="120"/>
      <c r="D527" s="120"/>
      <c r="E527" s="120"/>
      <c r="F527" s="120"/>
      <c r="G527" s="120"/>
      <c r="H527" s="120"/>
      <c r="I527" s="120"/>
      <c r="J527" s="195"/>
      <c r="K527" s="195"/>
      <c r="L527" s="195"/>
      <c r="M527" s="195"/>
      <c r="N527" s="195"/>
      <c r="O527" s="195"/>
    </row>
    <row r="528" spans="1:15">
      <c r="A528" s="120" t="s">
        <v>119</v>
      </c>
      <c r="B528" s="120"/>
      <c r="C528" s="120"/>
      <c r="D528" s="120"/>
      <c r="E528" s="120"/>
      <c r="F528" s="120"/>
      <c r="G528" s="120"/>
      <c r="H528" s="120"/>
      <c r="I528" s="181">
        <v>850</v>
      </c>
      <c r="J528" s="195"/>
      <c r="K528" s="195"/>
      <c r="L528" s="195"/>
      <c r="M528" s="195"/>
      <c r="N528" s="195"/>
      <c r="O528" s="195"/>
    </row>
    <row r="529" spans="1:15">
      <c r="A529" s="120" t="s">
        <v>120</v>
      </c>
      <c r="B529" s="120"/>
      <c r="C529" s="120"/>
      <c r="D529" s="120"/>
      <c r="E529" s="120"/>
      <c r="F529" s="86" t="s">
        <v>272</v>
      </c>
      <c r="G529" s="86" t="s">
        <v>122</v>
      </c>
      <c r="H529" s="86" t="s">
        <v>123</v>
      </c>
      <c r="I529" s="181">
        <v>400</v>
      </c>
      <c r="J529" s="195"/>
      <c r="K529" s="195"/>
      <c r="L529" s="195"/>
      <c r="M529" s="195"/>
      <c r="N529" s="195"/>
      <c r="O529" s="195"/>
    </row>
    <row r="530" spans="1:15">
      <c r="A530" s="120" t="s">
        <v>291</v>
      </c>
      <c r="B530" s="120"/>
      <c r="C530" s="120"/>
      <c r="D530" s="120"/>
      <c r="E530" s="120"/>
      <c r="F530" s="182">
        <v>0.5</v>
      </c>
      <c r="G530" s="182">
        <f>IF(I522=13,80,85)</f>
        <v>85</v>
      </c>
      <c r="H530" s="182">
        <f>+H543</f>
        <v>99.974714133201033</v>
      </c>
      <c r="I530" s="181">
        <f>IF(H530&gt;=G530,E543*F530%,0)</f>
        <v>1188.3081</v>
      </c>
      <c r="J530" s="195"/>
      <c r="K530" s="195"/>
      <c r="L530" s="195"/>
      <c r="M530" s="195"/>
      <c r="N530" s="195"/>
      <c r="O530" s="195"/>
    </row>
    <row r="531" spans="1:15">
      <c r="A531" s="120" t="str">
        <f>CONCATENATE("COM. MOROSIDAD AL ",G531,"%")</f>
        <v>COM. MOROSIDAD AL 5%</v>
      </c>
      <c r="B531" s="120"/>
      <c r="C531" s="120"/>
      <c r="D531" s="120"/>
      <c r="E531" s="120"/>
      <c r="F531" s="182">
        <v>0.3</v>
      </c>
      <c r="G531" s="182">
        <v>5</v>
      </c>
      <c r="H531" s="182">
        <f>+H546</f>
        <v>5.45</v>
      </c>
      <c r="I531" s="181">
        <f>+IF(H531&lt;=G531,E543*F531%,0)</f>
        <v>0</v>
      </c>
      <c r="J531" s="195"/>
      <c r="K531" s="195"/>
      <c r="L531" s="195"/>
      <c r="M531" s="195"/>
      <c r="N531" s="195"/>
      <c r="O531" s="195"/>
    </row>
    <row r="532" spans="1:15">
      <c r="A532" s="120" t="s">
        <v>292</v>
      </c>
      <c r="B532" s="120"/>
      <c r="C532" s="120"/>
      <c r="D532" s="120"/>
      <c r="E532" s="120"/>
      <c r="F532" s="182">
        <f>IF(I522=3,0.1,0.2)</f>
        <v>0.2</v>
      </c>
      <c r="G532" s="182">
        <f>IF(I522=23,50,85)</f>
        <v>85</v>
      </c>
      <c r="H532" s="182">
        <f>+H550</f>
        <v>58.904109589041099</v>
      </c>
      <c r="I532" s="181">
        <f>IF(H532&gt;=G532,E543*F532%,0)</f>
        <v>0</v>
      </c>
      <c r="J532" s="195"/>
      <c r="K532" s="195"/>
      <c r="L532" s="195"/>
      <c r="M532" s="195"/>
      <c r="N532" s="195"/>
      <c r="O532" s="195"/>
    </row>
    <row r="533" spans="1:15">
      <c r="A533" s="120" t="str">
        <f>IF(I522=23,"COMISION POR TIEMPODE VIAJE",IF(I522=22,"BONIFICACION"," "))</f>
        <v xml:space="preserve"> </v>
      </c>
      <c r="B533" s="120"/>
      <c r="C533" s="120"/>
      <c r="D533" s="120"/>
      <c r="E533" s="120"/>
      <c r="F533" s="120"/>
      <c r="G533" s="120"/>
      <c r="H533" s="182"/>
      <c r="I533" s="181" t="str">
        <f>IF(I522=23,300,IF(I522=22,400," "))</f>
        <v xml:space="preserve"> </v>
      </c>
      <c r="J533" s="195"/>
      <c r="K533" s="195"/>
      <c r="L533" s="195"/>
      <c r="M533" s="195"/>
      <c r="N533" s="195"/>
      <c r="O533" s="195"/>
    </row>
    <row r="534" spans="1:15">
      <c r="A534" s="189" t="s">
        <v>274</v>
      </c>
      <c r="B534" s="189"/>
      <c r="C534" s="189"/>
      <c r="D534" s="189"/>
      <c r="E534" s="189"/>
      <c r="F534" s="374" t="s">
        <v>275</v>
      </c>
      <c r="G534" s="374"/>
      <c r="H534" s="375" t="s">
        <v>276</v>
      </c>
      <c r="I534" s="193"/>
      <c r="J534" s="195"/>
      <c r="K534" s="195"/>
      <c r="L534" s="195"/>
      <c r="M534" s="195"/>
      <c r="N534" s="195"/>
      <c r="O534" s="195"/>
    </row>
    <row r="535" spans="1:15">
      <c r="A535" s="189"/>
      <c r="B535" s="189"/>
      <c r="C535" s="189"/>
      <c r="D535" s="189"/>
      <c r="E535" s="189"/>
      <c r="F535" s="374" t="s">
        <v>277</v>
      </c>
      <c r="G535" s="374"/>
      <c r="H535" s="375"/>
      <c r="I535" s="376">
        <v>0</v>
      </c>
      <c r="J535" s="195"/>
      <c r="K535" s="195"/>
      <c r="L535" s="195"/>
      <c r="M535" s="195"/>
      <c r="N535" s="195"/>
      <c r="O535" s="195"/>
    </row>
    <row r="536" spans="1:15">
      <c r="A536" s="189"/>
      <c r="B536" s="197"/>
      <c r="C536" s="197"/>
      <c r="D536" s="197"/>
      <c r="E536" s="197"/>
      <c r="F536" s="374" t="s">
        <v>278</v>
      </c>
      <c r="G536" s="374"/>
      <c r="H536" s="375"/>
      <c r="I536" s="376"/>
      <c r="J536" s="195"/>
      <c r="K536" s="195"/>
      <c r="L536" s="195"/>
      <c r="M536" s="195"/>
      <c r="N536" s="195"/>
      <c r="O536" s="195"/>
    </row>
    <row r="537" spans="1:15">
      <c r="A537" s="189"/>
      <c r="B537" s="197"/>
      <c r="C537" s="197"/>
      <c r="D537" s="197"/>
      <c r="E537" s="197"/>
      <c r="F537" s="374" t="s">
        <v>279</v>
      </c>
      <c r="G537" s="374"/>
      <c r="H537" s="375"/>
      <c r="I537" s="198"/>
      <c r="J537" s="195"/>
      <c r="K537" s="195"/>
      <c r="L537" s="195"/>
      <c r="M537" s="195"/>
      <c r="N537" s="195"/>
      <c r="O537" s="195"/>
    </row>
    <row r="538" spans="1:15">
      <c r="A538" s="120"/>
      <c r="B538" s="84" t="str">
        <f>IF(I522=13,"Remuneracion Extra"," ")</f>
        <v xml:space="preserve"> </v>
      </c>
      <c r="C538" s="120"/>
      <c r="D538" s="120"/>
      <c r="E538" s="120"/>
      <c r="F538" s="120"/>
      <c r="G538" s="120"/>
      <c r="H538" s="120"/>
      <c r="I538" s="183"/>
      <c r="J538" s="195"/>
      <c r="K538" s="195"/>
      <c r="L538" s="195"/>
      <c r="M538" s="195"/>
      <c r="N538" s="195"/>
      <c r="O538" s="195"/>
    </row>
    <row r="539" spans="1:15" ht="15.75">
      <c r="A539" s="184" t="s">
        <v>129</v>
      </c>
      <c r="B539" s="185"/>
      <c r="C539" s="185"/>
      <c r="D539" s="185"/>
      <c r="E539" s="185"/>
      <c r="F539" s="185"/>
      <c r="G539" s="185"/>
      <c r="H539" s="185"/>
      <c r="I539" s="186">
        <f>SUM(I528:I538)</f>
        <v>2438.3081000000002</v>
      </c>
      <c r="J539" s="195"/>
      <c r="K539" s="195"/>
      <c r="L539" s="195"/>
      <c r="M539" s="195"/>
      <c r="N539" s="195"/>
      <c r="O539" s="195"/>
    </row>
    <row r="540" spans="1:15">
      <c r="A540" s="120"/>
      <c r="B540" s="120"/>
      <c r="C540" s="120"/>
      <c r="D540" s="120"/>
      <c r="E540" s="120"/>
      <c r="F540" s="120"/>
      <c r="G540" s="120"/>
      <c r="H540" s="120"/>
      <c r="I540" s="120"/>
      <c r="J540" s="195"/>
      <c r="K540" s="195"/>
      <c r="L540" s="195"/>
      <c r="M540" s="195"/>
      <c r="N540" s="195"/>
      <c r="O540" s="195"/>
    </row>
    <row r="541" spans="1:15">
      <c r="A541" s="121" t="s">
        <v>130</v>
      </c>
      <c r="B541" s="121"/>
      <c r="C541" s="121"/>
      <c r="D541" s="121"/>
      <c r="E541" s="121"/>
      <c r="F541" s="121"/>
      <c r="G541" s="121"/>
      <c r="H541" s="121"/>
      <c r="I541" s="121"/>
      <c r="J541" s="195"/>
      <c r="K541" s="195"/>
      <c r="L541" s="195"/>
      <c r="M541" s="195"/>
      <c r="N541" s="195"/>
      <c r="O541" s="195"/>
    </row>
    <row r="542" spans="1:15">
      <c r="A542" s="121"/>
      <c r="B542" s="121" t="s">
        <v>131</v>
      </c>
      <c r="C542" s="121"/>
      <c r="D542" s="121"/>
      <c r="E542" s="187">
        <f>VLOOKUP(I522,AVANCEVENDEDOR!$A$2:$R$35,7,0)</f>
        <v>237721.73</v>
      </c>
      <c r="F542" s="187"/>
      <c r="G542" s="121"/>
      <c r="H542" s="121"/>
      <c r="I542" s="121"/>
      <c r="J542" s="195"/>
      <c r="K542" s="195"/>
      <c r="L542" s="195"/>
      <c r="M542" s="199"/>
      <c r="N542" s="200"/>
      <c r="O542" s="195"/>
    </row>
    <row r="543" spans="1:15">
      <c r="A543" s="121"/>
      <c r="B543" s="121" t="s">
        <v>132</v>
      </c>
      <c r="C543" s="121"/>
      <c r="D543" s="121"/>
      <c r="E543" s="187">
        <f>IF(I522=27,(VLOOKUP(I522,AVANCEVENDEDOR!$A$2:$R$35,6,0)-I519),(VLOOKUP(I522,AVANCEVENDEDOR!$A$2:$R$35,6,0)))</f>
        <v>237661.62</v>
      </c>
      <c r="F543" s="187"/>
      <c r="G543" s="188" t="s">
        <v>133</v>
      </c>
      <c r="H543" s="187">
        <f>+E543*100/E542</f>
        <v>99.974714133201033</v>
      </c>
      <c r="I543" s="121"/>
      <c r="J543" s="195"/>
      <c r="K543" s="121"/>
      <c r="L543" s="201"/>
      <c r="M543" s="195"/>
      <c r="N543" s="195"/>
      <c r="O543" s="195"/>
    </row>
    <row r="544" spans="1:15">
      <c r="A544" s="121"/>
      <c r="B544" s="121"/>
      <c r="C544" s="121"/>
      <c r="D544" s="121"/>
      <c r="E544" s="121"/>
      <c r="F544" s="121"/>
      <c r="G544" s="188"/>
      <c r="H544" s="121"/>
      <c r="I544" s="121"/>
      <c r="J544" s="195"/>
      <c r="K544" s="195"/>
      <c r="L544" s="195"/>
      <c r="M544" s="195"/>
      <c r="N544" s="195"/>
      <c r="O544" s="195"/>
    </row>
    <row r="545" spans="1:15">
      <c r="A545" s="121"/>
      <c r="B545" s="121" t="s">
        <v>134</v>
      </c>
      <c r="C545" s="121"/>
      <c r="D545" s="121"/>
      <c r="E545" s="187">
        <f>VLOOKUP(I522,AVANCEVENDEDOR!$A$2:$R$35,10,0)</f>
        <v>702678.59</v>
      </c>
      <c r="F545" s="187"/>
      <c r="G545" s="188"/>
      <c r="H545" s="121"/>
      <c r="I545" s="121"/>
      <c r="J545" s="195"/>
      <c r="K545" s="195"/>
      <c r="L545" s="195"/>
      <c r="M545" s="195"/>
      <c r="N545" s="195"/>
      <c r="O545" s="195"/>
    </row>
    <row r="546" spans="1:15">
      <c r="A546" s="121"/>
      <c r="B546" s="121" t="s">
        <v>135</v>
      </c>
      <c r="C546" s="121"/>
      <c r="D546" s="121"/>
      <c r="E546" s="187">
        <f>VLOOKUP(I522,AVANCEVENDEDOR!$A$2:$R$35,11,0)</f>
        <v>38295.089999999997</v>
      </c>
      <c r="F546" s="187"/>
      <c r="G546" s="188" t="s">
        <v>136</v>
      </c>
      <c r="H546" s="187">
        <f>VLOOKUP(I522,AVANCEVENDEDOR!$A$2:$R$35,15,0)</f>
        <v>5.45</v>
      </c>
      <c r="I546" s="121"/>
      <c r="J546" s="195"/>
      <c r="K546" s="195"/>
      <c r="L546" s="195"/>
      <c r="M546" s="195"/>
      <c r="N546" s="195"/>
      <c r="O546" s="195"/>
    </row>
    <row r="547" spans="1:15">
      <c r="A547" s="121"/>
      <c r="B547" s="121" t="s">
        <v>137</v>
      </c>
      <c r="C547" s="121"/>
      <c r="D547" s="121"/>
      <c r="E547" s="187">
        <f>VLOOKUP(I522,AVANCEVENDEDOR!$A$2:$R$35,9,0)</f>
        <v>286939.84999999998</v>
      </c>
      <c r="F547" s="187"/>
      <c r="G547" s="188"/>
      <c r="H547" s="121"/>
      <c r="I547" s="121"/>
      <c r="J547" s="195"/>
      <c r="K547" s="195"/>
      <c r="L547" s="195"/>
      <c r="M547" s="195"/>
      <c r="N547" s="195"/>
      <c r="O547" s="195"/>
    </row>
    <row r="548" spans="1:15">
      <c r="A548" s="121"/>
      <c r="B548" s="121"/>
      <c r="C548" s="121"/>
      <c r="D548" s="121"/>
      <c r="E548" s="121"/>
      <c r="F548" s="121"/>
      <c r="G548" s="188"/>
      <c r="H548" s="121"/>
      <c r="I548" s="121"/>
      <c r="J548" s="195"/>
      <c r="K548" s="195"/>
      <c r="L548" s="195"/>
      <c r="M548" s="195"/>
      <c r="N548" s="195"/>
      <c r="O548" s="195"/>
    </row>
    <row r="549" spans="1:15">
      <c r="A549" s="121"/>
      <c r="B549" s="121" t="s">
        <v>280</v>
      </c>
      <c r="C549" s="121"/>
      <c r="D549" s="121"/>
      <c r="E549" s="187">
        <f>VLOOKUP(I522,AVANCEVENDEDOR!$A$2:$R$35,13,0)</f>
        <v>73</v>
      </c>
      <c r="F549" s="187"/>
      <c r="G549" s="121"/>
      <c r="H549" s="187"/>
      <c r="I549" s="121"/>
      <c r="J549" s="195"/>
      <c r="K549" s="195"/>
      <c r="L549" s="195"/>
      <c r="M549" s="195"/>
      <c r="N549" s="195"/>
      <c r="O549" s="195"/>
    </row>
    <row r="550" spans="1:15">
      <c r="A550" s="121"/>
      <c r="B550" s="121" t="s">
        <v>281</v>
      </c>
      <c r="C550" s="121"/>
      <c r="D550" s="121"/>
      <c r="E550" s="187">
        <f>VLOOKUP(I522,AVANCEVENDEDOR!$A$2:$R$35,14,0)</f>
        <v>43</v>
      </c>
      <c r="F550" s="187"/>
      <c r="G550" s="188" t="s">
        <v>140</v>
      </c>
      <c r="H550" s="187">
        <f>+E550*100/E549</f>
        <v>58.904109589041099</v>
      </c>
      <c r="I550" s="121"/>
      <c r="J550" s="195"/>
      <c r="K550" s="195"/>
      <c r="L550" s="195"/>
      <c r="M550" s="195"/>
      <c r="N550" s="195"/>
      <c r="O550" s="195"/>
    </row>
    <row r="551" spans="1:15">
      <c r="J551" s="195"/>
      <c r="K551" s="195"/>
      <c r="L551" s="195"/>
      <c r="M551" s="195"/>
      <c r="N551" s="195"/>
      <c r="O551" s="195"/>
    </row>
    <row r="552" spans="1:15" hidden="1">
      <c r="F552">
        <v>99</v>
      </c>
    </row>
    <row r="553" spans="1:15" hidden="1">
      <c r="F553">
        <v>100</v>
      </c>
      <c r="G553">
        <v>100</v>
      </c>
    </row>
    <row r="554" spans="1:15" hidden="1">
      <c r="F554">
        <v>101</v>
      </c>
      <c r="G554">
        <v>100</v>
      </c>
    </row>
    <row r="555" spans="1:15" hidden="1">
      <c r="F555">
        <v>102</v>
      </c>
      <c r="G555">
        <v>100</v>
      </c>
    </row>
    <row r="556" spans="1:15" hidden="1">
      <c r="F556">
        <v>103</v>
      </c>
      <c r="G556">
        <v>100</v>
      </c>
    </row>
    <row r="557" spans="1:15" hidden="1">
      <c r="F557">
        <v>104</v>
      </c>
      <c r="G557">
        <v>100</v>
      </c>
    </row>
    <row r="558" spans="1:15" hidden="1">
      <c r="F558">
        <v>105</v>
      </c>
      <c r="G558">
        <v>100</v>
      </c>
    </row>
    <row r="559" spans="1:15" hidden="1">
      <c r="F559">
        <v>106</v>
      </c>
      <c r="G559">
        <v>200</v>
      </c>
    </row>
    <row r="560" spans="1:15" hidden="1">
      <c r="F560">
        <v>107</v>
      </c>
      <c r="G560">
        <v>200</v>
      </c>
    </row>
    <row r="561" spans="6:7" hidden="1">
      <c r="F561">
        <v>108</v>
      </c>
      <c r="G561">
        <v>200</v>
      </c>
    </row>
    <row r="562" spans="6:7" hidden="1">
      <c r="F562">
        <v>109</v>
      </c>
      <c r="G562">
        <v>200</v>
      </c>
    </row>
    <row r="563" spans="6:7" hidden="1">
      <c r="F563">
        <v>110</v>
      </c>
      <c r="G563">
        <v>200</v>
      </c>
    </row>
    <row r="564" spans="6:7" hidden="1">
      <c r="F564">
        <v>111</v>
      </c>
      <c r="G564">
        <v>200</v>
      </c>
    </row>
    <row r="565" spans="6:7" hidden="1">
      <c r="F565">
        <v>112</v>
      </c>
      <c r="G565">
        <v>200</v>
      </c>
    </row>
    <row r="566" spans="6:7" hidden="1">
      <c r="F566">
        <v>113</v>
      </c>
      <c r="G566">
        <v>200</v>
      </c>
    </row>
    <row r="567" spans="6:7" hidden="1">
      <c r="F567">
        <v>114</v>
      </c>
      <c r="G567">
        <v>200</v>
      </c>
    </row>
    <row r="568" spans="6:7" hidden="1">
      <c r="F568">
        <v>115</v>
      </c>
      <c r="G568">
        <v>300</v>
      </c>
    </row>
    <row r="569" spans="6:7" hidden="1">
      <c r="F569">
        <v>116</v>
      </c>
      <c r="G569">
        <v>300</v>
      </c>
    </row>
    <row r="570" spans="6:7" hidden="1">
      <c r="F570">
        <v>117</v>
      </c>
      <c r="G570">
        <v>300</v>
      </c>
    </row>
    <row r="571" spans="6:7" hidden="1">
      <c r="F571">
        <v>118</v>
      </c>
      <c r="G571">
        <v>300</v>
      </c>
    </row>
    <row r="572" spans="6:7" hidden="1">
      <c r="F572">
        <v>119</v>
      </c>
      <c r="G572">
        <v>300</v>
      </c>
    </row>
    <row r="573" spans="6:7" hidden="1">
      <c r="F573">
        <v>120</v>
      </c>
      <c r="G573">
        <v>300</v>
      </c>
    </row>
    <row r="574" spans="6:7" hidden="1">
      <c r="F574">
        <v>121</v>
      </c>
      <c r="G574">
        <v>400</v>
      </c>
    </row>
    <row r="575" spans="6:7" hidden="1">
      <c r="F575">
        <v>122</v>
      </c>
      <c r="G575">
        <v>400</v>
      </c>
    </row>
    <row r="593" spans="1:15">
      <c r="A593" s="84" t="s">
        <v>112</v>
      </c>
      <c r="B593" s="120"/>
      <c r="C593" s="120"/>
      <c r="D593" s="120"/>
      <c r="E593" s="120"/>
      <c r="F593" s="120"/>
      <c r="G593" s="120"/>
      <c r="H593" s="120"/>
      <c r="I593" s="189"/>
      <c r="J593" s="195"/>
      <c r="K593" s="195"/>
      <c r="L593" s="195"/>
      <c r="M593" s="195"/>
      <c r="N593" s="195"/>
      <c r="O593" s="195"/>
    </row>
    <row r="594" spans="1:15">
      <c r="A594" s="84" t="s">
        <v>113</v>
      </c>
      <c r="B594" s="120"/>
      <c r="C594" s="120"/>
      <c r="D594" s="120"/>
      <c r="E594" s="120"/>
      <c r="F594" s="120"/>
      <c r="G594" s="120"/>
      <c r="H594" s="120"/>
      <c r="I594" s="179" t="str">
        <f>+CONCATENATE("20142_",I596)</f>
        <v>20142_9</v>
      </c>
      <c r="J594" s="195"/>
      <c r="K594" s="195"/>
      <c r="L594" s="195"/>
      <c r="M594" s="195"/>
      <c r="N594" s="195"/>
      <c r="O594" s="195"/>
    </row>
    <row r="595" spans="1:15">
      <c r="A595" s="84" t="s">
        <v>114</v>
      </c>
      <c r="B595" s="120"/>
      <c r="C595" s="120"/>
      <c r="D595" s="120"/>
      <c r="E595" s="120"/>
      <c r="F595" s="120"/>
      <c r="G595" s="120"/>
      <c r="H595" s="120"/>
      <c r="I595" s="120"/>
      <c r="J595" s="195"/>
      <c r="K595" s="195"/>
      <c r="L595" s="195"/>
      <c r="M595" s="195"/>
      <c r="N595" s="195"/>
      <c r="O595" s="195"/>
    </row>
    <row r="596" spans="1:15">
      <c r="A596" s="120"/>
      <c r="B596" s="120"/>
      <c r="C596" s="120"/>
      <c r="D596" s="120"/>
      <c r="E596" s="120"/>
      <c r="F596" s="120"/>
      <c r="G596" s="120"/>
      <c r="H596" s="120"/>
      <c r="I596" s="191">
        <v>9</v>
      </c>
      <c r="J596" s="195"/>
      <c r="K596" s="195"/>
      <c r="L596" s="195"/>
      <c r="M596" s="195"/>
      <c r="N596" s="195"/>
      <c r="O596" s="195"/>
    </row>
    <row r="597" spans="1:15">
      <c r="A597" s="120" t="s">
        <v>115</v>
      </c>
      <c r="B597" s="120"/>
      <c r="C597" s="120"/>
      <c r="D597" s="120"/>
      <c r="E597" s="120"/>
      <c r="F597" s="120"/>
      <c r="G597" s="120"/>
      <c r="H597" s="120"/>
      <c r="I597" s="83">
        <f>I5</f>
        <v>43801</v>
      </c>
      <c r="J597" s="195"/>
      <c r="K597" s="195"/>
      <c r="L597" s="195"/>
      <c r="M597" s="195"/>
      <c r="N597" s="195"/>
      <c r="O597" s="195"/>
    </row>
    <row r="598" spans="1:15">
      <c r="A598" s="120"/>
      <c r="B598" s="120"/>
      <c r="C598" s="120"/>
      <c r="D598" s="120"/>
      <c r="E598" s="120"/>
      <c r="F598" s="120"/>
      <c r="G598" s="120"/>
      <c r="H598" s="120"/>
      <c r="I598" s="120"/>
      <c r="J598" s="195"/>
      <c r="K598" s="195"/>
      <c r="L598" s="195"/>
      <c r="M598" s="195"/>
      <c r="N598" s="195"/>
      <c r="O598" s="195"/>
    </row>
    <row r="599" spans="1:15">
      <c r="A599" s="120" t="s">
        <v>116</v>
      </c>
      <c r="B599" s="120"/>
      <c r="C599" s="84" t="str">
        <f>VLOOKUP(I596,AVANCEVENDEDOR!$A$2:$R$35,3,0)</f>
        <v>ESPEJO RODRIGUEZ GABRIEL</v>
      </c>
      <c r="D599" s="120"/>
      <c r="E599" s="120"/>
      <c r="F599" s="120"/>
      <c r="G599" s="120"/>
      <c r="H599" s="120"/>
      <c r="I599" s="120"/>
      <c r="J599" s="195"/>
      <c r="K599" s="195"/>
      <c r="L599" s="195"/>
      <c r="M599" s="195"/>
      <c r="N599" s="195"/>
      <c r="O599" s="195"/>
    </row>
    <row r="600" spans="1:15">
      <c r="A600" s="120"/>
      <c r="B600" s="120"/>
      <c r="C600" s="120"/>
      <c r="D600" s="120"/>
      <c r="E600" s="120"/>
      <c r="F600" s="120"/>
      <c r="G600" s="120"/>
      <c r="H600" s="120"/>
      <c r="I600" s="84" t="s">
        <v>118</v>
      </c>
      <c r="J600" s="195"/>
      <c r="K600" s="195"/>
      <c r="L600" s="195"/>
      <c r="M600" s="195"/>
      <c r="N600" s="195"/>
      <c r="O600" s="195"/>
    </row>
    <row r="601" spans="1:15">
      <c r="A601" s="120"/>
      <c r="B601" s="120"/>
      <c r="C601" s="120"/>
      <c r="D601" s="120"/>
      <c r="E601" s="120"/>
      <c r="F601" s="120"/>
      <c r="G601" s="120"/>
      <c r="H601" s="120"/>
      <c r="I601" s="120"/>
      <c r="J601" s="195"/>
      <c r="K601" s="195"/>
      <c r="L601" s="195"/>
      <c r="M601" s="195"/>
      <c r="N601" s="195"/>
      <c r="O601" s="195"/>
    </row>
    <row r="602" spans="1:15">
      <c r="A602" s="120" t="s">
        <v>119</v>
      </c>
      <c r="B602" s="120"/>
      <c r="C602" s="120"/>
      <c r="D602" s="120"/>
      <c r="E602" s="120"/>
      <c r="F602" s="120"/>
      <c r="G602" s="120"/>
      <c r="H602" s="120"/>
      <c r="I602" s="181">
        <v>850</v>
      </c>
      <c r="J602" s="195"/>
      <c r="K602" s="195"/>
      <c r="L602" s="195"/>
      <c r="M602" s="195"/>
      <c r="N602" s="195"/>
      <c r="O602" s="195"/>
    </row>
    <row r="603" spans="1:15">
      <c r="A603" s="120" t="s">
        <v>120</v>
      </c>
      <c r="B603" s="120"/>
      <c r="C603" s="120"/>
      <c r="D603" s="120"/>
      <c r="E603" s="120"/>
      <c r="F603" s="86" t="s">
        <v>272</v>
      </c>
      <c r="G603" s="86" t="s">
        <v>122</v>
      </c>
      <c r="H603" s="86" t="s">
        <v>123</v>
      </c>
      <c r="I603" s="181">
        <v>400</v>
      </c>
      <c r="J603" s="195"/>
      <c r="K603" s="195"/>
      <c r="L603" s="195"/>
      <c r="M603" s="195"/>
      <c r="N603" s="195"/>
      <c r="O603" s="195"/>
    </row>
    <row r="604" spans="1:15">
      <c r="A604" s="120" t="s">
        <v>291</v>
      </c>
      <c r="B604" s="120"/>
      <c r="C604" s="120"/>
      <c r="D604" s="120"/>
      <c r="E604" s="120"/>
      <c r="F604" s="182">
        <v>0.5</v>
      </c>
      <c r="G604" s="182">
        <f>IF(I596=13,80,85)</f>
        <v>85</v>
      </c>
      <c r="H604" s="182">
        <f>+H617</f>
        <v>92.020626719397669</v>
      </c>
      <c r="I604" s="181">
        <f>IF(H604&gt;=G604,E617*F604%,0)</f>
        <v>642.34635000000003</v>
      </c>
      <c r="J604" s="195"/>
      <c r="K604" s="195"/>
      <c r="L604" s="195"/>
      <c r="M604" s="195"/>
      <c r="N604" s="195"/>
      <c r="O604" s="195"/>
    </row>
    <row r="605" spans="1:15">
      <c r="A605" s="120" t="str">
        <f>CONCATENATE("COM. MOROSIDAD AL ",G605,"%")</f>
        <v>COM. MOROSIDAD AL 5%</v>
      </c>
      <c r="B605" s="120"/>
      <c r="C605" s="120"/>
      <c r="D605" s="120"/>
      <c r="E605" s="120"/>
      <c r="F605" s="182">
        <v>0.3</v>
      </c>
      <c r="G605" s="182">
        <v>5</v>
      </c>
      <c r="H605" s="182">
        <f>+H620</f>
        <v>13.93</v>
      </c>
      <c r="I605" s="181">
        <f>+IF(H605&lt;=G605,E617*F605%,0)</f>
        <v>0</v>
      </c>
      <c r="J605" s="195"/>
      <c r="K605" s="195"/>
      <c r="L605" s="195"/>
      <c r="M605" s="195"/>
      <c r="N605" s="195"/>
      <c r="O605" s="195"/>
    </row>
    <row r="606" spans="1:15">
      <c r="A606" s="120" t="s">
        <v>292</v>
      </c>
      <c r="B606" s="120"/>
      <c r="C606" s="120"/>
      <c r="D606" s="120"/>
      <c r="E606" s="120"/>
      <c r="F606" s="182">
        <f>IF(I596=3,0.1,0.2)</f>
        <v>0.2</v>
      </c>
      <c r="G606" s="182">
        <f>IF(I596=23,50,85)</f>
        <v>85</v>
      </c>
      <c r="H606" s="182">
        <f>+H624</f>
        <v>50.769230769230766</v>
      </c>
      <c r="I606" s="181">
        <f>IF(H606&gt;=G606,E617*F606%,0)</f>
        <v>0</v>
      </c>
      <c r="J606" s="195"/>
      <c r="K606" s="195"/>
      <c r="L606" s="195"/>
      <c r="M606" s="195"/>
      <c r="N606" s="195"/>
      <c r="O606" s="195"/>
    </row>
    <row r="607" spans="1:15">
      <c r="A607" s="120" t="str">
        <f>IF(I596=23,"COMISION POR TIEMPODE VIAJE",IF(I596=22,"BONIFICACION"," "))</f>
        <v xml:space="preserve"> </v>
      </c>
      <c r="B607" s="120"/>
      <c r="C607" s="120"/>
      <c r="D607" s="120"/>
      <c r="E607" s="120"/>
      <c r="F607" s="120"/>
      <c r="G607" s="120"/>
      <c r="H607" s="182"/>
      <c r="I607" s="181" t="str">
        <f>IF(I596=23,300,IF(I596=22,400," "))</f>
        <v xml:space="preserve"> </v>
      </c>
      <c r="J607" s="195"/>
      <c r="K607" s="195"/>
      <c r="L607" s="195"/>
      <c r="M607" s="195"/>
      <c r="N607" s="195"/>
      <c r="O607" s="195"/>
    </row>
    <row r="608" spans="1:15">
      <c r="A608" s="189" t="s">
        <v>274</v>
      </c>
      <c r="B608" s="189"/>
      <c r="C608" s="189"/>
      <c r="D608" s="189"/>
      <c r="E608" s="189"/>
      <c r="F608" s="374" t="s">
        <v>275</v>
      </c>
      <c r="G608" s="374"/>
      <c r="H608" s="375" t="s">
        <v>276</v>
      </c>
      <c r="I608" s="193"/>
      <c r="J608" s="195"/>
      <c r="K608" s="195"/>
      <c r="L608" s="195"/>
      <c r="M608" s="195"/>
      <c r="N608" s="195"/>
      <c r="O608" s="195"/>
    </row>
    <row r="609" spans="1:15">
      <c r="A609" s="189"/>
      <c r="B609" s="189"/>
      <c r="C609" s="189"/>
      <c r="D609" s="189"/>
      <c r="E609" s="189"/>
      <c r="F609" s="374" t="s">
        <v>277</v>
      </c>
      <c r="G609" s="374"/>
      <c r="H609" s="375"/>
      <c r="I609" s="376">
        <v>0</v>
      </c>
      <c r="J609" s="195"/>
      <c r="K609" s="195"/>
      <c r="L609" s="195"/>
      <c r="M609" s="195"/>
      <c r="N609" s="195"/>
      <c r="O609" s="195"/>
    </row>
    <row r="610" spans="1:15">
      <c r="A610" s="189"/>
      <c r="B610" s="197"/>
      <c r="C610" s="197"/>
      <c r="D610" s="197"/>
      <c r="E610" s="197"/>
      <c r="F610" s="374" t="s">
        <v>278</v>
      </c>
      <c r="G610" s="374"/>
      <c r="H610" s="375"/>
      <c r="I610" s="376"/>
      <c r="J610" s="195"/>
      <c r="K610" s="195"/>
      <c r="L610" s="195"/>
      <c r="M610" s="195"/>
      <c r="N610" s="195"/>
      <c r="O610" s="195"/>
    </row>
    <row r="611" spans="1:15">
      <c r="A611" s="189"/>
      <c r="B611" s="197"/>
      <c r="C611" s="197"/>
      <c r="D611" s="197"/>
      <c r="E611" s="197"/>
      <c r="F611" s="374" t="s">
        <v>279</v>
      </c>
      <c r="G611" s="374"/>
      <c r="H611" s="375"/>
      <c r="I611" s="198"/>
      <c r="J611" s="195"/>
      <c r="K611" s="195"/>
      <c r="L611" s="195"/>
      <c r="M611" s="195"/>
      <c r="N611" s="195"/>
      <c r="O611" s="195"/>
    </row>
    <row r="612" spans="1:15">
      <c r="A612" s="120"/>
      <c r="B612" s="84" t="str">
        <f>IF(I596=13,"Remuneracion Extra"," ")</f>
        <v xml:space="preserve"> </v>
      </c>
      <c r="C612" s="120"/>
      <c r="D612" s="120"/>
      <c r="E612" s="120"/>
      <c r="F612" s="120"/>
      <c r="G612" s="120"/>
      <c r="H612" s="120"/>
      <c r="I612" s="183"/>
      <c r="J612" s="195"/>
      <c r="K612" s="195"/>
      <c r="L612" s="195"/>
      <c r="M612" s="195"/>
      <c r="N612" s="195"/>
      <c r="O612" s="195"/>
    </row>
    <row r="613" spans="1:15" ht="15.75">
      <c r="A613" s="184" t="s">
        <v>129</v>
      </c>
      <c r="B613" s="185"/>
      <c r="C613" s="185"/>
      <c r="D613" s="185"/>
      <c r="E613" s="185"/>
      <c r="F613" s="185"/>
      <c r="G613" s="185"/>
      <c r="H613" s="185"/>
      <c r="I613" s="186">
        <f>SUM(I602:I612)</f>
        <v>1892.34635</v>
      </c>
      <c r="J613" s="195"/>
      <c r="K613" s="195"/>
      <c r="L613" s="195"/>
      <c r="M613" s="195"/>
      <c r="N613" s="195"/>
      <c r="O613" s="195"/>
    </row>
    <row r="614" spans="1:15">
      <c r="A614" s="120"/>
      <c r="B614" s="120"/>
      <c r="C614" s="120"/>
      <c r="D614" s="120"/>
      <c r="E614" s="120"/>
      <c r="F614" s="120"/>
      <c r="G614" s="120"/>
      <c r="H614" s="120"/>
      <c r="I614" s="120"/>
      <c r="J614" s="195"/>
      <c r="K614" s="195"/>
      <c r="L614" s="195"/>
      <c r="M614" s="195"/>
      <c r="N614" s="195"/>
      <c r="O614" s="195"/>
    </row>
    <row r="615" spans="1:15">
      <c r="A615" s="121" t="s">
        <v>130</v>
      </c>
      <c r="B615" s="121"/>
      <c r="C615" s="121"/>
      <c r="D615" s="121"/>
      <c r="E615" s="121"/>
      <c r="F615" s="121"/>
      <c r="G615" s="121"/>
      <c r="H615" s="121"/>
      <c r="I615" s="121"/>
      <c r="J615" s="195"/>
      <c r="K615" s="195"/>
      <c r="L615" s="195"/>
      <c r="M615" s="195"/>
      <c r="N615" s="195"/>
      <c r="O615" s="195"/>
    </row>
    <row r="616" spans="1:15">
      <c r="A616" s="121"/>
      <c r="B616" s="121" t="s">
        <v>131</v>
      </c>
      <c r="C616" s="121"/>
      <c r="D616" s="121"/>
      <c r="E616" s="187">
        <f>VLOOKUP(I596,AVANCEVENDEDOR!$A$2:$R$35,7,0)</f>
        <v>139609.21</v>
      </c>
      <c r="F616" s="187"/>
      <c r="G616" s="121"/>
      <c r="H616" s="121"/>
      <c r="I616" s="121"/>
      <c r="J616" s="195"/>
      <c r="K616" s="195"/>
      <c r="L616" s="195"/>
      <c r="M616" s="199"/>
      <c r="N616" s="200"/>
      <c r="O616" s="195"/>
    </row>
    <row r="617" spans="1:15">
      <c r="A617" s="121"/>
      <c r="B617" s="121" t="s">
        <v>132</v>
      </c>
      <c r="C617" s="121"/>
      <c r="D617" s="121"/>
      <c r="E617" s="187">
        <f>IF(I596=27,(VLOOKUP(I596,AVANCEVENDEDOR!$A$2:$R$35,6,0)-I593),(VLOOKUP(I596,AVANCEVENDEDOR!$A$2:$R$35,6,0)))</f>
        <v>128469.27</v>
      </c>
      <c r="F617" s="187"/>
      <c r="G617" s="188" t="s">
        <v>133</v>
      </c>
      <c r="H617" s="187">
        <f>+E617*100/E616</f>
        <v>92.020626719397669</v>
      </c>
      <c r="I617" s="121"/>
      <c r="J617" s="195"/>
      <c r="K617" s="121"/>
      <c r="L617" s="201"/>
      <c r="M617" s="195"/>
      <c r="N617" s="195"/>
      <c r="O617" s="195"/>
    </row>
    <row r="618" spans="1:15">
      <c r="A618" s="121"/>
      <c r="B618" s="121"/>
      <c r="C618" s="121"/>
      <c r="D618" s="121"/>
      <c r="E618" s="121"/>
      <c r="F618" s="121"/>
      <c r="G618" s="188"/>
      <c r="H618" s="121"/>
      <c r="I618" s="121"/>
      <c r="J618" s="195"/>
      <c r="K618" s="195"/>
      <c r="L618" s="195"/>
      <c r="M618" s="195"/>
      <c r="N618" s="195"/>
      <c r="O618" s="195"/>
    </row>
    <row r="619" spans="1:15">
      <c r="A619" s="121"/>
      <c r="B619" s="121" t="s">
        <v>134</v>
      </c>
      <c r="C619" s="121"/>
      <c r="D619" s="121"/>
      <c r="E619" s="187">
        <f>VLOOKUP(I596,AVANCEVENDEDOR!$A$2:$R$35,10,0)</f>
        <v>395290.44</v>
      </c>
      <c r="F619" s="187"/>
      <c r="G619" s="188"/>
      <c r="H619" s="121"/>
      <c r="I619" s="121"/>
      <c r="J619" s="195"/>
      <c r="K619" s="195"/>
      <c r="L619" s="195"/>
      <c r="M619" s="195"/>
      <c r="N619" s="195"/>
      <c r="O619" s="195"/>
    </row>
    <row r="620" spans="1:15">
      <c r="A620" s="121"/>
      <c r="B620" s="121" t="s">
        <v>135</v>
      </c>
      <c r="C620" s="121"/>
      <c r="D620" s="121"/>
      <c r="E620" s="187">
        <f>VLOOKUP(I596,AVANCEVENDEDOR!$A$2:$R$35,11,0)</f>
        <v>55068.61</v>
      </c>
      <c r="F620" s="187"/>
      <c r="G620" s="188" t="s">
        <v>136</v>
      </c>
      <c r="H620" s="187">
        <f>VLOOKUP(I596,AVANCEVENDEDOR!$A$2:$R$35,15,0)</f>
        <v>13.93</v>
      </c>
      <c r="I620" s="121"/>
      <c r="J620" s="195"/>
      <c r="K620" s="195"/>
      <c r="L620" s="195"/>
      <c r="M620" s="195"/>
      <c r="N620" s="195"/>
      <c r="O620" s="195"/>
    </row>
    <row r="621" spans="1:15">
      <c r="A621" s="121"/>
      <c r="B621" s="121" t="s">
        <v>137</v>
      </c>
      <c r="C621" s="121"/>
      <c r="D621" s="121"/>
      <c r="E621" s="187">
        <f>VLOOKUP(I596,AVANCEVENDEDOR!$A$2:$R$35,9,0)</f>
        <v>147707.32</v>
      </c>
      <c r="F621" s="187"/>
      <c r="G621" s="188"/>
      <c r="H621" s="121"/>
      <c r="I621" s="121"/>
      <c r="J621" s="195"/>
      <c r="K621" s="195"/>
      <c r="L621" s="195"/>
      <c r="M621" s="195"/>
      <c r="N621" s="195"/>
      <c r="O621" s="195"/>
    </row>
    <row r="622" spans="1:15">
      <c r="A622" s="121"/>
      <c r="B622" s="121"/>
      <c r="C622" s="121"/>
      <c r="D622" s="121"/>
      <c r="E622" s="121"/>
      <c r="F622" s="121"/>
      <c r="G622" s="188"/>
      <c r="H622" s="121"/>
      <c r="I622" s="121"/>
      <c r="J622" s="195"/>
      <c r="K622" s="195"/>
      <c r="L622" s="195"/>
      <c r="M622" s="195"/>
      <c r="N622" s="195"/>
      <c r="O622" s="195"/>
    </row>
    <row r="623" spans="1:15">
      <c r="A623" s="121"/>
      <c r="B623" s="121" t="s">
        <v>280</v>
      </c>
      <c r="C623" s="121"/>
      <c r="D623" s="121"/>
      <c r="E623" s="187">
        <f>VLOOKUP(I596,AVANCEVENDEDOR!$A$2:$R$35,13,0)</f>
        <v>65</v>
      </c>
      <c r="F623" s="187"/>
      <c r="G623" s="121"/>
      <c r="H623" s="187"/>
      <c r="I623" s="121"/>
      <c r="J623" s="195"/>
      <c r="K623" s="195"/>
      <c r="L623" s="195"/>
      <c r="M623" s="195"/>
      <c r="N623" s="195"/>
      <c r="O623" s="195"/>
    </row>
    <row r="624" spans="1:15">
      <c r="A624" s="121"/>
      <c r="B624" s="121" t="s">
        <v>281</v>
      </c>
      <c r="C624" s="121"/>
      <c r="D624" s="121"/>
      <c r="E624" s="187">
        <f>VLOOKUP(I596,AVANCEVENDEDOR!$A$2:$R$35,14,0)</f>
        <v>33</v>
      </c>
      <c r="F624" s="187"/>
      <c r="G624" s="188" t="s">
        <v>140</v>
      </c>
      <c r="H624" s="187">
        <f>+E624*100/E623</f>
        <v>50.769230769230766</v>
      </c>
      <c r="I624" s="121"/>
      <c r="J624" s="195"/>
      <c r="K624" s="195"/>
      <c r="L624" s="195"/>
      <c r="M624" s="195"/>
      <c r="N624" s="195"/>
      <c r="O624" s="195"/>
    </row>
    <row r="625" spans="6:15">
      <c r="J625" s="195"/>
      <c r="K625" s="195"/>
      <c r="L625" s="195"/>
      <c r="M625" s="195"/>
      <c r="N625" s="195"/>
      <c r="O625" s="195"/>
    </row>
    <row r="626" spans="6:15" hidden="1">
      <c r="F626">
        <v>99</v>
      </c>
    </row>
    <row r="627" spans="6:15" hidden="1">
      <c r="F627">
        <v>100</v>
      </c>
      <c r="G627">
        <v>100</v>
      </c>
    </row>
    <row r="628" spans="6:15" hidden="1">
      <c r="F628">
        <v>101</v>
      </c>
      <c r="G628">
        <v>100</v>
      </c>
    </row>
    <row r="629" spans="6:15" hidden="1">
      <c r="F629">
        <v>102</v>
      </c>
      <c r="G629">
        <v>100</v>
      </c>
    </row>
    <row r="630" spans="6:15" hidden="1">
      <c r="F630">
        <v>103</v>
      </c>
      <c r="G630">
        <v>100</v>
      </c>
    </row>
    <row r="631" spans="6:15" hidden="1">
      <c r="F631">
        <v>104</v>
      </c>
      <c r="G631">
        <v>100</v>
      </c>
    </row>
    <row r="632" spans="6:15" hidden="1">
      <c r="F632">
        <v>105</v>
      </c>
      <c r="G632">
        <v>100</v>
      </c>
    </row>
    <row r="633" spans="6:15" hidden="1">
      <c r="F633">
        <v>106</v>
      </c>
      <c r="G633">
        <v>200</v>
      </c>
    </row>
    <row r="634" spans="6:15" hidden="1">
      <c r="F634">
        <v>107</v>
      </c>
      <c r="G634">
        <v>200</v>
      </c>
    </row>
    <row r="635" spans="6:15" hidden="1">
      <c r="F635">
        <v>108</v>
      </c>
      <c r="G635">
        <v>200</v>
      </c>
    </row>
    <row r="636" spans="6:15" hidden="1">
      <c r="F636">
        <v>109</v>
      </c>
      <c r="G636">
        <v>200</v>
      </c>
    </row>
    <row r="637" spans="6:15" hidden="1">
      <c r="F637">
        <v>110</v>
      </c>
      <c r="G637">
        <v>200</v>
      </c>
    </row>
    <row r="638" spans="6:15" hidden="1">
      <c r="F638">
        <v>111</v>
      </c>
      <c r="G638">
        <v>200</v>
      </c>
    </row>
    <row r="639" spans="6:15" hidden="1">
      <c r="F639">
        <v>112</v>
      </c>
      <c r="G639">
        <v>200</v>
      </c>
    </row>
    <row r="640" spans="6:15" hidden="1">
      <c r="F640">
        <v>113</v>
      </c>
      <c r="G640">
        <v>200</v>
      </c>
    </row>
    <row r="641" spans="6:7" hidden="1">
      <c r="F641">
        <v>114</v>
      </c>
      <c r="G641">
        <v>200</v>
      </c>
    </row>
    <row r="642" spans="6:7" hidden="1">
      <c r="F642">
        <v>115</v>
      </c>
      <c r="G642">
        <v>300</v>
      </c>
    </row>
    <row r="643" spans="6:7" hidden="1">
      <c r="F643">
        <v>116</v>
      </c>
      <c r="G643">
        <v>300</v>
      </c>
    </row>
    <row r="644" spans="6:7" hidden="1">
      <c r="F644">
        <v>117</v>
      </c>
      <c r="G644">
        <v>300</v>
      </c>
    </row>
    <row r="645" spans="6:7" hidden="1">
      <c r="F645">
        <v>118</v>
      </c>
      <c r="G645">
        <v>300</v>
      </c>
    </row>
    <row r="646" spans="6:7" hidden="1">
      <c r="F646">
        <v>119</v>
      </c>
      <c r="G646">
        <v>300</v>
      </c>
    </row>
    <row r="647" spans="6:7" hidden="1">
      <c r="F647">
        <v>120</v>
      </c>
      <c r="G647">
        <v>300</v>
      </c>
    </row>
    <row r="648" spans="6:7" hidden="1">
      <c r="F648">
        <v>121</v>
      </c>
      <c r="G648">
        <v>400</v>
      </c>
    </row>
    <row r="649" spans="6:7" hidden="1">
      <c r="F649">
        <v>122</v>
      </c>
      <c r="G649">
        <v>400</v>
      </c>
    </row>
    <row r="667" spans="1:15">
      <c r="A667" s="84" t="s">
        <v>112</v>
      </c>
      <c r="B667" s="120"/>
      <c r="C667" s="120"/>
      <c r="D667" s="120"/>
      <c r="E667" s="120"/>
      <c r="F667" s="120"/>
      <c r="G667" s="120"/>
      <c r="H667" s="120"/>
      <c r="I667" s="189"/>
      <c r="J667" s="195"/>
      <c r="K667" s="195"/>
      <c r="L667" s="195"/>
      <c r="M667" s="195"/>
      <c r="N667" s="195"/>
      <c r="O667" s="195"/>
    </row>
    <row r="668" spans="1:15">
      <c r="A668" s="84" t="s">
        <v>113</v>
      </c>
      <c r="B668" s="120"/>
      <c r="C668" s="120"/>
      <c r="D668" s="120"/>
      <c r="E668" s="120"/>
      <c r="F668" s="120"/>
      <c r="G668" s="120"/>
      <c r="H668" s="120"/>
      <c r="I668" s="179" t="str">
        <f>+CONCATENATE("20142_",I670)</f>
        <v>20142_10</v>
      </c>
      <c r="J668" s="195"/>
      <c r="K668" s="195"/>
      <c r="L668" s="195"/>
      <c r="M668" s="195"/>
      <c r="N668" s="195"/>
      <c r="O668" s="195"/>
    </row>
    <row r="669" spans="1:15">
      <c r="A669" s="84" t="s">
        <v>114</v>
      </c>
      <c r="B669" s="120"/>
      <c r="C669" s="120"/>
      <c r="D669" s="120"/>
      <c r="E669" s="120"/>
      <c r="F669" s="120"/>
      <c r="G669" s="120"/>
      <c r="H669" s="120"/>
      <c r="I669" s="120"/>
      <c r="J669" s="195"/>
      <c r="K669" s="195"/>
      <c r="L669" s="195"/>
      <c r="M669" s="195"/>
      <c r="N669" s="195"/>
      <c r="O669" s="195"/>
    </row>
    <row r="670" spans="1:15">
      <c r="A670" s="120"/>
      <c r="B670" s="120"/>
      <c r="C670" s="120"/>
      <c r="D670" s="120"/>
      <c r="E670" s="120"/>
      <c r="F670" s="120"/>
      <c r="G670" s="120"/>
      <c r="H670" s="120"/>
      <c r="I670" s="191">
        <v>10</v>
      </c>
      <c r="J670" s="195"/>
      <c r="K670" s="195"/>
      <c r="L670" s="195"/>
      <c r="M670" s="195"/>
      <c r="N670" s="195"/>
      <c r="O670" s="195"/>
    </row>
    <row r="671" spans="1:15">
      <c r="A671" s="120" t="s">
        <v>115</v>
      </c>
      <c r="B671" s="120"/>
      <c r="C671" s="120"/>
      <c r="D671" s="120"/>
      <c r="E671" s="120"/>
      <c r="F671" s="120"/>
      <c r="G671" s="120"/>
      <c r="H671" s="120"/>
      <c r="I671" s="83">
        <f>I5</f>
        <v>43801</v>
      </c>
      <c r="J671" s="195"/>
      <c r="K671" s="195"/>
      <c r="L671" s="195"/>
      <c r="M671" s="195"/>
      <c r="N671" s="195"/>
      <c r="O671" s="195"/>
    </row>
    <row r="672" spans="1:15">
      <c r="A672" s="120"/>
      <c r="B672" s="120"/>
      <c r="C672" s="120"/>
      <c r="D672" s="120"/>
      <c r="E672" s="120"/>
      <c r="F672" s="120"/>
      <c r="G672" s="120"/>
      <c r="H672" s="120"/>
      <c r="I672" s="120"/>
      <c r="J672" s="195"/>
      <c r="K672" s="195"/>
      <c r="L672" s="195"/>
      <c r="M672" s="195"/>
      <c r="N672" s="195"/>
      <c r="O672" s="195"/>
    </row>
    <row r="673" spans="1:15">
      <c r="A673" s="120" t="s">
        <v>116</v>
      </c>
      <c r="B673" s="120"/>
      <c r="C673" s="84" t="str">
        <f>VLOOKUP(I670,AVANCEVENDEDOR!$A$2:$R$35,3,0)</f>
        <v>FLORES GARCIA DIEGO</v>
      </c>
      <c r="D673" s="120"/>
      <c r="E673" s="120"/>
      <c r="F673" s="120"/>
      <c r="G673" s="120"/>
      <c r="H673" s="120"/>
      <c r="I673" s="120"/>
      <c r="J673" s="195"/>
      <c r="K673" s="195"/>
      <c r="L673" s="195"/>
      <c r="M673" s="195"/>
      <c r="N673" s="195"/>
      <c r="O673" s="195"/>
    </row>
    <row r="674" spans="1:15">
      <c r="A674" s="120"/>
      <c r="B674" s="120"/>
      <c r="C674" s="120"/>
      <c r="D674" s="120"/>
      <c r="E674" s="120"/>
      <c r="F674" s="120"/>
      <c r="G674" s="120"/>
      <c r="H674" s="120"/>
      <c r="I674" s="84" t="s">
        <v>118</v>
      </c>
      <c r="J674" s="195"/>
      <c r="K674" s="195"/>
      <c r="L674" s="195"/>
      <c r="M674" s="195"/>
      <c r="N674" s="195"/>
      <c r="O674" s="195"/>
    </row>
    <row r="675" spans="1:15">
      <c r="A675" s="120"/>
      <c r="B675" s="120"/>
      <c r="C675" s="120"/>
      <c r="D675" s="120"/>
      <c r="E675" s="120"/>
      <c r="F675" s="120"/>
      <c r="G675" s="120"/>
      <c r="H675" s="120"/>
      <c r="I675" s="120"/>
      <c r="J675" s="195"/>
      <c r="K675" s="195"/>
      <c r="L675" s="195"/>
      <c r="M675" s="195"/>
      <c r="N675" s="195"/>
      <c r="O675" s="195"/>
    </row>
    <row r="676" spans="1:15">
      <c r="A676" s="120" t="s">
        <v>119</v>
      </c>
      <c r="B676" s="120"/>
      <c r="C676" s="120"/>
      <c r="D676" s="120"/>
      <c r="E676" s="120"/>
      <c r="F676" s="120"/>
      <c r="G676" s="120"/>
      <c r="H676" s="120"/>
      <c r="I676" s="181">
        <v>850</v>
      </c>
      <c r="J676" s="195"/>
      <c r="K676" s="195"/>
      <c r="L676" s="195"/>
      <c r="M676" s="195"/>
      <c r="N676" s="195"/>
      <c r="O676" s="195"/>
    </row>
    <row r="677" spans="1:15">
      <c r="A677" s="120" t="s">
        <v>120</v>
      </c>
      <c r="B677" s="120"/>
      <c r="C677" s="120"/>
      <c r="D677" s="120"/>
      <c r="E677" s="120"/>
      <c r="F677" s="86" t="s">
        <v>272</v>
      </c>
      <c r="G677" s="86" t="s">
        <v>122</v>
      </c>
      <c r="H677" s="86" t="s">
        <v>123</v>
      </c>
      <c r="I677" s="181">
        <v>400</v>
      </c>
      <c r="J677" s="195"/>
      <c r="K677" s="195"/>
      <c r="L677" s="195"/>
      <c r="M677" s="195"/>
      <c r="N677" s="195"/>
      <c r="O677" s="195"/>
    </row>
    <row r="678" spans="1:15">
      <c r="A678" s="120" t="s">
        <v>291</v>
      </c>
      <c r="B678" s="120"/>
      <c r="C678" s="120"/>
      <c r="D678" s="120"/>
      <c r="E678" s="120"/>
      <c r="F678" s="182">
        <v>0.5</v>
      </c>
      <c r="G678" s="182">
        <f>IF(I670=13,80,85)</f>
        <v>85</v>
      </c>
      <c r="H678" s="182">
        <f>+H691</f>
        <v>85.985087936871651</v>
      </c>
      <c r="I678" s="181">
        <f>IF(H678&gt;=G678,E691*F678%,0)</f>
        <v>575.29385000000002</v>
      </c>
      <c r="J678" s="195"/>
      <c r="K678" s="195"/>
      <c r="L678" s="195"/>
      <c r="M678" s="195"/>
      <c r="N678" s="195"/>
      <c r="O678" s="195"/>
    </row>
    <row r="679" spans="1:15">
      <c r="A679" s="120" t="str">
        <f>CONCATENATE("COM. MOROSIDAD AL ",G679,"%")</f>
        <v>COM. MOROSIDAD AL 5%</v>
      </c>
      <c r="B679" s="120"/>
      <c r="C679" s="120"/>
      <c r="D679" s="120"/>
      <c r="E679" s="120"/>
      <c r="F679" s="182">
        <v>0.3</v>
      </c>
      <c r="G679" s="182">
        <v>5</v>
      </c>
      <c r="H679" s="182">
        <f>+H694</f>
        <v>10.58</v>
      </c>
      <c r="I679" s="181">
        <f>+IF(H679&lt;=G679,E691*F679%,0)</f>
        <v>0</v>
      </c>
      <c r="J679" s="195"/>
      <c r="K679" s="195"/>
      <c r="L679" s="195"/>
      <c r="M679" s="195"/>
      <c r="N679" s="195"/>
      <c r="O679" s="195"/>
    </row>
    <row r="680" spans="1:15">
      <c r="A680" s="120" t="s">
        <v>292</v>
      </c>
      <c r="B680" s="120"/>
      <c r="C680" s="120"/>
      <c r="D680" s="120"/>
      <c r="E680" s="120"/>
      <c r="F680" s="182">
        <f>IF(I670=3,0.1,0.2)</f>
        <v>0.2</v>
      </c>
      <c r="G680" s="182">
        <f>IF(I670=23,50,85)</f>
        <v>85</v>
      </c>
      <c r="H680" s="182">
        <f>+H698</f>
        <v>64.38356164383562</v>
      </c>
      <c r="I680" s="181">
        <f>IF(H680&gt;=G680,E691*F680%,0)</f>
        <v>0</v>
      </c>
      <c r="J680" s="195"/>
      <c r="K680" s="195"/>
      <c r="L680" s="195"/>
      <c r="M680" s="195"/>
      <c r="N680" s="195"/>
      <c r="O680" s="195"/>
    </row>
    <row r="681" spans="1:15">
      <c r="A681" s="120" t="str">
        <f>IF(I670=23,"COMISION POR TIEMPODE VIAJE",IF(I670=22,"BONIFICACION"," "))</f>
        <v xml:space="preserve"> </v>
      </c>
      <c r="B681" s="120"/>
      <c r="C681" s="120"/>
      <c r="D681" s="120"/>
      <c r="E681" s="120"/>
      <c r="F681" s="120"/>
      <c r="G681" s="120"/>
      <c r="H681" s="182"/>
      <c r="I681" s="181" t="str">
        <f>IF(I670=23,300,IF(I670=22,400," "))</f>
        <v xml:space="preserve"> </v>
      </c>
      <c r="J681" s="195"/>
      <c r="K681" s="195"/>
      <c r="L681" s="195"/>
      <c r="M681" s="195"/>
      <c r="N681" s="195"/>
      <c r="O681" s="195"/>
    </row>
    <row r="682" spans="1:15">
      <c r="A682" s="189" t="s">
        <v>274</v>
      </c>
      <c r="B682" s="189"/>
      <c r="C682" s="189"/>
      <c r="D682" s="189"/>
      <c r="E682" s="189"/>
      <c r="F682" s="374" t="s">
        <v>275</v>
      </c>
      <c r="G682" s="374"/>
      <c r="H682" s="375" t="s">
        <v>276</v>
      </c>
      <c r="I682" s="193"/>
      <c r="J682" s="195"/>
      <c r="K682" s="195"/>
      <c r="L682" s="195"/>
      <c r="M682" s="195"/>
      <c r="N682" s="195"/>
      <c r="O682" s="195"/>
    </row>
    <row r="683" spans="1:15">
      <c r="A683" s="189"/>
      <c r="B683" s="189"/>
      <c r="C683" s="189"/>
      <c r="D683" s="189"/>
      <c r="E683" s="189"/>
      <c r="F683" s="374" t="s">
        <v>277</v>
      </c>
      <c r="G683" s="374"/>
      <c r="H683" s="375"/>
      <c r="I683" s="376">
        <v>0</v>
      </c>
      <c r="J683" s="195"/>
      <c r="K683" s="195"/>
      <c r="L683" s="195"/>
      <c r="M683" s="195"/>
      <c r="N683" s="195"/>
      <c r="O683" s="195"/>
    </row>
    <row r="684" spans="1:15">
      <c r="A684" s="189"/>
      <c r="B684" s="197"/>
      <c r="C684" s="197"/>
      <c r="D684" s="197"/>
      <c r="E684" s="197"/>
      <c r="F684" s="374" t="s">
        <v>278</v>
      </c>
      <c r="G684" s="374"/>
      <c r="H684" s="375"/>
      <c r="I684" s="376"/>
      <c r="J684" s="195"/>
      <c r="K684" s="195"/>
      <c r="L684" s="195"/>
      <c r="M684" s="195"/>
      <c r="N684" s="195"/>
      <c r="O684" s="195"/>
    </row>
    <row r="685" spans="1:15">
      <c r="A685" s="189"/>
      <c r="B685" s="197"/>
      <c r="C685" s="197"/>
      <c r="D685" s="197"/>
      <c r="E685" s="197"/>
      <c r="F685" s="374" t="s">
        <v>279</v>
      </c>
      <c r="G685" s="374"/>
      <c r="H685" s="375"/>
      <c r="I685" s="198"/>
      <c r="J685" s="195"/>
      <c r="K685" s="195"/>
      <c r="L685" s="195"/>
      <c r="M685" s="195"/>
      <c r="N685" s="195"/>
      <c r="O685" s="195"/>
    </row>
    <row r="686" spans="1:15">
      <c r="A686" s="120"/>
      <c r="B686" s="84" t="str">
        <f>IF(I670=13,"Remuneracion Extra"," ")</f>
        <v xml:space="preserve"> </v>
      </c>
      <c r="C686" s="120"/>
      <c r="D686" s="120"/>
      <c r="E686" s="120"/>
      <c r="F686" s="120"/>
      <c r="G686" s="120"/>
      <c r="H686" s="120"/>
      <c r="I686" s="183"/>
      <c r="J686" s="195"/>
      <c r="K686" s="195"/>
      <c r="L686" s="195"/>
      <c r="M686" s="195"/>
      <c r="N686" s="195"/>
      <c r="O686" s="195"/>
    </row>
    <row r="687" spans="1:15" ht="15.75">
      <c r="A687" s="184" t="s">
        <v>129</v>
      </c>
      <c r="B687" s="185"/>
      <c r="C687" s="185"/>
      <c r="D687" s="185"/>
      <c r="E687" s="185"/>
      <c r="F687" s="185"/>
      <c r="G687" s="185"/>
      <c r="H687" s="185"/>
      <c r="I687" s="186">
        <f>SUM(I676:I686)</f>
        <v>1825.29385</v>
      </c>
      <c r="J687" s="195"/>
      <c r="K687" s="195"/>
      <c r="L687" s="195"/>
      <c r="M687" s="195"/>
      <c r="N687" s="195"/>
      <c r="O687" s="195"/>
    </row>
    <row r="688" spans="1:15">
      <c r="A688" s="120"/>
      <c r="B688" s="120"/>
      <c r="C688" s="120"/>
      <c r="D688" s="120"/>
      <c r="E688" s="120"/>
      <c r="F688" s="120"/>
      <c r="G688" s="120"/>
      <c r="H688" s="120"/>
      <c r="I688" s="120"/>
      <c r="J688" s="195"/>
      <c r="K688" s="195"/>
      <c r="L688" s="195"/>
      <c r="M688" s="195"/>
      <c r="N688" s="195"/>
      <c r="O688" s="195"/>
    </row>
    <row r="689" spans="1:15">
      <c r="A689" s="121" t="s">
        <v>130</v>
      </c>
      <c r="B689" s="121"/>
      <c r="C689" s="121"/>
      <c r="D689" s="121"/>
      <c r="E689" s="121"/>
      <c r="F689" s="121"/>
      <c r="G689" s="121"/>
      <c r="H689" s="121"/>
      <c r="I689" s="121"/>
      <c r="J689" s="195"/>
      <c r="K689" s="195"/>
      <c r="L689" s="195"/>
      <c r="M689" s="195"/>
      <c r="N689" s="195"/>
      <c r="O689" s="195"/>
    </row>
    <row r="690" spans="1:15">
      <c r="A690" s="121"/>
      <c r="B690" s="121" t="s">
        <v>131</v>
      </c>
      <c r="C690" s="121"/>
      <c r="D690" s="121"/>
      <c r="E690" s="187">
        <f>VLOOKUP(I670,AVANCEVENDEDOR!$A$2:$R$35,7,0)</f>
        <v>133812.47</v>
      </c>
      <c r="F690" s="187"/>
      <c r="G690" s="121"/>
      <c r="H690" s="121"/>
      <c r="I690" s="121"/>
      <c r="J690" s="195"/>
      <c r="K690" s="195"/>
      <c r="L690" s="195"/>
      <c r="M690" s="199"/>
      <c r="N690" s="200"/>
      <c r="O690" s="195"/>
    </row>
    <row r="691" spans="1:15">
      <c r="A691" s="121"/>
      <c r="B691" s="121" t="s">
        <v>132</v>
      </c>
      <c r="C691" s="121"/>
      <c r="D691" s="121"/>
      <c r="E691" s="187">
        <f>IF(I670=27,(VLOOKUP(I670,AVANCEVENDEDOR!$A$2:$R$35,6,0)-I667),(VLOOKUP(I670,AVANCEVENDEDOR!$A$2:$R$35,6,0)))</f>
        <v>115058.77</v>
      </c>
      <c r="F691" s="187"/>
      <c r="G691" s="188" t="s">
        <v>133</v>
      </c>
      <c r="H691" s="187">
        <f>+E691*100/E690</f>
        <v>85.985087936871651</v>
      </c>
      <c r="I691" s="121"/>
      <c r="J691" s="195"/>
      <c r="K691" s="121"/>
      <c r="L691" s="201"/>
      <c r="M691" s="195"/>
      <c r="N691" s="195"/>
      <c r="O691" s="195"/>
    </row>
    <row r="692" spans="1:15">
      <c r="A692" s="121"/>
      <c r="B692" s="121"/>
      <c r="C692" s="121"/>
      <c r="D692" s="121"/>
      <c r="E692" s="121"/>
      <c r="F692" s="121"/>
      <c r="G692" s="188"/>
      <c r="H692" s="121"/>
      <c r="I692" s="121"/>
      <c r="J692" s="195"/>
      <c r="K692" s="195"/>
      <c r="L692" s="195"/>
      <c r="M692" s="195"/>
      <c r="N692" s="195"/>
      <c r="O692" s="195"/>
    </row>
    <row r="693" spans="1:15">
      <c r="A693" s="121"/>
      <c r="B693" s="121" t="s">
        <v>134</v>
      </c>
      <c r="C693" s="121"/>
      <c r="D693" s="121"/>
      <c r="E693" s="187">
        <f>VLOOKUP(I670,AVANCEVENDEDOR!$A$2:$R$35,10,0)</f>
        <v>336089.79</v>
      </c>
      <c r="F693" s="187"/>
      <c r="G693" s="188"/>
      <c r="H693" s="121"/>
      <c r="I693" s="121"/>
      <c r="J693" s="195"/>
      <c r="K693" s="195"/>
      <c r="L693" s="195"/>
      <c r="M693" s="195"/>
      <c r="N693" s="195"/>
      <c r="O693" s="195"/>
    </row>
    <row r="694" spans="1:15">
      <c r="A694" s="121"/>
      <c r="B694" s="121" t="s">
        <v>135</v>
      </c>
      <c r="C694" s="121"/>
      <c r="D694" s="121"/>
      <c r="E694" s="187">
        <f>VLOOKUP(I670,AVANCEVENDEDOR!$A$2:$R$35,11,0)</f>
        <v>35563.64</v>
      </c>
      <c r="F694" s="187"/>
      <c r="G694" s="188" t="s">
        <v>136</v>
      </c>
      <c r="H694" s="187">
        <f>VLOOKUP(I670,AVANCEVENDEDOR!$A$2:$R$35,15,0)</f>
        <v>10.58</v>
      </c>
      <c r="I694" s="121"/>
      <c r="J694" s="195"/>
      <c r="K694" s="195"/>
      <c r="L694" s="195"/>
      <c r="M694" s="195"/>
      <c r="N694" s="195"/>
      <c r="O694" s="195"/>
    </row>
    <row r="695" spans="1:15">
      <c r="A695" s="121"/>
      <c r="B695" s="121" t="s">
        <v>137</v>
      </c>
      <c r="C695" s="121"/>
      <c r="D695" s="121"/>
      <c r="E695" s="187">
        <f>VLOOKUP(I670,AVANCEVENDEDOR!$A$2:$R$35,9,0)</f>
        <v>161610.26999999999</v>
      </c>
      <c r="F695" s="187"/>
      <c r="G695" s="188"/>
      <c r="H695" s="121"/>
      <c r="I695" s="121"/>
      <c r="J695" s="195"/>
      <c r="K695" s="195"/>
      <c r="L695" s="195"/>
      <c r="M695" s="195"/>
      <c r="N695" s="195"/>
      <c r="O695" s="195"/>
    </row>
    <row r="696" spans="1:15">
      <c r="A696" s="121"/>
      <c r="B696" s="121"/>
      <c r="C696" s="121"/>
      <c r="D696" s="121"/>
      <c r="E696" s="121"/>
      <c r="F696" s="121"/>
      <c r="G696" s="188"/>
      <c r="H696" s="121"/>
      <c r="I696" s="121"/>
      <c r="J696" s="195"/>
      <c r="K696" s="195"/>
      <c r="L696" s="195"/>
      <c r="M696" s="195"/>
      <c r="N696" s="195"/>
      <c r="O696" s="195"/>
    </row>
    <row r="697" spans="1:15">
      <c r="A697" s="121"/>
      <c r="B697" s="121" t="s">
        <v>280</v>
      </c>
      <c r="C697" s="121"/>
      <c r="D697" s="121"/>
      <c r="E697" s="187">
        <f>VLOOKUP(I670,AVANCEVENDEDOR!$A$2:$R$35,13,0)</f>
        <v>73</v>
      </c>
      <c r="F697" s="187"/>
      <c r="G697" s="121"/>
      <c r="H697" s="187"/>
      <c r="I697" s="121"/>
      <c r="J697" s="195"/>
      <c r="K697" s="195"/>
      <c r="L697" s="195"/>
      <c r="M697" s="195"/>
      <c r="N697" s="195"/>
      <c r="O697" s="195"/>
    </row>
    <row r="698" spans="1:15">
      <c r="A698" s="121"/>
      <c r="B698" s="121" t="s">
        <v>281</v>
      </c>
      <c r="C698" s="121"/>
      <c r="D698" s="121"/>
      <c r="E698" s="187">
        <f>VLOOKUP(I670,AVANCEVENDEDOR!$A$2:$R$35,14,0)</f>
        <v>47</v>
      </c>
      <c r="F698" s="187"/>
      <c r="G698" s="188" t="s">
        <v>140</v>
      </c>
      <c r="H698" s="187">
        <f>+E698*100/E697</f>
        <v>64.38356164383562</v>
      </c>
      <c r="I698" s="121"/>
      <c r="J698" s="195"/>
      <c r="K698" s="195"/>
      <c r="L698" s="195"/>
      <c r="M698" s="195"/>
      <c r="N698" s="195"/>
      <c r="O698" s="195"/>
    </row>
    <row r="699" spans="1:15">
      <c r="J699" s="195"/>
      <c r="K699" s="195"/>
      <c r="L699" s="195"/>
      <c r="M699" s="195"/>
      <c r="N699" s="195"/>
      <c r="O699" s="195"/>
    </row>
    <row r="700" spans="1:15" hidden="1">
      <c r="F700">
        <v>99</v>
      </c>
    </row>
    <row r="701" spans="1:15" hidden="1">
      <c r="F701">
        <v>100</v>
      </c>
      <c r="G701">
        <v>100</v>
      </c>
    </row>
    <row r="702" spans="1:15" hidden="1">
      <c r="F702">
        <v>101</v>
      </c>
      <c r="G702">
        <v>100</v>
      </c>
    </row>
    <row r="703" spans="1:15" hidden="1">
      <c r="F703">
        <v>102</v>
      </c>
      <c r="G703">
        <v>100</v>
      </c>
    </row>
    <row r="704" spans="1:15" hidden="1">
      <c r="F704">
        <v>103</v>
      </c>
      <c r="G704">
        <v>100</v>
      </c>
    </row>
    <row r="705" spans="6:7" hidden="1">
      <c r="F705">
        <v>104</v>
      </c>
      <c r="G705">
        <v>100</v>
      </c>
    </row>
    <row r="706" spans="6:7" hidden="1">
      <c r="F706">
        <v>105</v>
      </c>
      <c r="G706">
        <v>100</v>
      </c>
    </row>
    <row r="707" spans="6:7" hidden="1">
      <c r="F707">
        <v>106</v>
      </c>
      <c r="G707">
        <v>200</v>
      </c>
    </row>
    <row r="708" spans="6:7" hidden="1">
      <c r="F708">
        <v>107</v>
      </c>
      <c r="G708">
        <v>200</v>
      </c>
    </row>
    <row r="709" spans="6:7" hidden="1">
      <c r="F709">
        <v>108</v>
      </c>
      <c r="G709">
        <v>200</v>
      </c>
    </row>
    <row r="710" spans="6:7" hidden="1">
      <c r="F710">
        <v>109</v>
      </c>
      <c r="G710">
        <v>200</v>
      </c>
    </row>
    <row r="711" spans="6:7" hidden="1">
      <c r="F711">
        <v>110</v>
      </c>
      <c r="G711">
        <v>200</v>
      </c>
    </row>
    <row r="712" spans="6:7" hidden="1">
      <c r="F712">
        <v>111</v>
      </c>
      <c r="G712">
        <v>200</v>
      </c>
    </row>
    <row r="713" spans="6:7" hidden="1">
      <c r="F713">
        <v>112</v>
      </c>
      <c r="G713">
        <v>200</v>
      </c>
    </row>
    <row r="714" spans="6:7" hidden="1">
      <c r="F714">
        <v>113</v>
      </c>
      <c r="G714">
        <v>200</v>
      </c>
    </row>
    <row r="715" spans="6:7" hidden="1">
      <c r="F715">
        <v>114</v>
      </c>
      <c r="G715">
        <v>200</v>
      </c>
    </row>
    <row r="716" spans="6:7" hidden="1">
      <c r="F716">
        <v>115</v>
      </c>
      <c r="G716">
        <v>300</v>
      </c>
    </row>
    <row r="717" spans="6:7" hidden="1">
      <c r="F717">
        <v>116</v>
      </c>
      <c r="G717">
        <v>300</v>
      </c>
    </row>
    <row r="718" spans="6:7" hidden="1">
      <c r="F718">
        <v>117</v>
      </c>
      <c r="G718">
        <v>300</v>
      </c>
    </row>
    <row r="719" spans="6:7" hidden="1">
      <c r="F719">
        <v>118</v>
      </c>
      <c r="G719">
        <v>300</v>
      </c>
    </row>
    <row r="720" spans="6:7" hidden="1">
      <c r="F720">
        <v>119</v>
      </c>
      <c r="G720">
        <v>300</v>
      </c>
    </row>
    <row r="721" spans="6:7" hidden="1">
      <c r="F721">
        <v>120</v>
      </c>
      <c r="G721">
        <v>300</v>
      </c>
    </row>
    <row r="722" spans="6:7" hidden="1">
      <c r="F722">
        <v>121</v>
      </c>
      <c r="G722">
        <v>400</v>
      </c>
    </row>
    <row r="723" spans="6:7" hidden="1">
      <c r="F723">
        <v>122</v>
      </c>
      <c r="G723">
        <v>400</v>
      </c>
    </row>
    <row r="741" spans="1:15">
      <c r="A741" s="84" t="s">
        <v>112</v>
      </c>
      <c r="B741" s="120"/>
      <c r="C741" s="120"/>
      <c r="D741" s="120"/>
      <c r="E741" s="120"/>
      <c r="F741" s="120"/>
      <c r="G741" s="120"/>
      <c r="H741" s="120"/>
      <c r="I741" s="189"/>
      <c r="J741" s="195"/>
      <c r="K741" s="195"/>
      <c r="L741" s="195"/>
      <c r="M741" s="195"/>
      <c r="N741" s="195"/>
      <c r="O741" s="195"/>
    </row>
    <row r="742" spans="1:15">
      <c r="A742" s="84" t="s">
        <v>113</v>
      </c>
      <c r="B742" s="120"/>
      <c r="C742" s="120"/>
      <c r="D742" s="120"/>
      <c r="E742" s="120"/>
      <c r="F742" s="120"/>
      <c r="G742" s="120"/>
      <c r="H742" s="120"/>
      <c r="I742" s="179" t="str">
        <f>+CONCATENATE("20142_",I744)</f>
        <v>20142_11</v>
      </c>
      <c r="J742" s="195"/>
      <c r="K742" s="195"/>
      <c r="L742" s="195"/>
      <c r="M742" s="195"/>
      <c r="N742" s="195"/>
      <c r="O742" s="195"/>
    </row>
    <row r="743" spans="1:15">
      <c r="A743" s="84" t="s">
        <v>114</v>
      </c>
      <c r="B743" s="120"/>
      <c r="C743" s="120"/>
      <c r="D743" s="120"/>
      <c r="E743" s="120"/>
      <c r="F743" s="120"/>
      <c r="G743" s="120"/>
      <c r="H743" s="120"/>
      <c r="I743" s="120"/>
      <c r="J743" s="195"/>
      <c r="K743" s="195"/>
      <c r="L743" s="195"/>
      <c r="M743" s="195"/>
      <c r="N743" s="195"/>
      <c r="O743" s="195"/>
    </row>
    <row r="744" spans="1:15">
      <c r="A744" s="120"/>
      <c r="B744" s="120"/>
      <c r="C744" s="120"/>
      <c r="D744" s="120"/>
      <c r="E744" s="120"/>
      <c r="F744" s="120"/>
      <c r="G744" s="120"/>
      <c r="H744" s="120"/>
      <c r="I744" s="191">
        <v>11</v>
      </c>
      <c r="J744" s="195"/>
      <c r="K744" s="195"/>
      <c r="L744" s="195"/>
      <c r="M744" s="195"/>
      <c r="N744" s="195"/>
      <c r="O744" s="195"/>
    </row>
    <row r="745" spans="1:15">
      <c r="A745" s="120" t="s">
        <v>115</v>
      </c>
      <c r="B745" s="120"/>
      <c r="C745" s="120"/>
      <c r="D745" s="120"/>
      <c r="E745" s="120"/>
      <c r="F745" s="120"/>
      <c r="G745" s="120"/>
      <c r="H745" s="120"/>
      <c r="I745" s="83">
        <f>I5</f>
        <v>43801</v>
      </c>
      <c r="J745" s="195"/>
      <c r="K745" s="195"/>
      <c r="L745" s="195"/>
      <c r="M745" s="195"/>
      <c r="N745" s="195"/>
      <c r="O745" s="195"/>
    </row>
    <row r="746" spans="1:15">
      <c r="A746" s="120"/>
      <c r="B746" s="120"/>
      <c r="C746" s="120"/>
      <c r="D746" s="120"/>
      <c r="E746" s="120"/>
      <c r="F746" s="120"/>
      <c r="G746" s="120"/>
      <c r="H746" s="120"/>
      <c r="I746" s="120"/>
      <c r="J746" s="195"/>
      <c r="K746" s="195"/>
      <c r="L746" s="195"/>
      <c r="M746" s="195"/>
      <c r="N746" s="195"/>
      <c r="O746" s="195"/>
    </row>
    <row r="747" spans="1:15">
      <c r="A747" s="120" t="s">
        <v>116</v>
      </c>
      <c r="B747" s="120"/>
      <c r="C747" s="84" t="str">
        <f>VLOOKUP(I744,AVANCEVENDEDOR!$A$2:$R$35,3,0)</f>
        <v xml:space="preserve"> MILLA CHAMBI MARIA ELENA</v>
      </c>
      <c r="D747" s="120"/>
      <c r="E747" s="120"/>
      <c r="F747" s="120"/>
      <c r="G747" s="120"/>
      <c r="H747" s="120"/>
      <c r="I747" s="120"/>
      <c r="J747" s="195"/>
      <c r="K747" s="195"/>
      <c r="L747" s="195"/>
      <c r="M747" s="195"/>
      <c r="N747" s="195"/>
      <c r="O747" s="195"/>
    </row>
    <row r="748" spans="1:15">
      <c r="A748" s="120"/>
      <c r="B748" s="120"/>
      <c r="C748" s="120"/>
      <c r="D748" s="120"/>
      <c r="E748" s="120"/>
      <c r="F748" s="120"/>
      <c r="G748" s="120"/>
      <c r="H748" s="120"/>
      <c r="I748" s="84" t="s">
        <v>118</v>
      </c>
      <c r="J748" s="195"/>
      <c r="K748" s="195"/>
      <c r="L748" s="195"/>
      <c r="M748" s="195"/>
      <c r="N748" s="195"/>
      <c r="O748" s="195"/>
    </row>
    <row r="749" spans="1:15">
      <c r="A749" s="120"/>
      <c r="B749" s="120"/>
      <c r="C749" s="120"/>
      <c r="D749" s="120"/>
      <c r="E749" s="120"/>
      <c r="F749" s="120"/>
      <c r="G749" s="120"/>
      <c r="H749" s="120"/>
      <c r="I749" s="120"/>
      <c r="J749" s="195"/>
      <c r="K749" s="195"/>
      <c r="L749" s="195"/>
      <c r="M749" s="195"/>
      <c r="N749" s="195"/>
      <c r="O749" s="195"/>
    </row>
    <row r="750" spans="1:15">
      <c r="A750" s="120" t="s">
        <v>119</v>
      </c>
      <c r="B750" s="120"/>
      <c r="C750" s="120"/>
      <c r="D750" s="120"/>
      <c r="E750" s="120"/>
      <c r="F750" s="120"/>
      <c r="G750" s="120"/>
      <c r="H750" s="120"/>
      <c r="I750" s="181">
        <v>850</v>
      </c>
      <c r="J750" s="195"/>
      <c r="K750" s="195"/>
      <c r="L750" s="195"/>
      <c r="M750" s="195"/>
      <c r="N750" s="195"/>
      <c r="O750" s="195"/>
    </row>
    <row r="751" spans="1:15">
      <c r="A751" s="120" t="s">
        <v>120</v>
      </c>
      <c r="B751" s="120"/>
      <c r="C751" s="120"/>
      <c r="D751" s="120"/>
      <c r="E751" s="120"/>
      <c r="F751" s="86" t="s">
        <v>272</v>
      </c>
      <c r="G751" s="86" t="s">
        <v>122</v>
      </c>
      <c r="H751" s="86" t="s">
        <v>123</v>
      </c>
      <c r="I751" s="181">
        <v>400</v>
      </c>
      <c r="J751" s="195"/>
      <c r="K751" s="195"/>
      <c r="L751" s="195"/>
      <c r="M751" s="195"/>
      <c r="N751" s="195"/>
      <c r="O751" s="195"/>
    </row>
    <row r="752" spans="1:15">
      <c r="A752" s="120" t="s">
        <v>291</v>
      </c>
      <c r="B752" s="120"/>
      <c r="C752" s="120"/>
      <c r="D752" s="120"/>
      <c r="E752" s="120"/>
      <c r="F752" s="182">
        <v>0.5</v>
      </c>
      <c r="G752" s="182">
        <f>IF(I744=13,80,85)</f>
        <v>85</v>
      </c>
      <c r="H752" s="182">
        <f>+H765</f>
        <v>100.08161932804768</v>
      </c>
      <c r="I752" s="181">
        <f>IF(H752&gt;=G752,E765*F752%,0)</f>
        <v>1382.2952499999999</v>
      </c>
      <c r="J752" s="195"/>
      <c r="K752" s="195"/>
      <c r="L752" s="195"/>
      <c r="M752" s="195"/>
      <c r="N752" s="195"/>
      <c r="O752" s="195"/>
    </row>
    <row r="753" spans="1:15">
      <c r="A753" s="120" t="str">
        <f>CONCATENATE("COM. MOROSIDAD AL ",G753,"%")</f>
        <v>COM. MOROSIDAD AL 5%</v>
      </c>
      <c r="B753" s="120"/>
      <c r="C753" s="120"/>
      <c r="D753" s="120"/>
      <c r="E753" s="120"/>
      <c r="F753" s="182">
        <v>0.3</v>
      </c>
      <c r="G753" s="182">
        <v>5</v>
      </c>
      <c r="H753" s="182">
        <f>+H768</f>
        <v>4.53</v>
      </c>
      <c r="I753" s="181">
        <f>+IF(H753&lt;=G753,E765*F753%,0)</f>
        <v>829.37715000000003</v>
      </c>
      <c r="J753" s="195"/>
      <c r="K753" s="195"/>
      <c r="L753" s="195"/>
      <c r="M753" s="195"/>
      <c r="N753" s="195"/>
      <c r="O753" s="195"/>
    </row>
    <row r="754" spans="1:15">
      <c r="A754" s="120" t="s">
        <v>292</v>
      </c>
      <c r="B754" s="120"/>
      <c r="C754" s="120"/>
      <c r="D754" s="120"/>
      <c r="E754" s="120"/>
      <c r="F754" s="182">
        <f>IF(I744=3,0.1,0.2)</f>
        <v>0.2</v>
      </c>
      <c r="G754" s="182">
        <f>IF(I744=23,50,85)</f>
        <v>85</v>
      </c>
      <c r="H754" s="182">
        <f>+H772</f>
        <v>56.25</v>
      </c>
      <c r="I754" s="181">
        <f>IF(H754&gt;=G754,E765*F754%,0)</f>
        <v>0</v>
      </c>
      <c r="J754" s="195"/>
      <c r="K754" s="195"/>
      <c r="L754" s="195"/>
      <c r="M754" s="195"/>
      <c r="N754" s="195"/>
      <c r="O754" s="195"/>
    </row>
    <row r="755" spans="1:15">
      <c r="A755" s="120" t="str">
        <f>IF(I744=23,"COMISION POR TIEMPODE VIAJE",IF(I744=22,"BONIFICACION"," "))</f>
        <v xml:space="preserve"> </v>
      </c>
      <c r="B755" s="120"/>
      <c r="C755" s="120"/>
      <c r="D755" s="120"/>
      <c r="E755" s="120"/>
      <c r="F755" s="120"/>
      <c r="G755" s="120"/>
      <c r="H755" s="182"/>
      <c r="I755" s="181" t="str">
        <f>IF(I744=23,300,IF(I744=22,400," "))</f>
        <v xml:space="preserve"> </v>
      </c>
      <c r="J755" s="195"/>
      <c r="K755" s="195"/>
      <c r="L755" s="195"/>
      <c r="M755" s="195"/>
      <c r="N755" s="195"/>
      <c r="O755" s="195"/>
    </row>
    <row r="756" spans="1:15">
      <c r="A756" s="189" t="s">
        <v>274</v>
      </c>
      <c r="B756" s="189"/>
      <c r="C756" s="189"/>
      <c r="D756" s="189"/>
      <c r="E756" s="189"/>
      <c r="F756" s="374" t="s">
        <v>275</v>
      </c>
      <c r="G756" s="374"/>
      <c r="H756" s="375" t="s">
        <v>276</v>
      </c>
      <c r="I756" s="193"/>
      <c r="J756" s="195"/>
      <c r="K756" s="195"/>
      <c r="L756" s="195"/>
      <c r="M756" s="195"/>
      <c r="N756" s="195"/>
      <c r="O756" s="195"/>
    </row>
    <row r="757" spans="1:15">
      <c r="A757" s="189"/>
      <c r="B757" s="189"/>
      <c r="C757" s="189"/>
      <c r="D757" s="189"/>
      <c r="E757" s="189"/>
      <c r="F757" s="374" t="s">
        <v>277</v>
      </c>
      <c r="G757" s="374"/>
      <c r="H757" s="375"/>
      <c r="I757" s="376">
        <v>0</v>
      </c>
      <c r="J757" s="195"/>
      <c r="K757" s="195"/>
      <c r="L757" s="195"/>
      <c r="M757" s="195"/>
      <c r="N757" s="195"/>
      <c r="O757" s="195"/>
    </row>
    <row r="758" spans="1:15">
      <c r="A758" s="189"/>
      <c r="B758" s="197"/>
      <c r="C758" s="197"/>
      <c r="D758" s="197"/>
      <c r="E758" s="197"/>
      <c r="F758" s="374" t="s">
        <v>278</v>
      </c>
      <c r="G758" s="374"/>
      <c r="H758" s="375"/>
      <c r="I758" s="376"/>
      <c r="J758" s="195"/>
      <c r="K758" s="195"/>
      <c r="L758" s="195"/>
      <c r="M758" s="195"/>
      <c r="N758" s="195"/>
      <c r="O758" s="195"/>
    </row>
    <row r="759" spans="1:15">
      <c r="A759" s="189"/>
      <c r="B759" s="197"/>
      <c r="C759" s="197"/>
      <c r="D759" s="197"/>
      <c r="E759" s="197"/>
      <c r="F759" s="374" t="s">
        <v>279</v>
      </c>
      <c r="G759" s="374"/>
      <c r="H759" s="375"/>
      <c r="I759" s="198"/>
      <c r="J759" s="195"/>
      <c r="K759" s="195"/>
      <c r="L759" s="195"/>
      <c r="M759" s="195"/>
      <c r="N759" s="195"/>
      <c r="O759" s="195"/>
    </row>
    <row r="760" spans="1:15">
      <c r="A760" s="120"/>
      <c r="B760" s="84" t="str">
        <f>IF(I744=13,"Remuneracion Extra"," ")</f>
        <v xml:space="preserve"> </v>
      </c>
      <c r="C760" s="120"/>
      <c r="D760" s="120"/>
      <c r="E760" s="120"/>
      <c r="F760" s="120"/>
      <c r="G760" s="120"/>
      <c r="H760" s="120"/>
      <c r="I760" s="183"/>
      <c r="J760" s="195"/>
      <c r="K760" s="195"/>
      <c r="L760" s="195"/>
      <c r="M760" s="195"/>
      <c r="N760" s="195"/>
      <c r="O760" s="195"/>
    </row>
    <row r="761" spans="1:15" ht="15.75">
      <c r="A761" s="184" t="s">
        <v>129</v>
      </c>
      <c r="B761" s="185"/>
      <c r="C761" s="185"/>
      <c r="D761" s="185"/>
      <c r="E761" s="185"/>
      <c r="F761" s="185"/>
      <c r="G761" s="185"/>
      <c r="H761" s="185"/>
      <c r="I761" s="186">
        <f>SUM(I750:I760)</f>
        <v>3461.6724000000004</v>
      </c>
      <c r="J761" s="195"/>
      <c r="K761" s="195"/>
      <c r="L761" s="195"/>
      <c r="M761" s="195"/>
      <c r="N761" s="195"/>
      <c r="O761" s="195"/>
    </row>
    <row r="762" spans="1:15">
      <c r="A762" s="120"/>
      <c r="B762" s="120"/>
      <c r="C762" s="120"/>
      <c r="D762" s="120"/>
      <c r="E762" s="120"/>
      <c r="F762" s="120"/>
      <c r="G762" s="120"/>
      <c r="H762" s="120"/>
      <c r="I762" s="120"/>
      <c r="J762" s="195"/>
      <c r="K762" s="195"/>
      <c r="L762" s="195"/>
      <c r="M762" s="195"/>
      <c r="N762" s="195"/>
      <c r="O762" s="195"/>
    </row>
    <row r="763" spans="1:15">
      <c r="A763" s="121" t="s">
        <v>130</v>
      </c>
      <c r="B763" s="121"/>
      <c r="C763" s="121"/>
      <c r="D763" s="121"/>
      <c r="E763" s="121"/>
      <c r="F763" s="121"/>
      <c r="G763" s="121"/>
      <c r="H763" s="121"/>
      <c r="I763" s="121"/>
      <c r="J763" s="195"/>
      <c r="K763" s="195"/>
      <c r="L763" s="195"/>
      <c r="M763" s="195"/>
      <c r="N763" s="195"/>
      <c r="O763" s="195"/>
    </row>
    <row r="764" spans="1:15">
      <c r="A764" s="121"/>
      <c r="B764" s="121" t="s">
        <v>131</v>
      </c>
      <c r="C764" s="121"/>
      <c r="D764" s="121"/>
      <c r="E764" s="187">
        <f>VLOOKUP(I744,AVANCEVENDEDOR!$A$2:$R$35,7,0)</f>
        <v>276233.59000000003</v>
      </c>
      <c r="F764" s="187"/>
      <c r="G764" s="121"/>
      <c r="H764" s="121"/>
      <c r="I764" s="121"/>
      <c r="J764" s="195"/>
      <c r="K764" s="195"/>
      <c r="L764" s="195"/>
      <c r="M764" s="199"/>
      <c r="N764" s="200"/>
      <c r="O764" s="195"/>
    </row>
    <row r="765" spans="1:15">
      <c r="A765" s="121"/>
      <c r="B765" s="121" t="s">
        <v>132</v>
      </c>
      <c r="C765" s="121"/>
      <c r="D765" s="121"/>
      <c r="E765" s="187">
        <f>IF(I744=27,(VLOOKUP(I744,AVANCEVENDEDOR!$A$2:$R$35,6,0)-I741),(VLOOKUP(I744,AVANCEVENDEDOR!$A$2:$R$35,6,0)))</f>
        <v>276459.05</v>
      </c>
      <c r="F765" s="187"/>
      <c r="G765" s="188" t="s">
        <v>133</v>
      </c>
      <c r="H765" s="187">
        <f>+E765*100/E764</f>
        <v>100.08161932804768</v>
      </c>
      <c r="I765" s="121"/>
      <c r="J765" s="195"/>
      <c r="K765" s="121"/>
      <c r="L765" s="201"/>
      <c r="M765" s="195"/>
      <c r="N765" s="195"/>
      <c r="O765" s="195"/>
    </row>
    <row r="766" spans="1:15">
      <c r="A766" s="121"/>
      <c r="B766" s="121"/>
      <c r="C766" s="121"/>
      <c r="D766" s="121"/>
      <c r="E766" s="121"/>
      <c r="F766" s="121"/>
      <c r="G766" s="188"/>
      <c r="H766" s="121"/>
      <c r="I766" s="121"/>
      <c r="J766" s="195"/>
      <c r="K766" s="195"/>
      <c r="L766" s="195"/>
      <c r="M766" s="195"/>
      <c r="N766" s="195"/>
      <c r="O766" s="195"/>
    </row>
    <row r="767" spans="1:15">
      <c r="A767" s="121"/>
      <c r="B767" s="121" t="s">
        <v>134</v>
      </c>
      <c r="C767" s="121"/>
      <c r="D767" s="121"/>
      <c r="E767" s="187">
        <f>VLOOKUP(I744,AVANCEVENDEDOR!$A$2:$R$35,10,0)</f>
        <v>691894.11</v>
      </c>
      <c r="F767" s="187"/>
      <c r="G767" s="188"/>
      <c r="H767" s="121"/>
      <c r="I767" s="121"/>
      <c r="J767" s="195"/>
      <c r="K767" s="195"/>
      <c r="L767" s="195"/>
      <c r="M767" s="195"/>
      <c r="N767" s="195"/>
      <c r="O767" s="195"/>
    </row>
    <row r="768" spans="1:15">
      <c r="A768" s="121"/>
      <c r="B768" s="121" t="s">
        <v>135</v>
      </c>
      <c r="C768" s="121"/>
      <c r="D768" s="121"/>
      <c r="E768" s="187">
        <f>VLOOKUP(I744,AVANCEVENDEDOR!$A$2:$R$35,11,0)</f>
        <v>31381.71</v>
      </c>
      <c r="F768" s="187"/>
      <c r="G768" s="188" t="s">
        <v>136</v>
      </c>
      <c r="H768" s="187">
        <f>VLOOKUP(I744,AVANCEVENDEDOR!$A$2:$R$35,15,0)</f>
        <v>4.53</v>
      </c>
      <c r="I768" s="121"/>
      <c r="J768" s="195"/>
      <c r="K768" s="195"/>
      <c r="L768" s="195"/>
      <c r="M768" s="195"/>
      <c r="N768" s="195"/>
      <c r="O768" s="195"/>
    </row>
    <row r="769" spans="1:15">
      <c r="A769" s="121"/>
      <c r="B769" s="121" t="s">
        <v>137</v>
      </c>
      <c r="C769" s="121"/>
      <c r="D769" s="121"/>
      <c r="E769" s="187">
        <f>VLOOKUP(I744,AVANCEVENDEDOR!$A$2:$R$35,9,0)</f>
        <v>327057.65000000002</v>
      </c>
      <c r="F769" s="187"/>
      <c r="G769" s="188"/>
      <c r="H769" s="121"/>
      <c r="I769" s="121"/>
      <c r="J769" s="195"/>
      <c r="K769" s="195"/>
      <c r="L769" s="195"/>
      <c r="M769" s="195"/>
      <c r="N769" s="195"/>
      <c r="O769" s="195"/>
    </row>
    <row r="770" spans="1:15">
      <c r="A770" s="121"/>
      <c r="B770" s="121"/>
      <c r="C770" s="121"/>
      <c r="D770" s="121"/>
      <c r="E770" s="121"/>
      <c r="F770" s="121"/>
      <c r="G770" s="188"/>
      <c r="H770" s="121"/>
      <c r="I770" s="121"/>
      <c r="J770" s="195"/>
      <c r="K770" s="195"/>
      <c r="L770" s="195"/>
      <c r="M770" s="195"/>
      <c r="N770" s="195"/>
      <c r="O770" s="195"/>
    </row>
    <row r="771" spans="1:15">
      <c r="A771" s="121"/>
      <c r="B771" s="121" t="s">
        <v>280</v>
      </c>
      <c r="C771" s="121"/>
      <c r="D771" s="121"/>
      <c r="E771" s="187">
        <f>VLOOKUP(I744,AVANCEVENDEDOR!$A$2:$R$35,13,0)</f>
        <v>80</v>
      </c>
      <c r="F771" s="187"/>
      <c r="G771" s="121"/>
      <c r="H771" s="187"/>
      <c r="I771" s="121"/>
      <c r="J771" s="195"/>
      <c r="K771" s="195"/>
      <c r="L771" s="195"/>
      <c r="M771" s="195"/>
      <c r="N771" s="195"/>
      <c r="O771" s="195"/>
    </row>
    <row r="772" spans="1:15">
      <c r="A772" s="121"/>
      <c r="B772" s="121" t="s">
        <v>281</v>
      </c>
      <c r="C772" s="121"/>
      <c r="D772" s="121"/>
      <c r="E772" s="187">
        <f>VLOOKUP(I744,AVANCEVENDEDOR!$A$2:$R$35,14,0)</f>
        <v>45</v>
      </c>
      <c r="F772" s="187"/>
      <c r="G772" s="188" t="s">
        <v>140</v>
      </c>
      <c r="H772" s="187">
        <f>+E772*100/E771</f>
        <v>56.25</v>
      </c>
      <c r="I772" s="121"/>
      <c r="J772" s="195"/>
      <c r="K772" s="195"/>
      <c r="L772" s="195"/>
      <c r="M772" s="195"/>
      <c r="N772" s="195"/>
      <c r="O772" s="195"/>
    </row>
    <row r="773" spans="1:15">
      <c r="J773" s="195"/>
      <c r="K773" s="195"/>
      <c r="L773" s="195"/>
      <c r="M773" s="195"/>
      <c r="N773" s="195"/>
      <c r="O773" s="195"/>
    </row>
    <row r="774" spans="1:15" hidden="1">
      <c r="F774">
        <v>99</v>
      </c>
    </row>
    <row r="775" spans="1:15" hidden="1">
      <c r="F775">
        <v>100</v>
      </c>
      <c r="G775">
        <v>100</v>
      </c>
    </row>
    <row r="776" spans="1:15" hidden="1">
      <c r="F776">
        <v>101</v>
      </c>
      <c r="G776">
        <v>100</v>
      </c>
    </row>
    <row r="777" spans="1:15" hidden="1">
      <c r="F777">
        <v>102</v>
      </c>
      <c r="G777">
        <v>100</v>
      </c>
    </row>
    <row r="778" spans="1:15" hidden="1">
      <c r="F778">
        <v>103</v>
      </c>
      <c r="G778">
        <v>100</v>
      </c>
    </row>
    <row r="779" spans="1:15" hidden="1">
      <c r="F779">
        <v>104</v>
      </c>
      <c r="G779">
        <v>100</v>
      </c>
    </row>
    <row r="780" spans="1:15" hidden="1">
      <c r="F780">
        <v>105</v>
      </c>
      <c r="G780">
        <v>100</v>
      </c>
    </row>
    <row r="781" spans="1:15" hidden="1">
      <c r="F781">
        <v>106</v>
      </c>
      <c r="G781">
        <v>200</v>
      </c>
    </row>
    <row r="782" spans="1:15" hidden="1">
      <c r="F782">
        <v>107</v>
      </c>
      <c r="G782">
        <v>200</v>
      </c>
    </row>
    <row r="783" spans="1:15" hidden="1">
      <c r="F783">
        <v>108</v>
      </c>
      <c r="G783">
        <v>200</v>
      </c>
    </row>
    <row r="784" spans="1:15" hidden="1">
      <c r="F784">
        <v>109</v>
      </c>
      <c r="G784">
        <v>200</v>
      </c>
    </row>
    <row r="785" spans="6:7" hidden="1">
      <c r="F785">
        <v>110</v>
      </c>
      <c r="G785">
        <v>200</v>
      </c>
    </row>
    <row r="786" spans="6:7" hidden="1">
      <c r="F786">
        <v>111</v>
      </c>
      <c r="G786">
        <v>200</v>
      </c>
    </row>
    <row r="787" spans="6:7" hidden="1">
      <c r="F787">
        <v>112</v>
      </c>
      <c r="G787">
        <v>200</v>
      </c>
    </row>
    <row r="788" spans="6:7" hidden="1">
      <c r="F788">
        <v>113</v>
      </c>
      <c r="G788">
        <v>200</v>
      </c>
    </row>
    <row r="789" spans="6:7" hidden="1">
      <c r="F789">
        <v>114</v>
      </c>
      <c r="G789">
        <v>200</v>
      </c>
    </row>
    <row r="790" spans="6:7" hidden="1">
      <c r="F790">
        <v>115</v>
      </c>
      <c r="G790">
        <v>300</v>
      </c>
    </row>
    <row r="791" spans="6:7" hidden="1">
      <c r="F791">
        <v>116</v>
      </c>
      <c r="G791">
        <v>300</v>
      </c>
    </row>
    <row r="792" spans="6:7" hidden="1">
      <c r="F792">
        <v>117</v>
      </c>
      <c r="G792">
        <v>300</v>
      </c>
    </row>
    <row r="793" spans="6:7" hidden="1">
      <c r="F793">
        <v>118</v>
      </c>
      <c r="G793">
        <v>300</v>
      </c>
    </row>
    <row r="794" spans="6:7" hidden="1">
      <c r="F794">
        <v>119</v>
      </c>
      <c r="G794">
        <v>300</v>
      </c>
    </row>
    <row r="795" spans="6:7" hidden="1">
      <c r="F795">
        <v>120</v>
      </c>
      <c r="G795">
        <v>300</v>
      </c>
    </row>
    <row r="796" spans="6:7" hidden="1">
      <c r="F796">
        <v>121</v>
      </c>
      <c r="G796">
        <v>400</v>
      </c>
    </row>
    <row r="797" spans="6:7" hidden="1">
      <c r="F797">
        <v>122</v>
      </c>
      <c r="G797">
        <v>400</v>
      </c>
    </row>
    <row r="815" spans="1:15">
      <c r="A815" s="84" t="s">
        <v>112</v>
      </c>
      <c r="B815" s="120"/>
      <c r="C815" s="120"/>
      <c r="D815" s="120"/>
      <c r="E815" s="120"/>
      <c r="F815" s="120"/>
      <c r="G815" s="120"/>
      <c r="H815" s="120"/>
      <c r="I815" s="189"/>
      <c r="J815" s="195"/>
      <c r="K815" s="195"/>
      <c r="L815" s="195"/>
      <c r="M815" s="195"/>
      <c r="N815" s="195"/>
      <c r="O815" s="195"/>
    </row>
    <row r="816" spans="1:15">
      <c r="A816" s="84" t="s">
        <v>113</v>
      </c>
      <c r="B816" s="120"/>
      <c r="C816" s="120"/>
      <c r="D816" s="120"/>
      <c r="E816" s="120"/>
      <c r="F816" s="120"/>
      <c r="G816" s="120"/>
      <c r="H816" s="120"/>
      <c r="I816" s="179" t="str">
        <f>+CONCATENATE("20142_",I818)</f>
        <v>20142_23</v>
      </c>
      <c r="J816" s="195"/>
      <c r="K816" s="195"/>
      <c r="L816" s="195"/>
      <c r="M816" s="195"/>
      <c r="N816" s="195"/>
      <c r="O816" s="195"/>
    </row>
    <row r="817" spans="1:15">
      <c r="A817" s="84" t="s">
        <v>114</v>
      </c>
      <c r="B817" s="120"/>
      <c r="C817" s="120"/>
      <c r="D817" s="120"/>
      <c r="E817" s="120"/>
      <c r="F817" s="120"/>
      <c r="G817" s="120"/>
      <c r="H817" s="120"/>
      <c r="I817" s="120"/>
      <c r="J817" s="195"/>
      <c r="K817" s="195"/>
      <c r="L817" s="195"/>
      <c r="M817" s="195"/>
      <c r="N817" s="195"/>
      <c r="O817" s="195"/>
    </row>
    <row r="818" spans="1:15">
      <c r="A818" s="120"/>
      <c r="B818" s="120"/>
      <c r="C818" s="120"/>
      <c r="D818" s="120"/>
      <c r="E818" s="120"/>
      <c r="F818" s="120"/>
      <c r="G818" s="120"/>
      <c r="H818" s="120"/>
      <c r="I818" s="191">
        <v>23</v>
      </c>
      <c r="J818" s="195"/>
      <c r="K818" s="195"/>
      <c r="L818" s="195"/>
      <c r="M818" s="195"/>
      <c r="N818" s="195"/>
      <c r="O818" s="195"/>
    </row>
    <row r="819" spans="1:15">
      <c r="A819" s="120" t="s">
        <v>115</v>
      </c>
      <c r="B819" s="120"/>
      <c r="C819" s="120"/>
      <c r="D819" s="120"/>
      <c r="E819" s="120"/>
      <c r="F819" s="120"/>
      <c r="G819" s="120"/>
      <c r="H819" s="120"/>
      <c r="I819" s="83">
        <f>I5</f>
        <v>43801</v>
      </c>
      <c r="J819" s="195"/>
      <c r="K819" s="195"/>
      <c r="L819" s="195"/>
      <c r="M819" s="195"/>
      <c r="N819" s="195"/>
      <c r="O819" s="195"/>
    </row>
    <row r="820" spans="1:15">
      <c r="A820" s="120"/>
      <c r="B820" s="120"/>
      <c r="C820" s="120"/>
      <c r="D820" s="120"/>
      <c r="E820" s="120"/>
      <c r="F820" s="120"/>
      <c r="G820" s="120"/>
      <c r="H820" s="120"/>
      <c r="I820" s="120"/>
      <c r="J820" s="195"/>
      <c r="K820" s="195"/>
      <c r="L820" s="195"/>
      <c r="M820" s="195"/>
      <c r="N820" s="195"/>
      <c r="O820" s="195"/>
    </row>
    <row r="821" spans="1:15">
      <c r="A821" s="120" t="s">
        <v>116</v>
      </c>
      <c r="B821" s="120"/>
      <c r="C821" s="84" t="str">
        <f>VLOOKUP(I818,AVANCEVENDEDOR!$A$2:$R$35,3,0)</f>
        <v>DOLMOS PACHECO CARMEN ROSA</v>
      </c>
      <c r="D821" s="120"/>
      <c r="E821" s="120"/>
      <c r="F821" s="120"/>
      <c r="G821" s="120"/>
      <c r="H821" s="120"/>
      <c r="I821" s="120"/>
      <c r="J821" s="195"/>
      <c r="K821" s="195"/>
      <c r="L821" s="195"/>
      <c r="M821" s="195"/>
      <c r="N821" s="195"/>
      <c r="O821" s="195"/>
    </row>
    <row r="822" spans="1:15">
      <c r="A822" s="120"/>
      <c r="B822" s="120"/>
      <c r="C822" s="120"/>
      <c r="D822" s="120"/>
      <c r="E822" s="120"/>
      <c r="F822" s="120"/>
      <c r="G822" s="120"/>
      <c r="H822" s="120"/>
      <c r="I822" s="84" t="s">
        <v>118</v>
      </c>
      <c r="J822" s="195"/>
      <c r="K822" s="195"/>
      <c r="L822" s="195"/>
      <c r="M822" s="195"/>
      <c r="N822" s="195"/>
      <c r="O822" s="195"/>
    </row>
    <row r="823" spans="1:15">
      <c r="A823" s="120"/>
      <c r="B823" s="120"/>
      <c r="C823" s="120"/>
      <c r="D823" s="120"/>
      <c r="E823" s="120"/>
      <c r="F823" s="120"/>
      <c r="G823" s="120"/>
      <c r="H823" s="120"/>
      <c r="I823" s="120"/>
      <c r="J823" s="195"/>
      <c r="K823" s="195"/>
      <c r="L823" s="195"/>
      <c r="M823" s="195"/>
      <c r="N823" s="195"/>
      <c r="O823" s="195"/>
    </row>
    <row r="824" spans="1:15">
      <c r="A824" s="120" t="s">
        <v>119</v>
      </c>
      <c r="B824" s="120"/>
      <c r="C824" s="120"/>
      <c r="D824" s="120"/>
      <c r="E824" s="120"/>
      <c r="F824" s="120"/>
      <c r="G824" s="120"/>
      <c r="H824" s="120"/>
      <c r="I824" s="181">
        <v>850</v>
      </c>
      <c r="J824" s="195"/>
      <c r="K824" s="195"/>
      <c r="L824" s="195"/>
      <c r="M824" s="195"/>
      <c r="N824" s="195"/>
      <c r="O824" s="195"/>
    </row>
    <row r="825" spans="1:15">
      <c r="A825" s="120" t="s">
        <v>120</v>
      </c>
      <c r="B825" s="120"/>
      <c r="C825" s="120"/>
      <c r="D825" s="120"/>
      <c r="E825" s="120"/>
      <c r="F825" s="86" t="s">
        <v>272</v>
      </c>
      <c r="G825" s="86" t="s">
        <v>122</v>
      </c>
      <c r="H825" s="86" t="s">
        <v>123</v>
      </c>
      <c r="I825" s="181">
        <v>400</v>
      </c>
      <c r="J825" s="195"/>
      <c r="K825" s="195"/>
      <c r="L825" s="195"/>
      <c r="M825" s="195"/>
      <c r="N825" s="195"/>
      <c r="O825" s="195"/>
    </row>
    <row r="826" spans="1:15">
      <c r="A826" s="120" t="s">
        <v>291</v>
      </c>
      <c r="B826" s="120"/>
      <c r="C826" s="120"/>
      <c r="D826" s="120"/>
      <c r="E826" s="120"/>
      <c r="F826" s="182">
        <v>0.5</v>
      </c>
      <c r="G826" s="182">
        <f>IF(I818=13,80,85)</f>
        <v>85</v>
      </c>
      <c r="H826" s="182">
        <f>+H839</f>
        <v>62.493318067682345</v>
      </c>
      <c r="I826" s="181">
        <f>IF(H826&gt;=G826,E839*F826%,0)</f>
        <v>0</v>
      </c>
      <c r="J826" s="195"/>
      <c r="K826" s="195"/>
      <c r="L826" s="195"/>
      <c r="M826" s="195"/>
      <c r="N826" s="195"/>
      <c r="O826" s="195"/>
    </row>
    <row r="827" spans="1:15">
      <c r="A827" s="120" t="str">
        <f>CONCATENATE("COM. MOROSIDAD AL ",G827,"%")</f>
        <v>COM. MOROSIDAD AL 5%</v>
      </c>
      <c r="B827" s="120"/>
      <c r="C827" s="120"/>
      <c r="D827" s="120"/>
      <c r="E827" s="120"/>
      <c r="F827" s="182">
        <v>0.3</v>
      </c>
      <c r="G827" s="182">
        <v>5</v>
      </c>
      <c r="H827" s="182">
        <f>+H842</f>
        <v>11.61</v>
      </c>
      <c r="I827" s="181">
        <f>+IF(H827&lt;=G827,E839*F827%,0)</f>
        <v>0</v>
      </c>
      <c r="J827" s="195"/>
      <c r="K827" s="195"/>
      <c r="L827" s="195"/>
      <c r="M827" s="195"/>
      <c r="N827" s="195"/>
      <c r="O827" s="195"/>
    </row>
    <row r="828" spans="1:15">
      <c r="A828" s="120" t="s">
        <v>292</v>
      </c>
      <c r="B828" s="120"/>
      <c r="C828" s="120"/>
      <c r="D828" s="120"/>
      <c r="E828" s="120"/>
      <c r="F828" s="182">
        <f>IF(I818=3,0.1,0.2)</f>
        <v>0.2</v>
      </c>
      <c r="G828" s="182">
        <f>IF(I818=23,50,85)</f>
        <v>50</v>
      </c>
      <c r="H828" s="182">
        <f>+H846</f>
        <v>58.333333333333336</v>
      </c>
      <c r="I828" s="181">
        <f>IF(H828&gt;=G828,E839*F828%,0)</f>
        <v>285.53432000000004</v>
      </c>
      <c r="J828" s="195"/>
      <c r="K828" s="195"/>
      <c r="L828" s="195"/>
      <c r="M828" s="195"/>
      <c r="N828" s="195"/>
      <c r="O828" s="195"/>
    </row>
    <row r="829" spans="1:15">
      <c r="A829" s="120" t="str">
        <f>IF(I818=23,"COMISION POR TIEMPODE VIAJE",IF(I818=22,"BONIFICACION"," "))</f>
        <v>COMISION POR TIEMPODE VIAJE</v>
      </c>
      <c r="B829" s="120"/>
      <c r="C829" s="120"/>
      <c r="D829" s="120"/>
      <c r="E829" s="120"/>
      <c r="F829" s="120"/>
      <c r="G829" s="120"/>
      <c r="H829" s="182"/>
      <c r="I829" s="181">
        <f>IF(I818=23,300,IF(I818=22,400," "))</f>
        <v>300</v>
      </c>
      <c r="J829" s="195"/>
      <c r="K829" s="195"/>
      <c r="L829" s="195"/>
      <c r="M829" s="195"/>
      <c r="N829" s="195"/>
      <c r="O829" s="195"/>
    </row>
    <row r="830" spans="1:15">
      <c r="A830" s="189" t="s">
        <v>274</v>
      </c>
      <c r="B830" s="189"/>
      <c r="C830" s="189"/>
      <c r="D830" s="189"/>
      <c r="E830" s="189"/>
      <c r="F830" s="374" t="s">
        <v>275</v>
      </c>
      <c r="G830" s="374"/>
      <c r="H830" s="375" t="s">
        <v>276</v>
      </c>
      <c r="I830" s="193"/>
      <c r="J830" s="195"/>
      <c r="K830" s="195"/>
      <c r="L830" s="195"/>
      <c r="M830" s="195"/>
      <c r="N830" s="195"/>
      <c r="O830" s="195"/>
    </row>
    <row r="831" spans="1:15">
      <c r="A831" s="189"/>
      <c r="B831" s="189"/>
      <c r="C831" s="189"/>
      <c r="D831" s="189"/>
      <c r="E831" s="189"/>
      <c r="F831" s="374" t="s">
        <v>277</v>
      </c>
      <c r="G831" s="374"/>
      <c r="H831" s="375"/>
      <c r="I831" s="376">
        <v>0</v>
      </c>
      <c r="J831" s="195"/>
      <c r="K831" s="195"/>
      <c r="L831" s="195"/>
      <c r="M831" s="195"/>
      <c r="N831" s="195"/>
      <c r="O831" s="195"/>
    </row>
    <row r="832" spans="1:15">
      <c r="A832" s="189"/>
      <c r="B832" s="197"/>
      <c r="C832" s="197"/>
      <c r="D832" s="197"/>
      <c r="E832" s="197"/>
      <c r="F832" s="374" t="s">
        <v>278</v>
      </c>
      <c r="G832" s="374"/>
      <c r="H832" s="375"/>
      <c r="I832" s="376"/>
      <c r="J832" s="195"/>
      <c r="K832" s="195"/>
      <c r="L832" s="195"/>
      <c r="M832" s="195"/>
      <c r="N832" s="195"/>
      <c r="O832" s="195"/>
    </row>
    <row r="833" spans="1:15">
      <c r="A833" s="189"/>
      <c r="B833" s="197"/>
      <c r="C833" s="197"/>
      <c r="D833" s="197"/>
      <c r="E833" s="197"/>
      <c r="F833" s="374" t="s">
        <v>279</v>
      </c>
      <c r="G833" s="374"/>
      <c r="H833" s="375"/>
      <c r="I833" s="198"/>
      <c r="J833" s="195"/>
      <c r="K833" s="195"/>
      <c r="L833" s="195"/>
      <c r="M833" s="195"/>
      <c r="N833" s="195"/>
      <c r="O833" s="195"/>
    </row>
    <row r="834" spans="1:15">
      <c r="A834" s="120"/>
      <c r="B834" s="84" t="str">
        <f>IF(I818=13,"Remuneracion Extra"," ")</f>
        <v xml:space="preserve"> </v>
      </c>
      <c r="C834" s="120"/>
      <c r="D834" s="120"/>
      <c r="E834" s="120"/>
      <c r="F834" s="120"/>
      <c r="G834" s="120"/>
      <c r="H834" s="120"/>
      <c r="I834" s="183"/>
      <c r="J834" s="195"/>
      <c r="K834" s="195"/>
      <c r="L834" s="195"/>
      <c r="M834" s="195"/>
      <c r="N834" s="195"/>
      <c r="O834" s="195"/>
    </row>
    <row r="835" spans="1:15" ht="15.75">
      <c r="A835" s="184" t="s">
        <v>129</v>
      </c>
      <c r="B835" s="185"/>
      <c r="C835" s="185"/>
      <c r="D835" s="185"/>
      <c r="E835" s="185"/>
      <c r="F835" s="185"/>
      <c r="G835" s="185"/>
      <c r="H835" s="185"/>
      <c r="I835" s="186">
        <f>SUM(I824:I834)</f>
        <v>1835.53432</v>
      </c>
      <c r="J835" s="195"/>
      <c r="K835" s="195"/>
      <c r="L835" s="195"/>
      <c r="M835" s="195"/>
      <c r="N835" s="195"/>
      <c r="O835" s="195"/>
    </row>
    <row r="836" spans="1:15">
      <c r="A836" s="120"/>
      <c r="B836" s="120"/>
      <c r="C836" s="120"/>
      <c r="D836" s="120"/>
      <c r="E836" s="120"/>
      <c r="F836" s="120"/>
      <c r="G836" s="120"/>
      <c r="H836" s="120"/>
      <c r="I836" s="120"/>
      <c r="J836" s="195"/>
      <c r="K836" s="195"/>
      <c r="L836" s="195"/>
      <c r="M836" s="195"/>
      <c r="N836" s="195"/>
      <c r="O836" s="195"/>
    </row>
    <row r="837" spans="1:15">
      <c r="A837" s="121" t="s">
        <v>130</v>
      </c>
      <c r="B837" s="121"/>
      <c r="C837" s="121"/>
      <c r="D837" s="121"/>
      <c r="E837" s="121"/>
      <c r="F837" s="121"/>
      <c r="G837" s="121"/>
      <c r="H837" s="121"/>
      <c r="I837" s="121"/>
      <c r="J837" s="195"/>
      <c r="K837" s="195"/>
      <c r="L837" s="195"/>
      <c r="M837" s="195"/>
      <c r="N837" s="195"/>
      <c r="O837" s="195"/>
    </row>
    <row r="838" spans="1:15">
      <c r="A838" s="121"/>
      <c r="B838" s="121" t="s">
        <v>131</v>
      </c>
      <c r="C838" s="121"/>
      <c r="D838" s="121"/>
      <c r="E838" s="187">
        <f>VLOOKUP(I818,AVANCEVENDEDOR!$A$2:$R$35,7,0)</f>
        <v>228451.88</v>
      </c>
      <c r="F838" s="187"/>
      <c r="G838" s="121"/>
      <c r="H838" s="121"/>
      <c r="I838" s="121"/>
      <c r="J838" s="195"/>
      <c r="K838" s="195"/>
      <c r="L838" s="195"/>
      <c r="M838" s="199"/>
      <c r="N838" s="200"/>
      <c r="O838" s="195"/>
    </row>
    <row r="839" spans="1:15">
      <c r="A839" s="121"/>
      <c r="B839" s="121" t="s">
        <v>132</v>
      </c>
      <c r="C839" s="121"/>
      <c r="D839" s="121"/>
      <c r="E839" s="187">
        <f>IF(I818=27,(VLOOKUP(I818,AVANCEVENDEDOR!$A$2:$R$35,6,0)-I815),(VLOOKUP(I818,AVANCEVENDEDOR!$A$2:$R$35,6,0)))</f>
        <v>142767.16</v>
      </c>
      <c r="F839" s="187"/>
      <c r="G839" s="188" t="s">
        <v>133</v>
      </c>
      <c r="H839" s="187">
        <f>+E839*100/E838</f>
        <v>62.493318067682345</v>
      </c>
      <c r="I839" s="121"/>
      <c r="J839" s="195"/>
      <c r="K839" s="121"/>
      <c r="L839" s="201"/>
      <c r="M839" s="195"/>
      <c r="N839" s="195"/>
      <c r="O839" s="195"/>
    </row>
    <row r="840" spans="1:15">
      <c r="A840" s="121"/>
      <c r="B840" s="121"/>
      <c r="C840" s="121"/>
      <c r="D840" s="121"/>
      <c r="E840" s="121"/>
      <c r="F840" s="121"/>
      <c r="G840" s="188"/>
      <c r="H840" s="121"/>
      <c r="I840" s="121"/>
      <c r="J840" s="195"/>
      <c r="K840" s="195"/>
      <c r="L840" s="195"/>
      <c r="M840" s="195"/>
      <c r="N840" s="195"/>
      <c r="O840" s="195"/>
    </row>
    <row r="841" spans="1:15">
      <c r="A841" s="121"/>
      <c r="B841" s="121" t="s">
        <v>134</v>
      </c>
      <c r="C841" s="121"/>
      <c r="D841" s="121"/>
      <c r="E841" s="187">
        <f>VLOOKUP(I818,AVANCEVENDEDOR!$A$2:$R$35,10,0)</f>
        <v>467883.11</v>
      </c>
      <c r="F841" s="187"/>
      <c r="G841" s="188"/>
      <c r="H841" s="121"/>
      <c r="I841" s="121"/>
      <c r="J841" s="195"/>
      <c r="K841" s="195"/>
      <c r="L841" s="195"/>
      <c r="M841" s="195"/>
      <c r="N841" s="195"/>
      <c r="O841" s="195"/>
    </row>
    <row r="842" spans="1:15">
      <c r="A842" s="121"/>
      <c r="B842" s="121" t="s">
        <v>135</v>
      </c>
      <c r="C842" s="121"/>
      <c r="D842" s="121"/>
      <c r="E842" s="187">
        <f>VLOOKUP(I818,AVANCEVENDEDOR!$A$2:$R$35,11,0)</f>
        <v>54352.26</v>
      </c>
      <c r="F842" s="187"/>
      <c r="G842" s="188" t="s">
        <v>136</v>
      </c>
      <c r="H842" s="187">
        <f>VLOOKUP(I818,AVANCEVENDEDOR!$A$2:$R$35,15,0)</f>
        <v>11.61</v>
      </c>
      <c r="I842" s="121"/>
      <c r="J842" s="195"/>
      <c r="K842" s="195"/>
      <c r="L842" s="195"/>
      <c r="M842" s="195"/>
      <c r="N842" s="195"/>
      <c r="O842" s="195"/>
    </row>
    <row r="843" spans="1:15">
      <c r="A843" s="121"/>
      <c r="B843" s="121" t="s">
        <v>137</v>
      </c>
      <c r="C843" s="121"/>
      <c r="D843" s="121"/>
      <c r="E843" s="187">
        <f>VLOOKUP(I818,AVANCEVENDEDOR!$A$2:$R$35,9,0)</f>
        <v>266571.09999999998</v>
      </c>
      <c r="F843" s="187"/>
      <c r="G843" s="188"/>
      <c r="H843" s="121"/>
      <c r="I843" s="121"/>
      <c r="J843" s="195"/>
      <c r="K843" s="195"/>
      <c r="L843" s="195"/>
      <c r="M843" s="195"/>
      <c r="N843" s="195"/>
      <c r="O843" s="195"/>
    </row>
    <row r="844" spans="1:15">
      <c r="A844" s="121"/>
      <c r="B844" s="121"/>
      <c r="C844" s="121"/>
      <c r="D844" s="121"/>
      <c r="E844" s="121"/>
      <c r="F844" s="121"/>
      <c r="G844" s="188"/>
      <c r="H844" s="121"/>
      <c r="I844" s="121"/>
      <c r="J844" s="195"/>
      <c r="K844" s="195"/>
      <c r="L844" s="195"/>
      <c r="M844" s="195"/>
      <c r="N844" s="195"/>
      <c r="O844" s="195"/>
    </row>
    <row r="845" spans="1:15">
      <c r="A845" s="121"/>
      <c r="B845" s="121" t="s">
        <v>280</v>
      </c>
      <c r="C845" s="121"/>
      <c r="D845" s="121"/>
      <c r="E845" s="187">
        <f>VLOOKUP(I818,AVANCEVENDEDOR!$A$2:$R$35,13,0)</f>
        <v>60</v>
      </c>
      <c r="F845" s="187"/>
      <c r="G845" s="121"/>
      <c r="H845" s="187"/>
      <c r="I845" s="121"/>
      <c r="J845" s="195"/>
      <c r="K845" s="195"/>
      <c r="L845" s="195"/>
      <c r="M845" s="195"/>
      <c r="N845" s="195"/>
      <c r="O845" s="195"/>
    </row>
    <row r="846" spans="1:15">
      <c r="A846" s="121"/>
      <c r="B846" s="121" t="s">
        <v>281</v>
      </c>
      <c r="C846" s="121"/>
      <c r="D846" s="121"/>
      <c r="E846" s="187">
        <f>VLOOKUP(I818,AVANCEVENDEDOR!$A$2:$R$35,14,0)</f>
        <v>35</v>
      </c>
      <c r="F846" s="187"/>
      <c r="G846" s="188" t="s">
        <v>140</v>
      </c>
      <c r="H846" s="187">
        <f>+E846*100/E845</f>
        <v>58.333333333333336</v>
      </c>
      <c r="I846" s="121"/>
      <c r="J846" s="195"/>
      <c r="K846" s="195"/>
      <c r="L846" s="195"/>
      <c r="M846" s="195"/>
      <c r="N846" s="195"/>
      <c r="O846" s="195"/>
    </row>
    <row r="847" spans="1:15">
      <c r="J847" s="195"/>
      <c r="K847" s="195"/>
      <c r="L847" s="195"/>
      <c r="M847" s="195"/>
      <c r="N847" s="195"/>
      <c r="O847" s="195"/>
    </row>
    <row r="848" spans="1:15" hidden="1">
      <c r="F848">
        <v>99</v>
      </c>
    </row>
    <row r="849" spans="6:7" hidden="1">
      <c r="F849">
        <v>100</v>
      </c>
      <c r="G849">
        <v>100</v>
      </c>
    </row>
    <row r="850" spans="6:7" hidden="1">
      <c r="F850">
        <v>101</v>
      </c>
      <c r="G850">
        <v>100</v>
      </c>
    </row>
    <row r="851" spans="6:7" hidden="1">
      <c r="F851">
        <v>102</v>
      </c>
      <c r="G851">
        <v>100</v>
      </c>
    </row>
    <row r="852" spans="6:7" hidden="1">
      <c r="F852">
        <v>103</v>
      </c>
      <c r="G852">
        <v>100</v>
      </c>
    </row>
    <row r="853" spans="6:7" hidden="1">
      <c r="F853">
        <v>104</v>
      </c>
      <c r="G853">
        <v>100</v>
      </c>
    </row>
    <row r="854" spans="6:7" hidden="1">
      <c r="F854">
        <v>105</v>
      </c>
      <c r="G854">
        <v>100</v>
      </c>
    </row>
    <row r="855" spans="6:7" hidden="1">
      <c r="F855">
        <v>106</v>
      </c>
      <c r="G855">
        <v>200</v>
      </c>
    </row>
    <row r="856" spans="6:7" hidden="1">
      <c r="F856">
        <v>107</v>
      </c>
      <c r="G856">
        <v>200</v>
      </c>
    </row>
    <row r="857" spans="6:7" hidden="1">
      <c r="F857">
        <v>108</v>
      </c>
      <c r="G857">
        <v>200</v>
      </c>
    </row>
    <row r="858" spans="6:7" hidden="1">
      <c r="F858">
        <v>109</v>
      </c>
      <c r="G858">
        <v>200</v>
      </c>
    </row>
    <row r="859" spans="6:7" hidden="1">
      <c r="F859">
        <v>110</v>
      </c>
      <c r="G859">
        <v>200</v>
      </c>
    </row>
    <row r="860" spans="6:7" hidden="1">
      <c r="F860">
        <v>111</v>
      </c>
      <c r="G860">
        <v>200</v>
      </c>
    </row>
    <row r="861" spans="6:7" hidden="1">
      <c r="F861">
        <v>112</v>
      </c>
      <c r="G861">
        <v>200</v>
      </c>
    </row>
    <row r="862" spans="6:7" hidden="1">
      <c r="F862">
        <v>113</v>
      </c>
      <c r="G862">
        <v>200</v>
      </c>
    </row>
    <row r="863" spans="6:7" hidden="1">
      <c r="F863">
        <v>114</v>
      </c>
      <c r="G863">
        <v>200</v>
      </c>
    </row>
    <row r="864" spans="6:7" hidden="1">
      <c r="F864">
        <v>115</v>
      </c>
      <c r="G864">
        <v>300</v>
      </c>
    </row>
    <row r="865" spans="6:7" hidden="1">
      <c r="F865">
        <v>116</v>
      </c>
      <c r="G865">
        <v>300</v>
      </c>
    </row>
    <row r="866" spans="6:7" hidden="1">
      <c r="F866">
        <v>117</v>
      </c>
      <c r="G866">
        <v>300</v>
      </c>
    </row>
    <row r="867" spans="6:7" hidden="1">
      <c r="F867">
        <v>118</v>
      </c>
      <c r="G867">
        <v>300</v>
      </c>
    </row>
    <row r="868" spans="6:7" hidden="1">
      <c r="F868">
        <v>119</v>
      </c>
      <c r="G868">
        <v>300</v>
      </c>
    </row>
    <row r="869" spans="6:7" hidden="1">
      <c r="F869">
        <v>120</v>
      </c>
      <c r="G869">
        <v>300</v>
      </c>
    </row>
    <row r="870" spans="6:7" hidden="1">
      <c r="F870">
        <v>121</v>
      </c>
      <c r="G870">
        <v>400</v>
      </c>
    </row>
    <row r="871" spans="6:7" hidden="1">
      <c r="F871">
        <v>122</v>
      </c>
      <c r="G871">
        <v>400</v>
      </c>
    </row>
    <row r="889" spans="1:15">
      <c r="A889" s="84" t="s">
        <v>112</v>
      </c>
      <c r="B889" s="120"/>
      <c r="C889" s="120"/>
      <c r="D889" s="120"/>
      <c r="E889" s="120"/>
      <c r="F889" s="120"/>
      <c r="G889" s="120"/>
      <c r="H889" s="120"/>
      <c r="I889" s="189"/>
      <c r="J889" s="195"/>
      <c r="K889" s="195"/>
      <c r="L889" s="195"/>
      <c r="M889" s="195"/>
      <c r="N889" s="195"/>
      <c r="O889" s="195"/>
    </row>
    <row r="890" spans="1:15">
      <c r="A890" s="84" t="s">
        <v>113</v>
      </c>
      <c r="B890" s="120"/>
      <c r="C890" s="120"/>
      <c r="D890" s="120"/>
      <c r="E890" s="120"/>
      <c r="F890" s="120"/>
      <c r="G890" s="120"/>
      <c r="H890" s="120"/>
      <c r="I890" s="179" t="str">
        <f>+CONCATENATE("20142_",I892)</f>
        <v>20142_27</v>
      </c>
      <c r="J890" s="195"/>
      <c r="K890" s="195"/>
      <c r="L890" s="195"/>
      <c r="M890" s="195"/>
      <c r="N890" s="195"/>
      <c r="O890" s="195"/>
    </row>
    <row r="891" spans="1:15">
      <c r="A891" s="84" t="s">
        <v>114</v>
      </c>
      <c r="B891" s="120"/>
      <c r="C891" s="120"/>
      <c r="D891" s="120"/>
      <c r="E891" s="120"/>
      <c r="F891" s="120"/>
      <c r="G891" s="120"/>
      <c r="H891" s="120"/>
      <c r="I891" s="120"/>
      <c r="J891" s="195"/>
      <c r="K891" s="195"/>
      <c r="L891" s="195"/>
      <c r="M891" s="195"/>
      <c r="N891" s="195"/>
      <c r="O891" s="195"/>
    </row>
    <row r="892" spans="1:15">
      <c r="A892" s="120"/>
      <c r="B892" s="120"/>
      <c r="C892" s="120"/>
      <c r="D892" s="120"/>
      <c r="E892" s="120"/>
      <c r="F892" s="120"/>
      <c r="G892" s="120"/>
      <c r="H892" s="120"/>
      <c r="I892" s="191">
        <v>27</v>
      </c>
      <c r="J892" s="195"/>
      <c r="K892" s="195"/>
      <c r="L892" s="195"/>
      <c r="M892" s="195"/>
      <c r="N892" s="195"/>
      <c r="O892" s="195"/>
    </row>
    <row r="893" spans="1:15">
      <c r="A893" s="120" t="s">
        <v>115</v>
      </c>
      <c r="B893" s="120"/>
      <c r="C893" s="120"/>
      <c r="D893" s="120"/>
      <c r="E893" s="120"/>
      <c r="F893" s="120"/>
      <c r="G893" s="120"/>
      <c r="H893" s="120"/>
      <c r="I893" s="83">
        <f>I5</f>
        <v>43801</v>
      </c>
      <c r="J893" s="195"/>
      <c r="K893" s="195"/>
      <c r="L893" s="195"/>
      <c r="M893" s="195"/>
      <c r="N893" s="195"/>
      <c r="O893" s="195"/>
    </row>
    <row r="894" spans="1:15">
      <c r="A894" s="120"/>
      <c r="B894" s="120"/>
      <c r="C894" s="120"/>
      <c r="D894" s="120"/>
      <c r="E894" s="120"/>
      <c r="F894" s="120"/>
      <c r="G894" s="120"/>
      <c r="H894" s="120"/>
      <c r="I894" s="120"/>
      <c r="J894" s="195"/>
      <c r="K894" s="195"/>
      <c r="L894" s="195"/>
      <c r="M894" s="195"/>
      <c r="N894" s="195"/>
      <c r="O894" s="195"/>
    </row>
    <row r="895" spans="1:15">
      <c r="A895" s="120" t="s">
        <v>116</v>
      </c>
      <c r="B895" s="120"/>
      <c r="C895" s="84" t="str">
        <f>VLOOKUP(I892,AVANCEVENDEDOR!$A$2:$R$35,3,0)</f>
        <v>LOPEZ WASHINGTON  - CUSCO</v>
      </c>
      <c r="D895" s="120"/>
      <c r="E895" s="120"/>
      <c r="F895" s="120"/>
      <c r="G895" s="120"/>
      <c r="H895" s="120"/>
      <c r="I895" s="120"/>
      <c r="J895" s="195"/>
      <c r="K895" s="195"/>
      <c r="L895" s="195"/>
      <c r="M895" s="195"/>
      <c r="N895" s="195"/>
      <c r="O895" s="195"/>
    </row>
    <row r="896" spans="1:15">
      <c r="A896" s="120"/>
      <c r="B896" s="120"/>
      <c r="C896" s="120"/>
      <c r="D896" s="120"/>
      <c r="E896" s="120"/>
      <c r="F896" s="120"/>
      <c r="G896" s="120"/>
      <c r="H896" s="120"/>
      <c r="I896" s="84" t="s">
        <v>118</v>
      </c>
      <c r="J896" s="195"/>
      <c r="K896" s="195"/>
      <c r="L896" s="195"/>
      <c r="M896" s="195"/>
      <c r="N896" s="195"/>
      <c r="O896" s="195"/>
    </row>
    <row r="897" spans="1:15">
      <c r="A897" s="120"/>
      <c r="B897" s="120"/>
      <c r="C897" s="120"/>
      <c r="D897" s="120"/>
      <c r="E897" s="120"/>
      <c r="F897" s="120"/>
      <c r="G897" s="120"/>
      <c r="H897" s="120"/>
      <c r="I897" s="120"/>
      <c r="J897" s="195"/>
      <c r="K897" s="195"/>
      <c r="L897" s="195"/>
      <c r="M897" s="195"/>
      <c r="N897" s="195"/>
      <c r="O897" s="195"/>
    </row>
    <row r="898" spans="1:15">
      <c r="A898" s="120" t="s">
        <v>293</v>
      </c>
      <c r="B898" s="120"/>
      <c r="C898" s="120"/>
      <c r="D898" s="120"/>
      <c r="E898" s="120"/>
      <c r="F898" s="120"/>
      <c r="G898" s="120"/>
      <c r="H898" s="120"/>
      <c r="I898" s="181">
        <v>850</v>
      </c>
      <c r="J898" s="195"/>
      <c r="K898" s="195"/>
      <c r="L898" s="195"/>
      <c r="M898" s="195"/>
      <c r="N898" s="195"/>
      <c r="O898" s="195"/>
    </row>
    <row r="899" spans="1:15">
      <c r="A899" s="120" t="s">
        <v>294</v>
      </c>
      <c r="B899" s="120"/>
      <c r="C899" s="120"/>
      <c r="D899" s="120"/>
      <c r="E899" s="120"/>
      <c r="F899" s="86" t="s">
        <v>272</v>
      </c>
      <c r="G899" s="86" t="s">
        <v>122</v>
      </c>
      <c r="H899" s="86" t="s">
        <v>123</v>
      </c>
      <c r="I899" s="181">
        <v>400</v>
      </c>
      <c r="J899" s="195"/>
      <c r="K899" s="195"/>
      <c r="L899" s="195"/>
      <c r="M899" s="195"/>
      <c r="N899" s="195"/>
      <c r="O899" s="195"/>
    </row>
    <row r="900" spans="1:15">
      <c r="A900" s="120" t="s">
        <v>291</v>
      </c>
      <c r="B900" s="120"/>
      <c r="C900" s="120"/>
      <c r="D900" s="120"/>
      <c r="E900" s="120"/>
      <c r="F900" s="182">
        <v>0.5</v>
      </c>
      <c r="G900" s="182">
        <f>IF(I892=13,80,85)</f>
        <v>85</v>
      </c>
      <c r="H900" s="182">
        <f>+H913</f>
        <v>54.738483785278163</v>
      </c>
      <c r="I900" s="181">
        <f>IF(H900&gt;=G900,E913*F900%,0)</f>
        <v>0</v>
      </c>
      <c r="J900" s="195"/>
      <c r="K900" s="195"/>
      <c r="L900" s="195"/>
      <c r="M900" s="195"/>
      <c r="N900" s="195"/>
      <c r="O900" s="195"/>
    </row>
    <row r="901" spans="1:15">
      <c r="A901" s="120" t="str">
        <f>CONCATENATE("COM. MOROSIDAD AL ",G901,"%")</f>
        <v>COM. MOROSIDAD AL 5%</v>
      </c>
      <c r="B901" s="120"/>
      <c r="C901" s="120"/>
      <c r="D901" s="120"/>
      <c r="E901" s="120"/>
      <c r="F901" s="182">
        <v>0.3</v>
      </c>
      <c r="G901" s="182">
        <v>5</v>
      </c>
      <c r="H901" s="182">
        <f>+H916</f>
        <v>8.4600000000000009</v>
      </c>
      <c r="I901" s="181">
        <f>+IF(H901&lt;=G901,E913*F901%,0)</f>
        <v>0</v>
      </c>
      <c r="J901" s="195"/>
      <c r="K901" s="195"/>
      <c r="L901" s="195"/>
      <c r="M901" s="195"/>
      <c r="N901" s="195"/>
      <c r="O901" s="195"/>
    </row>
    <row r="902" spans="1:15">
      <c r="A902" s="120" t="s">
        <v>292</v>
      </c>
      <c r="B902" s="120"/>
      <c r="C902" s="120"/>
      <c r="D902" s="120"/>
      <c r="E902" s="120"/>
      <c r="F902" s="182">
        <f>IF(I892=3,0.1,0.2)</f>
        <v>0.2</v>
      </c>
      <c r="G902" s="182">
        <f>IF(I892=23,50,85)</f>
        <v>85</v>
      </c>
      <c r="H902" s="182">
        <f>+H920</f>
        <v>45.833333333333336</v>
      </c>
      <c r="I902" s="181">
        <f>IF(H902&gt;=G902,E913*F902%,0)</f>
        <v>0</v>
      </c>
      <c r="J902" s="195"/>
      <c r="K902" s="195"/>
      <c r="L902" s="195"/>
      <c r="M902" s="195"/>
      <c r="N902" s="195"/>
      <c r="O902" s="195"/>
    </row>
    <row r="903" spans="1:15">
      <c r="A903" s="120" t="str">
        <f>IF(I892=23,"COMISION POR TIEMPODE VIAJE",IF(I892=22,"BONIFICACION"," "))</f>
        <v xml:space="preserve"> </v>
      </c>
      <c r="B903" s="120"/>
      <c r="C903" s="120"/>
      <c r="D903" s="120"/>
      <c r="E903" s="120"/>
      <c r="F903" s="120"/>
      <c r="G903" s="120"/>
      <c r="H903" s="182"/>
      <c r="I903" s="181" t="str">
        <f>IF(I892=23,300,IF(I892=22,400," "))</f>
        <v xml:space="preserve"> </v>
      </c>
      <c r="J903" s="195"/>
      <c r="K903" s="195"/>
      <c r="L903" s="195"/>
      <c r="M903" s="195"/>
      <c r="N903" s="195"/>
      <c r="O903" s="195"/>
    </row>
    <row r="904" spans="1:15">
      <c r="A904" s="189" t="s">
        <v>274</v>
      </c>
      <c r="B904" s="189"/>
      <c r="C904" s="189"/>
      <c r="D904" s="189"/>
      <c r="E904" s="189"/>
      <c r="F904" s="374" t="s">
        <v>275</v>
      </c>
      <c r="G904" s="374"/>
      <c r="H904" s="375" t="s">
        <v>276</v>
      </c>
      <c r="I904" s="193"/>
      <c r="J904" s="195"/>
      <c r="K904" s="195"/>
      <c r="L904" s="195"/>
      <c r="M904" s="195"/>
      <c r="N904" s="195"/>
      <c r="O904" s="195"/>
    </row>
    <row r="905" spans="1:15">
      <c r="A905" s="189"/>
      <c r="B905" s="189"/>
      <c r="C905" s="189"/>
      <c r="D905" s="189"/>
      <c r="E905" s="189"/>
      <c r="F905" s="374" t="s">
        <v>277</v>
      </c>
      <c r="G905" s="374"/>
      <c r="H905" s="375"/>
      <c r="I905" s="376">
        <v>0</v>
      </c>
      <c r="J905" s="195"/>
      <c r="K905" s="195"/>
      <c r="L905" s="195"/>
      <c r="M905" s="195"/>
      <c r="N905" s="195"/>
      <c r="O905" s="195"/>
    </row>
    <row r="906" spans="1:15">
      <c r="A906" s="189"/>
      <c r="B906" s="197"/>
      <c r="C906" s="197"/>
      <c r="D906" s="197"/>
      <c r="E906" s="197"/>
      <c r="F906" s="374" t="s">
        <v>278</v>
      </c>
      <c r="G906" s="374"/>
      <c r="H906" s="375"/>
      <c r="I906" s="376"/>
      <c r="J906" s="195"/>
      <c r="K906" s="195"/>
      <c r="L906" s="195"/>
      <c r="M906" s="195"/>
      <c r="N906" s="195"/>
      <c r="O906" s="195"/>
    </row>
    <row r="907" spans="1:15">
      <c r="A907" s="189"/>
      <c r="B907" s="197"/>
      <c r="C907" s="197"/>
      <c r="D907" s="197"/>
      <c r="E907" s="197"/>
      <c r="F907" s="374" t="s">
        <v>279</v>
      </c>
      <c r="G907" s="374"/>
      <c r="H907" s="375"/>
      <c r="I907" s="198"/>
      <c r="J907" s="195"/>
      <c r="K907" s="195"/>
      <c r="L907" s="195"/>
      <c r="M907" s="195"/>
      <c r="N907" s="195"/>
      <c r="O907" s="195"/>
    </row>
    <row r="908" spans="1:15">
      <c r="A908" s="120"/>
      <c r="B908" s="84" t="str">
        <f>IF(I892=13,"Remuneracion Extra"," ")</f>
        <v xml:space="preserve"> </v>
      </c>
      <c r="C908" s="120"/>
      <c r="D908" s="120"/>
      <c r="E908" s="120"/>
      <c r="F908" s="120"/>
      <c r="G908" s="120"/>
      <c r="H908" s="120"/>
      <c r="I908" s="183"/>
      <c r="J908" s="195"/>
      <c r="K908" s="195"/>
      <c r="L908" s="195"/>
      <c r="M908" s="195"/>
      <c r="N908" s="195"/>
      <c r="O908" s="195"/>
    </row>
    <row r="909" spans="1:15" ht="15.75">
      <c r="A909" s="184" t="s">
        <v>129</v>
      </c>
      <c r="B909" s="185"/>
      <c r="C909" s="185"/>
      <c r="D909" s="185"/>
      <c r="E909" s="185"/>
      <c r="F909" s="185"/>
      <c r="G909" s="185"/>
      <c r="H909" s="185"/>
      <c r="I909" s="186">
        <f>SUM(I898:I908)</f>
        <v>1250</v>
      </c>
      <c r="J909" s="195"/>
      <c r="K909" s="195"/>
      <c r="L909" s="195"/>
      <c r="M909" s="195"/>
      <c r="N909" s="195"/>
      <c r="O909" s="195"/>
    </row>
    <row r="910" spans="1:15">
      <c r="A910" s="120"/>
      <c r="B910" s="120"/>
      <c r="C910" s="120"/>
      <c r="D910" s="120"/>
      <c r="E910" s="120"/>
      <c r="F910" s="120"/>
      <c r="G910" s="120"/>
      <c r="H910" s="120"/>
      <c r="I910" s="120"/>
      <c r="J910" s="195"/>
      <c r="K910" s="195"/>
      <c r="L910" s="195"/>
      <c r="M910" s="195"/>
      <c r="N910" s="195"/>
      <c r="O910" s="195"/>
    </row>
    <row r="911" spans="1:15">
      <c r="A911" s="121" t="s">
        <v>130</v>
      </c>
      <c r="B911" s="121"/>
      <c r="C911" s="121"/>
      <c r="D911" s="121"/>
      <c r="E911" s="121"/>
      <c r="F911" s="121"/>
      <c r="G911" s="121"/>
      <c r="H911" s="121"/>
      <c r="I911" s="121"/>
      <c r="J911" s="195"/>
      <c r="K911" s="195"/>
      <c r="L911" s="195"/>
      <c r="M911" s="195"/>
      <c r="N911" s="195"/>
      <c r="O911" s="195"/>
    </row>
    <row r="912" spans="1:15">
      <c r="A912" s="121"/>
      <c r="B912" s="121" t="s">
        <v>131</v>
      </c>
      <c r="C912" s="121"/>
      <c r="D912" s="121"/>
      <c r="E912" s="187">
        <f>VLOOKUP(I892,AVANCEVENDEDOR!$A$2:$R$35,7,0)</f>
        <v>152263.79</v>
      </c>
      <c r="F912" s="187"/>
      <c r="G912" s="121"/>
      <c r="H912" s="121"/>
      <c r="I912" s="121"/>
      <c r="J912" s="195"/>
      <c r="K912" s="195"/>
      <c r="L912" s="195"/>
      <c r="M912" s="199"/>
      <c r="N912" s="200"/>
      <c r="O912" s="195"/>
    </row>
    <row r="913" spans="1:15">
      <c r="A913" s="121"/>
      <c r="B913" s="121" t="s">
        <v>132</v>
      </c>
      <c r="C913" s="121"/>
      <c r="D913" s="121"/>
      <c r="E913" s="187">
        <f>IF(I892=27,(VLOOKUP(I892,AVANCEVENDEDOR!$A$2:$R$35,6,0)-I889),(VLOOKUP(I892,AVANCEVENDEDOR!$A$2:$R$35,6,0)))</f>
        <v>83346.89</v>
      </c>
      <c r="F913" s="187"/>
      <c r="G913" s="188" t="s">
        <v>133</v>
      </c>
      <c r="H913" s="187">
        <f>+E913*100/E912</f>
        <v>54.738483785278163</v>
      </c>
      <c r="I913" s="121"/>
      <c r="J913" s="195"/>
      <c r="K913" s="121"/>
      <c r="L913" s="201"/>
      <c r="M913" s="195"/>
      <c r="N913" s="195"/>
      <c r="O913" s="195"/>
    </row>
    <row r="914" spans="1:15">
      <c r="A914" s="121"/>
      <c r="B914" s="121"/>
      <c r="C914" s="121"/>
      <c r="D914" s="121"/>
      <c r="E914" s="121"/>
      <c r="F914" s="121"/>
      <c r="G914" s="188"/>
      <c r="H914" s="121"/>
      <c r="I914" s="121"/>
      <c r="J914" s="195"/>
      <c r="K914" s="195"/>
      <c r="L914" s="195"/>
      <c r="M914" s="195"/>
      <c r="N914" s="195"/>
      <c r="O914" s="195"/>
    </row>
    <row r="915" spans="1:15">
      <c r="A915" s="121"/>
      <c r="B915" s="121" t="s">
        <v>134</v>
      </c>
      <c r="C915" s="121"/>
      <c r="D915" s="121"/>
      <c r="E915" s="187">
        <f>VLOOKUP(I892,AVANCEVENDEDOR!$A$2:$R$35,10,0)</f>
        <v>272097.44</v>
      </c>
      <c r="F915" s="187"/>
      <c r="G915" s="188"/>
      <c r="H915" s="121"/>
      <c r="I915" s="121"/>
      <c r="J915" s="195"/>
      <c r="K915" s="195"/>
      <c r="L915" s="195"/>
      <c r="M915" s="195"/>
      <c r="N915" s="195"/>
      <c r="O915" s="195"/>
    </row>
    <row r="916" spans="1:15">
      <c r="A916" s="121"/>
      <c r="B916" s="121" t="s">
        <v>135</v>
      </c>
      <c r="C916" s="121"/>
      <c r="D916" s="121"/>
      <c r="E916" s="187">
        <f>VLOOKUP(I892,AVANCEVENDEDOR!$A$2:$R$35,11,0)</f>
        <v>23014.65</v>
      </c>
      <c r="F916" s="187"/>
      <c r="G916" s="188" t="s">
        <v>136</v>
      </c>
      <c r="H916" s="187">
        <f>VLOOKUP(I892,AVANCEVENDEDOR!$A$2:$R$35,15,0)</f>
        <v>8.4600000000000009</v>
      </c>
      <c r="I916" s="121"/>
      <c r="J916" s="195"/>
      <c r="K916" s="195"/>
      <c r="L916" s="195"/>
      <c r="M916" s="195"/>
      <c r="N916" s="195"/>
      <c r="O916" s="195"/>
    </row>
    <row r="917" spans="1:15">
      <c r="A917" s="121"/>
      <c r="B917" s="121" t="s">
        <v>137</v>
      </c>
      <c r="C917" s="121"/>
      <c r="D917" s="121"/>
      <c r="E917" s="187">
        <f>VLOOKUP(I892,AVANCEVENDEDOR!$A$2:$R$35,9,0)</f>
        <v>164301.71</v>
      </c>
      <c r="F917" s="187"/>
      <c r="G917" s="188"/>
      <c r="H917" s="121"/>
      <c r="I917" s="121"/>
      <c r="J917" s="195"/>
      <c r="K917" s="195"/>
      <c r="L917" s="195"/>
      <c r="M917" s="195"/>
      <c r="N917" s="195"/>
      <c r="O917" s="195"/>
    </row>
    <row r="918" spans="1:15">
      <c r="A918" s="121"/>
      <c r="B918" s="121"/>
      <c r="C918" s="121"/>
      <c r="D918" s="121"/>
      <c r="E918" s="121"/>
      <c r="F918" s="121"/>
      <c r="G918" s="188"/>
      <c r="H918" s="121"/>
      <c r="I918" s="121"/>
      <c r="J918" s="195"/>
      <c r="K918" s="195"/>
      <c r="L918" s="195"/>
      <c r="M918" s="195"/>
      <c r="N918" s="195"/>
      <c r="O918" s="195"/>
    </row>
    <row r="919" spans="1:15">
      <c r="A919" s="121"/>
      <c r="B919" s="121" t="s">
        <v>280</v>
      </c>
      <c r="C919" s="121"/>
      <c r="D919" s="121"/>
      <c r="E919" s="187">
        <f>VLOOKUP(I892,AVANCEVENDEDOR!$A$2:$R$35,13,0)</f>
        <v>48</v>
      </c>
      <c r="F919" s="187"/>
      <c r="G919" s="121"/>
      <c r="H919" s="187"/>
      <c r="I919" s="121"/>
      <c r="J919" s="195"/>
      <c r="K919" s="195"/>
      <c r="L919" s="195"/>
      <c r="M919" s="195"/>
      <c r="N919" s="195"/>
      <c r="O919" s="195"/>
    </row>
    <row r="920" spans="1:15">
      <c r="A920" s="121"/>
      <c r="B920" s="121" t="s">
        <v>281</v>
      </c>
      <c r="C920" s="121"/>
      <c r="D920" s="121"/>
      <c r="E920" s="187">
        <f>VLOOKUP(I892,AVANCEVENDEDOR!$A$2:$R$35,14,0)</f>
        <v>22</v>
      </c>
      <c r="F920" s="187"/>
      <c r="G920" s="188" t="s">
        <v>140</v>
      </c>
      <c r="H920" s="187">
        <f>+E920*100/E919</f>
        <v>45.833333333333336</v>
      </c>
      <c r="I920" s="121"/>
      <c r="J920" s="195"/>
      <c r="K920" s="195"/>
      <c r="L920" s="195"/>
      <c r="M920" s="195"/>
      <c r="N920" s="195"/>
      <c r="O920" s="195"/>
    </row>
    <row r="921" spans="1:15">
      <c r="J921" s="195"/>
      <c r="K921" s="195"/>
      <c r="L921" s="195"/>
      <c r="M921" s="195"/>
      <c r="N921" s="195"/>
      <c r="O921" s="195"/>
    </row>
    <row r="922" spans="1:15" hidden="1">
      <c r="F922">
        <v>99</v>
      </c>
    </row>
    <row r="923" spans="1:15" hidden="1">
      <c r="F923">
        <v>100</v>
      </c>
      <c r="G923">
        <v>100</v>
      </c>
    </row>
    <row r="924" spans="1:15" hidden="1">
      <c r="F924">
        <v>101</v>
      </c>
      <c r="G924">
        <v>100</v>
      </c>
    </row>
    <row r="925" spans="1:15" hidden="1">
      <c r="F925">
        <v>102</v>
      </c>
      <c r="G925">
        <v>100</v>
      </c>
    </row>
    <row r="926" spans="1:15" hidden="1">
      <c r="F926">
        <v>103</v>
      </c>
      <c r="G926">
        <v>100</v>
      </c>
    </row>
    <row r="927" spans="1:15" hidden="1">
      <c r="F927">
        <v>104</v>
      </c>
      <c r="G927">
        <v>100</v>
      </c>
    </row>
    <row r="928" spans="1:15" hidden="1">
      <c r="F928">
        <v>105</v>
      </c>
      <c r="G928">
        <v>100</v>
      </c>
    </row>
    <row r="929" spans="6:7" hidden="1">
      <c r="F929">
        <v>106</v>
      </c>
      <c r="G929">
        <v>200</v>
      </c>
    </row>
    <row r="930" spans="6:7" hidden="1">
      <c r="F930">
        <v>107</v>
      </c>
      <c r="G930">
        <v>200</v>
      </c>
    </row>
    <row r="931" spans="6:7" hidden="1">
      <c r="F931">
        <v>108</v>
      </c>
      <c r="G931">
        <v>200</v>
      </c>
    </row>
    <row r="932" spans="6:7" hidden="1">
      <c r="F932">
        <v>109</v>
      </c>
      <c r="G932">
        <v>200</v>
      </c>
    </row>
    <row r="933" spans="6:7" hidden="1">
      <c r="F933">
        <v>110</v>
      </c>
      <c r="G933">
        <v>200</v>
      </c>
    </row>
    <row r="934" spans="6:7" hidden="1">
      <c r="F934">
        <v>111</v>
      </c>
      <c r="G934">
        <v>200</v>
      </c>
    </row>
    <row r="935" spans="6:7" hidden="1">
      <c r="F935">
        <v>112</v>
      </c>
      <c r="G935">
        <v>200</v>
      </c>
    </row>
    <row r="936" spans="6:7" hidden="1">
      <c r="F936">
        <v>113</v>
      </c>
      <c r="G936">
        <v>200</v>
      </c>
    </row>
    <row r="937" spans="6:7" hidden="1">
      <c r="F937">
        <v>114</v>
      </c>
      <c r="G937">
        <v>200</v>
      </c>
    </row>
    <row r="938" spans="6:7" hidden="1">
      <c r="F938">
        <v>115</v>
      </c>
      <c r="G938">
        <v>300</v>
      </c>
    </row>
    <row r="939" spans="6:7" hidden="1">
      <c r="F939">
        <v>116</v>
      </c>
      <c r="G939">
        <v>300</v>
      </c>
    </row>
    <row r="940" spans="6:7" hidden="1">
      <c r="F940">
        <v>117</v>
      </c>
      <c r="G940">
        <v>300</v>
      </c>
    </row>
    <row r="941" spans="6:7" hidden="1">
      <c r="F941">
        <v>118</v>
      </c>
      <c r="G941">
        <v>300</v>
      </c>
    </row>
    <row r="942" spans="6:7" hidden="1">
      <c r="F942">
        <v>119</v>
      </c>
      <c r="G942">
        <v>300</v>
      </c>
    </row>
    <row r="943" spans="6:7" hidden="1">
      <c r="F943">
        <v>120</v>
      </c>
      <c r="G943">
        <v>300</v>
      </c>
    </row>
    <row r="944" spans="6:7" hidden="1">
      <c r="F944">
        <v>121</v>
      </c>
      <c r="G944">
        <v>400</v>
      </c>
    </row>
    <row r="945" spans="6:7" hidden="1">
      <c r="F945">
        <v>122</v>
      </c>
      <c r="G945">
        <v>400</v>
      </c>
    </row>
    <row r="963" spans="1:15">
      <c r="A963" s="84" t="s">
        <v>112</v>
      </c>
      <c r="B963" s="120"/>
      <c r="C963" s="120"/>
      <c r="D963" s="120"/>
      <c r="E963" s="120"/>
      <c r="F963" s="120"/>
      <c r="G963" s="120"/>
      <c r="H963" s="120"/>
      <c r="I963" s="189"/>
      <c r="J963" s="195"/>
      <c r="K963" s="195"/>
      <c r="L963" s="195"/>
      <c r="M963" s="195"/>
      <c r="N963" s="195"/>
      <c r="O963" s="195"/>
    </row>
    <row r="964" spans="1:15">
      <c r="A964" s="84" t="s">
        <v>113</v>
      </c>
      <c r="B964" s="120"/>
      <c r="C964" s="120"/>
      <c r="D964" s="120"/>
      <c r="E964" s="120"/>
      <c r="F964" s="120"/>
      <c r="G964" s="120"/>
      <c r="H964" s="120"/>
      <c r="I964" s="179" t="str">
        <f>+CONCATENATE("20142_",I966)</f>
        <v>20142_28</v>
      </c>
      <c r="J964" s="195"/>
      <c r="K964" s="195"/>
      <c r="L964" s="195"/>
      <c r="M964" s="195"/>
      <c r="N964" s="195"/>
      <c r="O964" s="195"/>
    </row>
    <row r="965" spans="1:15">
      <c r="A965" s="84" t="s">
        <v>114</v>
      </c>
      <c r="B965" s="120"/>
      <c r="C965" s="120"/>
      <c r="D965" s="120"/>
      <c r="E965" s="120"/>
      <c r="F965" s="120"/>
      <c r="G965" s="120"/>
      <c r="H965" s="120"/>
      <c r="I965" s="120"/>
      <c r="J965" s="195"/>
      <c r="K965" s="195"/>
      <c r="L965" s="195"/>
      <c r="M965" s="195"/>
      <c r="N965" s="195"/>
      <c r="O965" s="195"/>
    </row>
    <row r="966" spans="1:15">
      <c r="A966" s="120"/>
      <c r="B966" s="120"/>
      <c r="C966" s="120"/>
      <c r="D966" s="120"/>
      <c r="E966" s="120"/>
      <c r="F966" s="120"/>
      <c r="G966" s="120"/>
      <c r="H966" s="120"/>
      <c r="I966" s="191">
        <v>28</v>
      </c>
      <c r="J966" s="195"/>
      <c r="K966" s="195"/>
      <c r="L966" s="195"/>
      <c r="M966" s="195"/>
      <c r="N966" s="195"/>
      <c r="O966" s="195"/>
    </row>
    <row r="967" spans="1:15">
      <c r="A967" s="120" t="s">
        <v>115</v>
      </c>
      <c r="B967" s="120"/>
      <c r="C967" s="120"/>
      <c r="D967" s="120"/>
      <c r="E967" s="120"/>
      <c r="F967" s="120"/>
      <c r="G967" s="120"/>
      <c r="H967" s="120"/>
      <c r="I967" s="83">
        <f>I5</f>
        <v>43801</v>
      </c>
      <c r="J967" s="195"/>
      <c r="K967" s="195"/>
      <c r="L967" s="195"/>
      <c r="M967" s="195"/>
      <c r="N967" s="195"/>
      <c r="O967" s="195"/>
    </row>
    <row r="968" spans="1:15">
      <c r="A968" s="120"/>
      <c r="B968" s="120"/>
      <c r="C968" s="120"/>
      <c r="D968" s="120"/>
      <c r="E968" s="120"/>
      <c r="F968" s="120"/>
      <c r="G968" s="120"/>
      <c r="H968" s="120"/>
      <c r="I968" s="120"/>
      <c r="J968" s="195"/>
      <c r="K968" s="195"/>
      <c r="L968" s="195"/>
      <c r="M968" s="195"/>
      <c r="N968" s="195"/>
      <c r="O968" s="195"/>
    </row>
    <row r="969" spans="1:15">
      <c r="A969" s="120" t="s">
        <v>116</v>
      </c>
      <c r="B969" s="120"/>
      <c r="C969" s="84" t="str">
        <f>VLOOKUP(I966,AVANCEVENDEDOR!$A$2:$R$35,3,0)</f>
        <v>LOPEZ WASHINGTON - PUERTO MALDONADO</v>
      </c>
      <c r="D969" s="120"/>
      <c r="E969" s="120"/>
      <c r="F969" s="120"/>
      <c r="G969" s="120"/>
      <c r="H969" s="120"/>
      <c r="I969" s="120"/>
      <c r="J969" s="195"/>
      <c r="K969" s="195"/>
      <c r="L969" s="195"/>
      <c r="M969" s="195"/>
      <c r="N969" s="195"/>
      <c r="O969" s="195"/>
    </row>
    <row r="970" spans="1:15">
      <c r="A970" s="120"/>
      <c r="B970" s="120"/>
      <c r="C970" s="120"/>
      <c r="D970" s="120"/>
      <c r="E970" s="120"/>
      <c r="F970" s="120"/>
      <c r="G970" s="120"/>
      <c r="H970" s="120"/>
      <c r="I970" s="84" t="s">
        <v>118</v>
      </c>
      <c r="J970" s="195"/>
      <c r="K970" s="195"/>
      <c r="L970" s="195"/>
      <c r="M970" s="195"/>
      <c r="N970" s="195"/>
      <c r="O970" s="195"/>
    </row>
    <row r="971" spans="1:15">
      <c r="A971" s="120"/>
      <c r="B971" s="120"/>
      <c r="C971" s="120"/>
      <c r="D971" s="120"/>
      <c r="E971" s="120"/>
      <c r="F971" s="120"/>
      <c r="G971" s="120"/>
      <c r="H971" s="120"/>
      <c r="I971" s="120"/>
      <c r="J971" s="195"/>
      <c r="K971" s="195"/>
      <c r="L971" s="195"/>
      <c r="M971" s="195"/>
      <c r="N971" s="195"/>
      <c r="O971" s="195"/>
    </row>
    <row r="972" spans="1:15">
      <c r="A972" s="120" t="s">
        <v>119</v>
      </c>
      <c r="B972" s="120"/>
      <c r="C972" s="120"/>
      <c r="D972" s="120"/>
      <c r="E972" s="120"/>
      <c r="F972" s="120"/>
      <c r="G972" s="120"/>
      <c r="H972" s="120"/>
      <c r="I972" s="181">
        <v>850</v>
      </c>
      <c r="J972" s="195"/>
      <c r="K972" s="195"/>
      <c r="L972" s="195"/>
      <c r="M972" s="195"/>
      <c r="N972" s="195"/>
      <c r="O972" s="195"/>
    </row>
    <row r="973" spans="1:15">
      <c r="A973" s="120" t="s">
        <v>120</v>
      </c>
      <c r="B973" s="120"/>
      <c r="C973" s="120"/>
      <c r="D973" s="120"/>
      <c r="E973" s="120"/>
      <c r="F973" s="86" t="s">
        <v>272</v>
      </c>
      <c r="G973" s="86" t="s">
        <v>122</v>
      </c>
      <c r="H973" s="86" t="s">
        <v>123</v>
      </c>
      <c r="I973" s="181">
        <v>400</v>
      </c>
      <c r="J973" s="195"/>
      <c r="K973" s="195"/>
      <c r="L973" s="195"/>
      <c r="M973" s="195"/>
      <c r="N973" s="195"/>
      <c r="O973" s="195"/>
    </row>
    <row r="974" spans="1:15">
      <c r="A974" s="120" t="s">
        <v>291</v>
      </c>
      <c r="B974" s="120"/>
      <c r="C974" s="120"/>
      <c r="D974" s="120"/>
      <c r="E974" s="120"/>
      <c r="F974" s="182">
        <v>0.5</v>
      </c>
      <c r="G974" s="182">
        <f>IF(I966=13,80,85)</f>
        <v>85</v>
      </c>
      <c r="H974" s="182">
        <f>+H987</f>
        <v>77.10432154471971</v>
      </c>
      <c r="I974" s="181">
        <f>IF(H974&gt;=G974,E987*F974%,0)</f>
        <v>0</v>
      </c>
      <c r="J974" s="195"/>
      <c r="K974" s="195"/>
      <c r="L974" s="195"/>
      <c r="M974" s="195"/>
      <c r="N974" s="195"/>
      <c r="O974" s="195"/>
    </row>
    <row r="975" spans="1:15">
      <c r="A975" s="120" t="str">
        <f>CONCATENATE("COM. MOROSIDAD AL ",G975,"%")</f>
        <v>COM. MOROSIDAD AL 5%</v>
      </c>
      <c r="B975" s="120"/>
      <c r="C975" s="120"/>
      <c r="D975" s="120"/>
      <c r="E975" s="120"/>
      <c r="F975" s="182">
        <v>0.3</v>
      </c>
      <c r="G975" s="182">
        <v>5</v>
      </c>
      <c r="H975" s="182">
        <f>+H990</f>
        <v>11.22</v>
      </c>
      <c r="I975" s="181">
        <f>+IF(H975&lt;=G975,E987*F975%,0)</f>
        <v>0</v>
      </c>
      <c r="J975" s="195"/>
      <c r="K975" s="195"/>
      <c r="L975" s="195"/>
      <c r="M975" s="195"/>
      <c r="N975" s="195"/>
      <c r="O975" s="195"/>
    </row>
    <row r="976" spans="1:15">
      <c r="A976" s="120" t="s">
        <v>292</v>
      </c>
      <c r="B976" s="120"/>
      <c r="C976" s="120"/>
      <c r="D976" s="120"/>
      <c r="E976" s="120"/>
      <c r="F976" s="182">
        <f>IF(I966=3,0.1,0.2)</f>
        <v>0.2</v>
      </c>
      <c r="G976" s="182">
        <f>IF(I966=23,50,85)</f>
        <v>85</v>
      </c>
      <c r="H976" s="182">
        <f>+H994</f>
        <v>33.333333333333336</v>
      </c>
      <c r="I976" s="181">
        <f>IF(H976&gt;=G976,E987*F976%,0)</f>
        <v>0</v>
      </c>
      <c r="J976" s="195"/>
      <c r="K976" s="195"/>
      <c r="L976" s="195"/>
      <c r="M976" s="195"/>
      <c r="N976" s="195"/>
      <c r="O976" s="195"/>
    </row>
    <row r="977" spans="1:15">
      <c r="A977" s="120" t="str">
        <f>IF(I966=23,"COMISION POR TIEMPODE VIAJE",IF(I966=22,"BONIFICACION"," "))</f>
        <v xml:space="preserve"> </v>
      </c>
      <c r="B977" s="120"/>
      <c r="C977" s="120"/>
      <c r="D977" s="120"/>
      <c r="E977" s="120"/>
      <c r="F977" s="120"/>
      <c r="G977" s="120"/>
      <c r="H977" s="182"/>
      <c r="I977" s="181" t="str">
        <f>IF(I966=23,300,IF(I966=22,400," "))</f>
        <v xml:space="preserve"> </v>
      </c>
      <c r="J977" s="195"/>
      <c r="K977" s="195"/>
      <c r="L977" s="195"/>
      <c r="M977" s="195"/>
      <c r="N977" s="195"/>
      <c r="O977" s="195"/>
    </row>
    <row r="978" spans="1:15">
      <c r="A978" s="189" t="s">
        <v>274</v>
      </c>
      <c r="B978" s="189"/>
      <c r="C978" s="189"/>
      <c r="D978" s="189"/>
      <c r="E978" s="189"/>
      <c r="F978" s="374" t="s">
        <v>275</v>
      </c>
      <c r="G978" s="374"/>
      <c r="H978" s="375" t="s">
        <v>276</v>
      </c>
      <c r="I978" s="193"/>
      <c r="J978" s="195"/>
      <c r="K978" s="195"/>
      <c r="L978" s="195"/>
      <c r="M978" s="195"/>
      <c r="N978" s="195"/>
      <c r="O978" s="195"/>
    </row>
    <row r="979" spans="1:15">
      <c r="A979" s="189"/>
      <c r="B979" s="189"/>
      <c r="C979" s="189"/>
      <c r="D979" s="189"/>
      <c r="E979" s="189"/>
      <c r="F979" s="374" t="s">
        <v>277</v>
      </c>
      <c r="G979" s="374"/>
      <c r="H979" s="375"/>
      <c r="I979" s="376">
        <v>0</v>
      </c>
      <c r="J979" s="195"/>
      <c r="K979" s="195"/>
      <c r="L979" s="195"/>
      <c r="M979" s="195"/>
      <c r="N979" s="195"/>
      <c r="O979" s="195"/>
    </row>
    <row r="980" spans="1:15">
      <c r="A980" s="189"/>
      <c r="B980" s="197"/>
      <c r="C980" s="197"/>
      <c r="D980" s="197"/>
      <c r="E980" s="197"/>
      <c r="F980" s="374" t="s">
        <v>278</v>
      </c>
      <c r="G980" s="374"/>
      <c r="H980" s="375"/>
      <c r="I980" s="376"/>
      <c r="J980" s="195"/>
      <c r="K980" s="195"/>
      <c r="L980" s="195"/>
      <c r="M980" s="195"/>
      <c r="N980" s="195"/>
      <c r="O980" s="195"/>
    </row>
    <row r="981" spans="1:15">
      <c r="A981" s="189"/>
      <c r="B981" s="197"/>
      <c r="C981" s="197"/>
      <c r="D981" s="197"/>
      <c r="E981" s="197"/>
      <c r="F981" s="374" t="s">
        <v>279</v>
      </c>
      <c r="G981" s="374"/>
      <c r="H981" s="375"/>
      <c r="I981" s="198"/>
      <c r="J981" s="195"/>
      <c r="K981" s="195"/>
      <c r="L981" s="195"/>
      <c r="M981" s="195"/>
      <c r="N981" s="195"/>
      <c r="O981" s="195"/>
    </row>
    <row r="982" spans="1:15">
      <c r="A982" s="120"/>
      <c r="B982" s="84" t="str">
        <f>IF(I966=13,"Remuneracion Extra"," ")</f>
        <v xml:space="preserve"> </v>
      </c>
      <c r="C982" s="120"/>
      <c r="D982" s="120"/>
      <c r="E982" s="120"/>
      <c r="F982" s="120"/>
      <c r="G982" s="120"/>
      <c r="H982" s="120"/>
      <c r="I982" s="183"/>
      <c r="J982" s="195"/>
      <c r="K982" s="195"/>
      <c r="L982" s="195"/>
      <c r="M982" s="195"/>
      <c r="N982" s="195"/>
      <c r="O982" s="195"/>
    </row>
    <row r="983" spans="1:15" ht="15.75">
      <c r="A983" s="184" t="s">
        <v>129</v>
      </c>
      <c r="B983" s="185"/>
      <c r="C983" s="185"/>
      <c r="D983" s="185"/>
      <c r="E983" s="185"/>
      <c r="F983" s="185"/>
      <c r="G983" s="185"/>
      <c r="H983" s="185"/>
      <c r="I983" s="186">
        <f>SUM(I972:I982)</f>
        <v>1250</v>
      </c>
      <c r="J983" s="195"/>
      <c r="K983" s="195"/>
      <c r="L983" s="195"/>
      <c r="M983" s="195"/>
      <c r="N983" s="195"/>
      <c r="O983" s="195"/>
    </row>
    <row r="984" spans="1:15">
      <c r="A984" s="120"/>
      <c r="B984" s="120"/>
      <c r="C984" s="120"/>
      <c r="D984" s="120"/>
      <c r="E984" s="120"/>
      <c r="F984" s="120"/>
      <c r="G984" s="120"/>
      <c r="H984" s="120"/>
      <c r="I984" s="120"/>
      <c r="J984" s="195"/>
      <c r="K984" s="195"/>
      <c r="L984" s="195"/>
      <c r="M984" s="195"/>
      <c r="N984" s="195"/>
      <c r="O984" s="195"/>
    </row>
    <row r="985" spans="1:15">
      <c r="A985" s="121" t="s">
        <v>130</v>
      </c>
      <c r="B985" s="121"/>
      <c r="C985" s="121"/>
      <c r="D985" s="121"/>
      <c r="E985" s="121"/>
      <c r="F985" s="121"/>
      <c r="G985" s="121"/>
      <c r="H985" s="121"/>
      <c r="I985" s="121"/>
      <c r="J985" s="195"/>
      <c r="K985" s="195"/>
      <c r="L985" s="195"/>
      <c r="M985" s="195"/>
      <c r="N985" s="195"/>
      <c r="O985" s="195"/>
    </row>
    <row r="986" spans="1:15">
      <c r="A986" s="121"/>
      <c r="B986" s="121" t="s">
        <v>131</v>
      </c>
      <c r="C986" s="121"/>
      <c r="D986" s="121"/>
      <c r="E986" s="187">
        <f>VLOOKUP(I966,AVANCEVENDEDOR!$A$2:$R$35,7,0)</f>
        <v>237255.21</v>
      </c>
      <c r="F986" s="187"/>
      <c r="G986" s="121"/>
      <c r="H986" s="121"/>
      <c r="I986" s="121"/>
      <c r="J986" s="195"/>
      <c r="K986" s="195"/>
      <c r="L986" s="195"/>
      <c r="M986" s="199"/>
      <c r="N986" s="200"/>
      <c r="O986" s="195"/>
    </row>
    <row r="987" spans="1:15">
      <c r="A987" s="121"/>
      <c r="B987" s="121" t="s">
        <v>132</v>
      </c>
      <c r="C987" s="121"/>
      <c r="D987" s="121"/>
      <c r="E987" s="187">
        <f>IF(I966=27,(VLOOKUP(I966,AVANCEVENDEDOR!$A$2:$R$35,6,0)-I963),(VLOOKUP(I966,AVANCEVENDEDOR!$A$2:$R$35,6,0)))</f>
        <v>182934.02</v>
      </c>
      <c r="F987" s="187"/>
      <c r="G987" s="188" t="s">
        <v>133</v>
      </c>
      <c r="H987" s="187">
        <f>+E987*100/E986</f>
        <v>77.10432154471971</v>
      </c>
      <c r="I987" s="121"/>
      <c r="J987" s="195"/>
      <c r="K987" s="121"/>
      <c r="L987" s="201"/>
      <c r="M987" s="195"/>
      <c r="N987" s="195"/>
      <c r="O987" s="195"/>
    </row>
    <row r="988" spans="1:15">
      <c r="A988" s="121"/>
      <c r="B988" s="121"/>
      <c r="C988" s="121"/>
      <c r="D988" s="121"/>
      <c r="E988" s="121"/>
      <c r="F988" s="121"/>
      <c r="G988" s="188"/>
      <c r="H988" s="121"/>
      <c r="I988" s="121"/>
      <c r="J988" s="195"/>
      <c r="K988" s="195"/>
      <c r="L988" s="195"/>
      <c r="M988" s="195"/>
      <c r="N988" s="195"/>
      <c r="O988" s="195"/>
    </row>
    <row r="989" spans="1:15">
      <c r="A989" s="121"/>
      <c r="B989" s="121" t="s">
        <v>134</v>
      </c>
      <c r="C989" s="121"/>
      <c r="D989" s="121"/>
      <c r="E989" s="187">
        <f>VLOOKUP(I966,AVANCEVENDEDOR!$A$2:$R$35,10,0)</f>
        <v>712456.97</v>
      </c>
      <c r="F989" s="187"/>
      <c r="G989" s="188"/>
      <c r="H989" s="121"/>
      <c r="I989" s="121"/>
      <c r="J989" s="195"/>
      <c r="K989" s="195"/>
      <c r="L989" s="195"/>
      <c r="M989" s="195"/>
      <c r="N989" s="195"/>
      <c r="O989" s="195"/>
    </row>
    <row r="990" spans="1:15">
      <c r="A990" s="121"/>
      <c r="B990" s="121" t="s">
        <v>135</v>
      </c>
      <c r="C990" s="121"/>
      <c r="D990" s="121"/>
      <c r="E990" s="187">
        <f>VLOOKUP(I966,AVANCEVENDEDOR!$A$2:$R$35,11,0)</f>
        <v>79929.37</v>
      </c>
      <c r="F990" s="187"/>
      <c r="G990" s="188" t="s">
        <v>136</v>
      </c>
      <c r="H990" s="187">
        <f>VLOOKUP(I966,AVANCEVENDEDOR!$A$2:$R$35,15,0)</f>
        <v>11.22</v>
      </c>
      <c r="I990" s="121"/>
      <c r="J990" s="195"/>
      <c r="K990" s="195"/>
      <c r="L990" s="195"/>
      <c r="M990" s="195"/>
      <c r="N990" s="195"/>
      <c r="O990" s="195"/>
    </row>
    <row r="991" spans="1:15">
      <c r="A991" s="121"/>
      <c r="B991" s="121" t="s">
        <v>137</v>
      </c>
      <c r="C991" s="121"/>
      <c r="D991" s="121"/>
      <c r="E991" s="187">
        <f>VLOOKUP(I966,AVANCEVENDEDOR!$A$2:$R$35,9,0)</f>
        <v>291110.31</v>
      </c>
      <c r="F991" s="187"/>
      <c r="G991" s="188"/>
      <c r="H991" s="121"/>
      <c r="I991" s="121"/>
      <c r="J991" s="195"/>
      <c r="K991" s="195"/>
      <c r="L991" s="195"/>
      <c r="M991" s="195"/>
      <c r="N991" s="195"/>
      <c r="O991" s="195"/>
    </row>
    <row r="992" spans="1:15">
      <c r="A992" s="121"/>
      <c r="B992" s="121"/>
      <c r="C992" s="121"/>
      <c r="D992" s="121"/>
      <c r="E992" s="121"/>
      <c r="F992" s="121"/>
      <c r="G992" s="188"/>
      <c r="H992" s="121"/>
      <c r="I992" s="121"/>
      <c r="J992" s="195"/>
      <c r="K992" s="195"/>
      <c r="L992" s="195"/>
      <c r="M992" s="195"/>
      <c r="N992" s="195"/>
      <c r="O992" s="195"/>
    </row>
    <row r="993" spans="1:15">
      <c r="A993" s="121"/>
      <c r="B993" s="121" t="s">
        <v>280</v>
      </c>
      <c r="C993" s="121"/>
      <c r="D993" s="121"/>
      <c r="E993" s="187">
        <f>VLOOKUP(I966,AVANCEVENDEDOR!$A$2:$R$35,13,0)</f>
        <v>105</v>
      </c>
      <c r="F993" s="187"/>
      <c r="G993" s="121"/>
      <c r="H993" s="187"/>
      <c r="I993" s="121"/>
      <c r="J993" s="195"/>
      <c r="K993" s="195"/>
      <c r="L993" s="195"/>
      <c r="M993" s="195"/>
      <c r="N993" s="195"/>
      <c r="O993" s="195"/>
    </row>
    <row r="994" spans="1:15">
      <c r="A994" s="121"/>
      <c r="B994" s="121" t="s">
        <v>281</v>
      </c>
      <c r="C994" s="121"/>
      <c r="D994" s="121"/>
      <c r="E994" s="187">
        <f>VLOOKUP(I966,AVANCEVENDEDOR!$A$2:$R$35,14,0)</f>
        <v>35</v>
      </c>
      <c r="F994" s="187"/>
      <c r="G994" s="188" t="s">
        <v>140</v>
      </c>
      <c r="H994" s="187">
        <f>+E994*100/E993</f>
        <v>33.333333333333336</v>
      </c>
      <c r="I994" s="121"/>
      <c r="J994" s="195"/>
      <c r="K994" s="195"/>
      <c r="L994" s="195"/>
      <c r="M994" s="195"/>
      <c r="N994" s="195"/>
      <c r="O994" s="195"/>
    </row>
    <row r="995" spans="1:15">
      <c r="J995" s="195"/>
      <c r="K995" s="195"/>
      <c r="L995" s="195"/>
      <c r="M995" s="195"/>
      <c r="N995" s="195"/>
      <c r="O995" s="195"/>
    </row>
    <row r="996" spans="1:15" hidden="1">
      <c r="F996">
        <v>99</v>
      </c>
    </row>
    <row r="997" spans="1:15" hidden="1">
      <c r="F997">
        <v>100</v>
      </c>
      <c r="G997">
        <v>100</v>
      </c>
    </row>
    <row r="998" spans="1:15" hidden="1">
      <c r="F998">
        <v>101</v>
      </c>
      <c r="G998">
        <v>100</v>
      </c>
    </row>
    <row r="999" spans="1:15" hidden="1">
      <c r="F999">
        <v>102</v>
      </c>
      <c r="G999">
        <v>100</v>
      </c>
    </row>
    <row r="1000" spans="1:15" hidden="1">
      <c r="F1000">
        <v>103</v>
      </c>
      <c r="G1000">
        <v>100</v>
      </c>
    </row>
    <row r="1001" spans="1:15" hidden="1">
      <c r="F1001">
        <v>104</v>
      </c>
      <c r="G1001">
        <v>100</v>
      </c>
    </row>
    <row r="1002" spans="1:15" hidden="1">
      <c r="F1002">
        <v>105</v>
      </c>
      <c r="G1002">
        <v>100</v>
      </c>
    </row>
    <row r="1003" spans="1:15" hidden="1">
      <c r="F1003">
        <v>106</v>
      </c>
      <c r="G1003">
        <v>200</v>
      </c>
    </row>
    <row r="1004" spans="1:15" hidden="1">
      <c r="F1004">
        <v>107</v>
      </c>
      <c r="G1004">
        <v>200</v>
      </c>
    </row>
    <row r="1005" spans="1:15" hidden="1">
      <c r="F1005">
        <v>108</v>
      </c>
      <c r="G1005">
        <v>200</v>
      </c>
    </row>
    <row r="1006" spans="1:15" hidden="1">
      <c r="F1006">
        <v>109</v>
      </c>
      <c r="G1006">
        <v>200</v>
      </c>
    </row>
    <row r="1007" spans="1:15" hidden="1">
      <c r="F1007">
        <v>110</v>
      </c>
      <c r="G1007">
        <v>200</v>
      </c>
    </row>
    <row r="1008" spans="1:15" hidden="1">
      <c r="F1008">
        <v>111</v>
      </c>
      <c r="G1008">
        <v>200</v>
      </c>
    </row>
    <row r="1009" spans="6:7" hidden="1">
      <c r="F1009">
        <v>112</v>
      </c>
      <c r="G1009">
        <v>200</v>
      </c>
    </row>
    <row r="1010" spans="6:7" hidden="1">
      <c r="F1010">
        <v>113</v>
      </c>
      <c r="G1010">
        <v>200</v>
      </c>
    </row>
    <row r="1011" spans="6:7" hidden="1">
      <c r="F1011">
        <v>114</v>
      </c>
      <c r="G1011">
        <v>200</v>
      </c>
    </row>
    <row r="1012" spans="6:7" hidden="1">
      <c r="F1012">
        <v>115</v>
      </c>
      <c r="G1012">
        <v>300</v>
      </c>
    </row>
    <row r="1013" spans="6:7" hidden="1">
      <c r="F1013">
        <v>116</v>
      </c>
      <c r="G1013">
        <v>300</v>
      </c>
    </row>
    <row r="1014" spans="6:7" hidden="1">
      <c r="F1014">
        <v>117</v>
      </c>
      <c r="G1014">
        <v>300</v>
      </c>
    </row>
    <row r="1015" spans="6:7" hidden="1">
      <c r="F1015">
        <v>118</v>
      </c>
      <c r="G1015">
        <v>300</v>
      </c>
    </row>
    <row r="1016" spans="6:7" hidden="1">
      <c r="F1016">
        <v>119</v>
      </c>
      <c r="G1016">
        <v>300</v>
      </c>
    </row>
    <row r="1017" spans="6:7" hidden="1">
      <c r="F1017">
        <v>120</v>
      </c>
      <c r="G1017">
        <v>300</v>
      </c>
    </row>
    <row r="1018" spans="6:7" hidden="1">
      <c r="F1018">
        <v>121</v>
      </c>
      <c r="G1018">
        <v>400</v>
      </c>
    </row>
    <row r="1019" spans="6:7" hidden="1">
      <c r="F1019">
        <v>122</v>
      </c>
      <c r="G1019">
        <v>400</v>
      </c>
    </row>
    <row r="1037" spans="1:15">
      <c r="A1037" s="84" t="s">
        <v>112</v>
      </c>
      <c r="B1037" s="120"/>
      <c r="C1037" s="120"/>
      <c r="D1037" s="120"/>
      <c r="E1037" s="120"/>
      <c r="F1037" s="120"/>
      <c r="G1037" s="120"/>
      <c r="H1037" s="120"/>
      <c r="I1037" s="189"/>
      <c r="J1037" s="195"/>
      <c r="K1037" s="195"/>
      <c r="L1037" s="195"/>
      <c r="M1037" s="195"/>
      <c r="N1037" s="195"/>
      <c r="O1037" s="195"/>
    </row>
    <row r="1038" spans="1:15">
      <c r="A1038" s="84" t="s">
        <v>113</v>
      </c>
      <c r="B1038" s="120"/>
      <c r="C1038" s="120"/>
      <c r="D1038" s="120"/>
      <c r="E1038" s="120"/>
      <c r="F1038" s="120"/>
      <c r="G1038" s="120"/>
      <c r="H1038" s="120"/>
      <c r="I1038" s="179" t="str">
        <f>+CONCATENATE("20142_",I1040)</f>
        <v>20142_33</v>
      </c>
      <c r="J1038" s="195"/>
      <c r="K1038" s="195"/>
      <c r="L1038" s="195"/>
      <c r="M1038" s="195"/>
      <c r="N1038" s="195"/>
      <c r="O1038" s="195"/>
    </row>
    <row r="1039" spans="1:15">
      <c r="A1039" s="84" t="s">
        <v>114</v>
      </c>
      <c r="B1039" s="120"/>
      <c r="C1039" s="120"/>
      <c r="D1039" s="120"/>
      <c r="E1039" s="120"/>
      <c r="F1039" s="120"/>
      <c r="G1039" s="120"/>
      <c r="H1039" s="120"/>
      <c r="I1039" s="120"/>
      <c r="J1039" s="195"/>
      <c r="K1039" s="195"/>
      <c r="L1039" s="195"/>
      <c r="M1039" s="195"/>
      <c r="N1039" s="195"/>
      <c r="O1039" s="195"/>
    </row>
    <row r="1040" spans="1:15">
      <c r="A1040" s="120"/>
      <c r="B1040" s="120"/>
      <c r="C1040" s="120"/>
      <c r="D1040" s="120"/>
      <c r="E1040" s="120"/>
      <c r="F1040" s="120"/>
      <c r="G1040" s="120"/>
      <c r="H1040" s="120"/>
      <c r="I1040" s="191">
        <v>33</v>
      </c>
      <c r="J1040" s="195"/>
      <c r="K1040" s="195"/>
      <c r="L1040" s="195"/>
      <c r="M1040" s="195"/>
      <c r="N1040" s="195"/>
      <c r="O1040" s="195"/>
    </row>
    <row r="1041" spans="1:15">
      <c r="A1041" s="120" t="s">
        <v>115</v>
      </c>
      <c r="B1041" s="120"/>
      <c r="C1041" s="120"/>
      <c r="D1041" s="120"/>
      <c r="E1041" s="120"/>
      <c r="F1041" s="120"/>
      <c r="G1041" s="120"/>
      <c r="H1041" s="120"/>
      <c r="I1041" s="83">
        <f>I5</f>
        <v>43801</v>
      </c>
      <c r="J1041" s="195"/>
      <c r="K1041" s="195"/>
      <c r="L1041" s="195"/>
      <c r="M1041" s="195"/>
      <c r="N1041" s="195"/>
      <c r="O1041" s="195"/>
    </row>
    <row r="1042" spans="1:15">
      <c r="A1042" s="120"/>
      <c r="B1042" s="120"/>
      <c r="C1042" s="120"/>
      <c r="D1042" s="120"/>
      <c r="E1042" s="120"/>
      <c r="F1042" s="120"/>
      <c r="G1042" s="120"/>
      <c r="H1042" s="120"/>
      <c r="I1042" s="120"/>
      <c r="J1042" s="195"/>
      <c r="K1042" s="195"/>
      <c r="L1042" s="195"/>
      <c r="M1042" s="195"/>
      <c r="N1042" s="195"/>
      <c r="O1042" s="195"/>
    </row>
    <row r="1043" spans="1:15">
      <c r="A1043" s="120" t="s">
        <v>116</v>
      </c>
      <c r="B1043" s="120"/>
      <c r="C1043" s="84" t="str">
        <f>VLOOKUP(I1040,AVANCEVENDEDOR!$A$2:$R$35,3,0)</f>
        <v>LOPEZ WASHINGTON -  TOTAL</v>
      </c>
      <c r="D1043" s="120"/>
      <c r="E1043" s="120"/>
      <c r="F1043" s="120"/>
      <c r="G1043" s="120"/>
      <c r="H1043" s="120"/>
      <c r="I1043" s="120"/>
      <c r="J1043" s="195"/>
      <c r="K1043" s="195"/>
      <c r="L1043" s="195"/>
      <c r="M1043" s="195"/>
      <c r="N1043" s="195"/>
      <c r="O1043" s="195"/>
    </row>
    <row r="1044" spans="1:15">
      <c r="A1044" s="120"/>
      <c r="B1044" s="120"/>
      <c r="C1044" s="120"/>
      <c r="D1044" s="120"/>
      <c r="E1044" s="120"/>
      <c r="F1044" s="120"/>
      <c r="G1044" s="120"/>
      <c r="H1044" s="120"/>
      <c r="I1044" s="84" t="s">
        <v>118</v>
      </c>
      <c r="J1044" s="195"/>
      <c r="K1044" s="195"/>
      <c r="L1044" s="195"/>
      <c r="M1044" s="195"/>
      <c r="N1044" s="195"/>
      <c r="O1044" s="195"/>
    </row>
    <row r="1045" spans="1:15">
      <c r="A1045" s="120"/>
      <c r="B1045" s="120"/>
      <c r="C1045" s="120"/>
      <c r="D1045" s="120"/>
      <c r="E1045" s="120"/>
      <c r="F1045" s="120"/>
      <c r="G1045" s="120"/>
      <c r="H1045" s="120"/>
      <c r="I1045" s="120"/>
      <c r="J1045" s="195"/>
      <c r="K1045" s="195"/>
      <c r="L1045" s="195"/>
      <c r="M1045" s="195"/>
      <c r="N1045" s="195"/>
      <c r="O1045" s="195"/>
    </row>
    <row r="1046" spans="1:15">
      <c r="A1046" s="120" t="s">
        <v>119</v>
      </c>
      <c r="B1046" s="120"/>
      <c r="C1046" s="120"/>
      <c r="D1046" s="120"/>
      <c r="E1046" s="120"/>
      <c r="F1046" s="120"/>
      <c r="G1046" s="120"/>
      <c r="H1046" s="120"/>
      <c r="I1046" s="181">
        <v>850</v>
      </c>
      <c r="J1046" s="195"/>
      <c r="K1046" s="195"/>
      <c r="L1046" s="195"/>
      <c r="M1046" s="195"/>
      <c r="N1046" s="195"/>
      <c r="O1046" s="195"/>
    </row>
    <row r="1047" spans="1:15">
      <c r="A1047" s="120" t="s">
        <v>120</v>
      </c>
      <c r="B1047" s="120"/>
      <c r="C1047" s="120"/>
      <c r="D1047" s="120"/>
      <c r="E1047" s="120"/>
      <c r="F1047" s="86" t="s">
        <v>272</v>
      </c>
      <c r="G1047" s="86" t="s">
        <v>122</v>
      </c>
      <c r="H1047" s="86" t="s">
        <v>123</v>
      </c>
      <c r="I1047" s="181">
        <v>400</v>
      </c>
      <c r="J1047" s="195"/>
      <c r="K1047" s="195"/>
      <c r="L1047" s="195"/>
      <c r="M1047" s="195"/>
      <c r="N1047" s="195"/>
      <c r="O1047" s="195"/>
    </row>
    <row r="1048" spans="1:15">
      <c r="A1048" s="120" t="s">
        <v>291</v>
      </c>
      <c r="B1048" s="120"/>
      <c r="C1048" s="120"/>
      <c r="D1048" s="120"/>
      <c r="E1048" s="120"/>
      <c r="F1048" s="182">
        <v>0.5</v>
      </c>
      <c r="G1048" s="182">
        <f>IF(I1040=13,80,85)</f>
        <v>85</v>
      </c>
      <c r="H1048" s="182">
        <f>+H1061</f>
        <v>68.361468888552281</v>
      </c>
      <c r="I1048" s="181">
        <f>IF(H1048&gt;=G1048,E1061*F1048%,0)</f>
        <v>0</v>
      </c>
      <c r="J1048" s="195"/>
      <c r="K1048" s="195"/>
      <c r="L1048" s="195"/>
      <c r="M1048" s="195"/>
      <c r="N1048" s="195"/>
      <c r="O1048" s="195"/>
    </row>
    <row r="1049" spans="1:15">
      <c r="A1049" s="120" t="str">
        <f>CONCATENATE("COM. MOROSIDAD AL ",G1049,"%")</f>
        <v>COM. MOROSIDAD AL 5%</v>
      </c>
      <c r="B1049" s="120"/>
      <c r="C1049" s="120"/>
      <c r="D1049" s="120"/>
      <c r="E1049" s="120"/>
      <c r="F1049" s="182">
        <v>0.3</v>
      </c>
      <c r="G1049" s="182">
        <v>5</v>
      </c>
      <c r="H1049" s="182">
        <f>+H1064</f>
        <v>9.7100000000000009</v>
      </c>
      <c r="I1049" s="181">
        <f>+IF(H1049&lt;=G1049,E1061*F1049%,0)</f>
        <v>0</v>
      </c>
      <c r="J1049" s="195"/>
      <c r="K1049" s="195"/>
      <c r="L1049" s="195"/>
      <c r="M1049" s="195"/>
      <c r="N1049" s="195"/>
      <c r="O1049" s="195"/>
    </row>
    <row r="1050" spans="1:15">
      <c r="A1050" s="120" t="s">
        <v>292</v>
      </c>
      <c r="B1050" s="120"/>
      <c r="C1050" s="120"/>
      <c r="D1050" s="120"/>
      <c r="E1050" s="120"/>
      <c r="F1050" s="182">
        <f>IF(I1040=3,0.1,0.2)</f>
        <v>0.2</v>
      </c>
      <c r="G1050" s="182">
        <f>IF(I1040=23,50,85)</f>
        <v>85</v>
      </c>
      <c r="H1050" s="182">
        <f>+H1068</f>
        <v>37.254901960784316</v>
      </c>
      <c r="I1050" s="181">
        <f>IF(H1050&gt;=G1050,E1061*F1050%,0)</f>
        <v>0</v>
      </c>
      <c r="J1050" s="195"/>
      <c r="K1050" s="195"/>
      <c r="L1050" s="195"/>
      <c r="M1050" s="195"/>
      <c r="N1050" s="195"/>
      <c r="O1050" s="195"/>
    </row>
    <row r="1051" spans="1:15">
      <c r="A1051" s="120" t="str">
        <f>IF(I1040=23,"COMISION POR TIEMPODE VIAJE",IF(I1040=22,"BONIFICACION"," "))</f>
        <v xml:space="preserve"> </v>
      </c>
      <c r="B1051" s="120"/>
      <c r="C1051" s="120"/>
      <c r="D1051" s="120"/>
      <c r="E1051" s="120"/>
      <c r="F1051" s="120"/>
      <c r="G1051" s="120"/>
      <c r="H1051" s="182"/>
      <c r="I1051" s="181" t="str">
        <f>IF(I1040=23,300,IF(I1040=22,400," "))</f>
        <v xml:space="preserve"> </v>
      </c>
      <c r="J1051" s="195"/>
      <c r="K1051" s="195"/>
      <c r="L1051" s="195"/>
      <c r="M1051" s="195"/>
      <c r="N1051" s="195"/>
      <c r="O1051" s="195"/>
    </row>
    <row r="1052" spans="1:15">
      <c r="A1052" s="189" t="s">
        <v>274</v>
      </c>
      <c r="B1052" s="189"/>
      <c r="C1052" s="189"/>
      <c r="D1052" s="189"/>
      <c r="E1052" s="189"/>
      <c r="F1052" s="374" t="s">
        <v>275</v>
      </c>
      <c r="G1052" s="374"/>
      <c r="H1052" s="375" t="s">
        <v>276</v>
      </c>
      <c r="I1052" s="193"/>
      <c r="J1052" s="195"/>
      <c r="K1052" s="195"/>
      <c r="L1052" s="195"/>
      <c r="M1052" s="195"/>
      <c r="N1052" s="195"/>
      <c r="O1052" s="195"/>
    </row>
    <row r="1053" spans="1:15">
      <c r="A1053" s="189"/>
      <c r="B1053" s="189"/>
      <c r="C1053" s="189"/>
      <c r="D1053" s="189"/>
      <c r="E1053" s="189"/>
      <c r="F1053" s="374" t="s">
        <v>277</v>
      </c>
      <c r="G1053" s="374"/>
      <c r="H1053" s="375"/>
      <c r="I1053" s="376">
        <v>0</v>
      </c>
      <c r="J1053" s="195"/>
      <c r="K1053" s="195"/>
      <c r="L1053" s="195"/>
      <c r="M1053" s="195"/>
      <c r="N1053" s="195"/>
      <c r="O1053" s="195"/>
    </row>
    <row r="1054" spans="1:15">
      <c r="A1054" s="189"/>
      <c r="B1054" s="197"/>
      <c r="C1054" s="197"/>
      <c r="D1054" s="197"/>
      <c r="E1054" s="197"/>
      <c r="F1054" s="374" t="s">
        <v>278</v>
      </c>
      <c r="G1054" s="374"/>
      <c r="H1054" s="375"/>
      <c r="I1054" s="376"/>
      <c r="J1054" s="195"/>
      <c r="K1054" s="195"/>
      <c r="L1054" s="195"/>
      <c r="M1054" s="195"/>
      <c r="N1054" s="195"/>
      <c r="O1054" s="195"/>
    </row>
    <row r="1055" spans="1:15">
      <c r="A1055" s="189"/>
      <c r="B1055" s="197"/>
      <c r="C1055" s="197"/>
      <c r="D1055" s="197"/>
      <c r="E1055" s="197"/>
      <c r="F1055" s="374" t="s">
        <v>279</v>
      </c>
      <c r="G1055" s="374"/>
      <c r="H1055" s="375"/>
      <c r="I1055" s="198"/>
      <c r="J1055" s="195"/>
      <c r="K1055" s="195"/>
      <c r="L1055" s="195"/>
      <c r="M1055" s="195"/>
      <c r="N1055" s="195"/>
      <c r="O1055" s="195"/>
    </row>
    <row r="1056" spans="1:15">
      <c r="A1056" s="120"/>
      <c r="B1056" s="84" t="str">
        <f>IF(I1040=13,"Remuneracion Extra"," ")</f>
        <v xml:space="preserve"> </v>
      </c>
      <c r="C1056" s="120"/>
      <c r="D1056" s="120"/>
      <c r="E1056" s="120"/>
      <c r="F1056" s="120"/>
      <c r="G1056" s="120"/>
      <c r="H1056" s="120"/>
      <c r="I1056" s="183"/>
      <c r="J1056" s="195"/>
      <c r="K1056" s="195"/>
      <c r="L1056" s="195"/>
      <c r="M1056" s="195"/>
      <c r="N1056" s="195"/>
      <c r="O1056" s="195"/>
    </row>
    <row r="1057" spans="1:15" ht="15.75">
      <c r="A1057" s="184" t="s">
        <v>129</v>
      </c>
      <c r="B1057" s="185"/>
      <c r="C1057" s="185"/>
      <c r="D1057" s="185"/>
      <c r="E1057" s="185"/>
      <c r="F1057" s="185"/>
      <c r="G1057" s="185"/>
      <c r="H1057" s="185"/>
      <c r="I1057" s="186">
        <f>SUM(I1046:I1056)</f>
        <v>1250</v>
      </c>
      <c r="J1057" s="195"/>
      <c r="K1057" s="195"/>
      <c r="L1057" s="195"/>
      <c r="M1057" s="195"/>
      <c r="N1057" s="195"/>
      <c r="O1057" s="195"/>
    </row>
    <row r="1058" spans="1:15">
      <c r="A1058" s="120"/>
      <c r="B1058" s="120"/>
      <c r="C1058" s="120"/>
      <c r="D1058" s="120"/>
      <c r="E1058" s="120"/>
      <c r="F1058" s="120"/>
      <c r="G1058" s="120"/>
      <c r="H1058" s="120"/>
      <c r="I1058" s="120"/>
      <c r="J1058" s="195"/>
      <c r="K1058" s="195"/>
      <c r="L1058" s="195"/>
      <c r="M1058" s="195"/>
      <c r="N1058" s="195"/>
      <c r="O1058" s="195"/>
    </row>
    <row r="1059" spans="1:15">
      <c r="A1059" s="121" t="s">
        <v>130</v>
      </c>
      <c r="B1059" s="121"/>
      <c r="C1059" s="121"/>
      <c r="D1059" s="121"/>
      <c r="E1059" s="121"/>
      <c r="F1059" s="121"/>
      <c r="G1059" s="121"/>
      <c r="H1059" s="121"/>
      <c r="I1059" s="121"/>
      <c r="J1059" s="195"/>
      <c r="K1059" s="195"/>
      <c r="L1059" s="195"/>
      <c r="M1059" s="195"/>
      <c r="N1059" s="195"/>
      <c r="O1059" s="195"/>
    </row>
    <row r="1060" spans="1:15">
      <c r="A1060" s="121"/>
      <c r="B1060" s="121" t="s">
        <v>131</v>
      </c>
      <c r="C1060" s="121"/>
      <c r="D1060" s="121"/>
      <c r="E1060" s="187">
        <f>VLOOKUP(I1040,AVANCEVENDEDOR!$A$2:$R$35,7,0)</f>
        <v>389519</v>
      </c>
      <c r="F1060" s="187"/>
      <c r="G1060" s="121"/>
      <c r="H1060" s="121"/>
      <c r="I1060" s="121"/>
      <c r="J1060" s="195"/>
      <c r="K1060" s="195"/>
      <c r="L1060" s="195"/>
      <c r="M1060" s="199"/>
      <c r="N1060" s="200"/>
      <c r="O1060" s="195"/>
    </row>
    <row r="1061" spans="1:15">
      <c r="A1061" s="121"/>
      <c r="B1061" s="121" t="s">
        <v>132</v>
      </c>
      <c r="C1061" s="121"/>
      <c r="D1061" s="121"/>
      <c r="E1061" s="187">
        <f>IF(I1040=27,(VLOOKUP(I1040,AVANCEVENDEDOR!$A$2:$R$35,6,0)-I1037),(VLOOKUP(I1040,AVANCEVENDEDOR!$A$2:$R$35,6,0)))</f>
        <v>266280.90999999997</v>
      </c>
      <c r="F1061" s="187"/>
      <c r="G1061" s="188" t="s">
        <v>133</v>
      </c>
      <c r="H1061" s="187">
        <f>+E1061*100/E1060</f>
        <v>68.361468888552281</v>
      </c>
      <c r="I1061" s="121"/>
      <c r="J1061" s="195"/>
      <c r="K1061" s="121"/>
      <c r="L1061" s="201"/>
      <c r="M1061" s="195"/>
      <c r="N1061" s="195"/>
      <c r="O1061" s="195"/>
    </row>
    <row r="1062" spans="1:15">
      <c r="A1062" s="121"/>
      <c r="B1062" s="121"/>
      <c r="C1062" s="121"/>
      <c r="D1062" s="121"/>
      <c r="E1062" s="121"/>
      <c r="F1062" s="121"/>
      <c r="G1062" s="188"/>
      <c r="H1062" s="121"/>
      <c r="I1062" s="121"/>
      <c r="J1062" s="195"/>
      <c r="K1062" s="195"/>
      <c r="L1062" s="195"/>
      <c r="M1062" s="195"/>
      <c r="N1062" s="195"/>
      <c r="O1062" s="195"/>
    </row>
    <row r="1063" spans="1:15">
      <c r="A1063" s="121"/>
      <c r="B1063" s="121" t="s">
        <v>134</v>
      </c>
      <c r="C1063" s="121"/>
      <c r="D1063" s="121"/>
      <c r="E1063" s="187">
        <f>VLOOKUP(I1040,AVANCEVENDEDOR!$A$2:$R$35,10,0)</f>
        <v>984554.40999999992</v>
      </c>
      <c r="F1063" s="187"/>
      <c r="G1063" s="188"/>
      <c r="H1063" s="121"/>
      <c r="I1063" s="121"/>
      <c r="J1063" s="195"/>
      <c r="K1063" s="195"/>
      <c r="L1063" s="195"/>
      <c r="M1063" s="195"/>
      <c r="N1063" s="195"/>
      <c r="O1063" s="195"/>
    </row>
    <row r="1064" spans="1:15">
      <c r="A1064" s="121"/>
      <c r="B1064" s="121" t="s">
        <v>135</v>
      </c>
      <c r="C1064" s="121"/>
      <c r="D1064" s="121"/>
      <c r="E1064" s="187">
        <f>VLOOKUP(I1040,AVANCEVENDEDOR!$A$2:$R$35,11,0)</f>
        <v>102944.01999999999</v>
      </c>
      <c r="F1064" s="187"/>
      <c r="G1064" s="188" t="s">
        <v>136</v>
      </c>
      <c r="H1064" s="187">
        <f>VLOOKUP(I1040,AVANCEVENDEDOR!$A$2:$R$35,15,0)</f>
        <v>9.7100000000000009</v>
      </c>
      <c r="I1064" s="121"/>
      <c r="J1064" s="195"/>
      <c r="K1064" s="195"/>
      <c r="L1064" s="195"/>
      <c r="M1064" s="195"/>
      <c r="N1064" s="195"/>
      <c r="O1064" s="195"/>
    </row>
    <row r="1065" spans="1:15">
      <c r="A1065" s="121"/>
      <c r="B1065" s="121" t="s">
        <v>137</v>
      </c>
      <c r="C1065" s="121"/>
      <c r="D1065" s="121"/>
      <c r="E1065" s="187">
        <f>VLOOKUP(I1040,AVANCEVENDEDOR!$A$2:$R$35,9,0)</f>
        <v>455412.02</v>
      </c>
      <c r="F1065" s="187"/>
      <c r="G1065" s="188"/>
      <c r="H1065" s="121"/>
      <c r="I1065" s="121"/>
      <c r="J1065" s="195"/>
      <c r="K1065" s="195"/>
      <c r="L1065" s="195"/>
      <c r="M1065" s="195"/>
      <c r="N1065" s="195"/>
      <c r="O1065" s="195"/>
    </row>
    <row r="1066" spans="1:15">
      <c r="A1066" s="121"/>
      <c r="B1066" s="121"/>
      <c r="C1066" s="121"/>
      <c r="D1066" s="121"/>
      <c r="E1066" s="121"/>
      <c r="F1066" s="121"/>
      <c r="G1066" s="188"/>
      <c r="H1066" s="121"/>
      <c r="I1066" s="121"/>
      <c r="J1066" s="195"/>
      <c r="K1066" s="195"/>
      <c r="L1066" s="195"/>
      <c r="M1066" s="195"/>
      <c r="N1066" s="195"/>
      <c r="O1066" s="195"/>
    </row>
    <row r="1067" spans="1:15">
      <c r="A1067" s="121"/>
      <c r="B1067" s="121" t="s">
        <v>280</v>
      </c>
      <c r="C1067" s="121"/>
      <c r="D1067" s="121"/>
      <c r="E1067" s="187">
        <f>VLOOKUP(I1040,AVANCEVENDEDOR!$A$2:$R$35,13,0)</f>
        <v>153</v>
      </c>
      <c r="F1067" s="187"/>
      <c r="G1067" s="121"/>
      <c r="H1067" s="187"/>
      <c r="I1067" s="121"/>
      <c r="J1067" s="195"/>
      <c r="K1067" s="195"/>
      <c r="L1067" s="195"/>
      <c r="M1067" s="195"/>
      <c r="N1067" s="195"/>
      <c r="O1067" s="195"/>
    </row>
    <row r="1068" spans="1:15">
      <c r="A1068" s="121"/>
      <c r="B1068" s="121" t="s">
        <v>281</v>
      </c>
      <c r="C1068" s="121"/>
      <c r="D1068" s="121"/>
      <c r="E1068" s="187">
        <f>VLOOKUP(I1040,AVANCEVENDEDOR!$A$2:$R$35,14,0)</f>
        <v>57</v>
      </c>
      <c r="F1068" s="187"/>
      <c r="G1068" s="188" t="s">
        <v>140</v>
      </c>
      <c r="H1068" s="187">
        <f>+E1068*100/E1067</f>
        <v>37.254901960784316</v>
      </c>
      <c r="I1068" s="121"/>
      <c r="J1068" s="195"/>
      <c r="K1068" s="195"/>
      <c r="L1068" s="195"/>
      <c r="M1068" s="195"/>
      <c r="N1068" s="195"/>
      <c r="O1068" s="195"/>
    </row>
    <row r="1069" spans="1:15">
      <c r="J1069" s="195"/>
      <c r="K1069" s="195"/>
      <c r="L1069" s="195"/>
      <c r="M1069" s="195"/>
      <c r="N1069" s="195"/>
      <c r="O1069" s="195"/>
    </row>
    <row r="1070" spans="1:15" hidden="1">
      <c r="F1070">
        <v>99</v>
      </c>
    </row>
    <row r="1071" spans="1:15" hidden="1">
      <c r="F1071">
        <v>100</v>
      </c>
      <c r="G1071">
        <v>100</v>
      </c>
    </row>
    <row r="1072" spans="1:15" hidden="1">
      <c r="F1072">
        <v>101</v>
      </c>
      <c r="G1072">
        <v>100</v>
      </c>
    </row>
    <row r="1073" spans="6:7" hidden="1">
      <c r="F1073">
        <v>102</v>
      </c>
      <c r="G1073">
        <v>100</v>
      </c>
    </row>
    <row r="1074" spans="6:7" hidden="1">
      <c r="F1074">
        <v>103</v>
      </c>
      <c r="G1074">
        <v>100</v>
      </c>
    </row>
    <row r="1075" spans="6:7" hidden="1">
      <c r="F1075">
        <v>104</v>
      </c>
      <c r="G1075">
        <v>100</v>
      </c>
    </row>
    <row r="1076" spans="6:7" hidden="1">
      <c r="F1076">
        <v>105</v>
      </c>
      <c r="G1076">
        <v>100</v>
      </c>
    </row>
    <row r="1077" spans="6:7" hidden="1">
      <c r="F1077">
        <v>106</v>
      </c>
      <c r="G1077">
        <v>200</v>
      </c>
    </row>
    <row r="1078" spans="6:7" hidden="1">
      <c r="F1078">
        <v>107</v>
      </c>
      <c r="G1078">
        <v>200</v>
      </c>
    </row>
    <row r="1079" spans="6:7" hidden="1">
      <c r="F1079">
        <v>108</v>
      </c>
      <c r="G1079">
        <v>200</v>
      </c>
    </row>
    <row r="1080" spans="6:7" hidden="1">
      <c r="F1080">
        <v>109</v>
      </c>
      <c r="G1080">
        <v>200</v>
      </c>
    </row>
    <row r="1081" spans="6:7" hidden="1">
      <c r="F1081">
        <v>110</v>
      </c>
      <c r="G1081">
        <v>200</v>
      </c>
    </row>
    <row r="1082" spans="6:7" hidden="1">
      <c r="F1082">
        <v>111</v>
      </c>
      <c r="G1082">
        <v>200</v>
      </c>
    </row>
    <row r="1083" spans="6:7" hidden="1">
      <c r="F1083">
        <v>112</v>
      </c>
      <c r="G1083">
        <v>200</v>
      </c>
    </row>
    <row r="1084" spans="6:7" hidden="1">
      <c r="F1084">
        <v>113</v>
      </c>
      <c r="G1084">
        <v>200</v>
      </c>
    </row>
    <row r="1085" spans="6:7" hidden="1">
      <c r="F1085">
        <v>114</v>
      </c>
      <c r="G1085">
        <v>200</v>
      </c>
    </row>
    <row r="1086" spans="6:7" hidden="1">
      <c r="F1086">
        <v>115</v>
      </c>
      <c r="G1086">
        <v>300</v>
      </c>
    </row>
    <row r="1087" spans="6:7" hidden="1">
      <c r="F1087">
        <v>116</v>
      </c>
      <c r="G1087">
        <v>300</v>
      </c>
    </row>
    <row r="1088" spans="6:7" hidden="1">
      <c r="F1088">
        <v>117</v>
      </c>
      <c r="G1088">
        <v>300</v>
      </c>
    </row>
    <row r="1089" spans="6:7" hidden="1">
      <c r="F1089">
        <v>118</v>
      </c>
      <c r="G1089">
        <v>300</v>
      </c>
    </row>
    <row r="1090" spans="6:7" hidden="1">
      <c r="F1090">
        <v>119</v>
      </c>
      <c r="G1090">
        <v>300</v>
      </c>
    </row>
    <row r="1091" spans="6:7" hidden="1">
      <c r="F1091">
        <v>120</v>
      </c>
      <c r="G1091">
        <v>300</v>
      </c>
    </row>
    <row r="1092" spans="6:7" hidden="1">
      <c r="F1092">
        <v>121</v>
      </c>
      <c r="G1092">
        <v>400</v>
      </c>
    </row>
    <row r="1093" spans="6:7" hidden="1">
      <c r="F1093">
        <v>122</v>
      </c>
      <c r="G1093">
        <v>400</v>
      </c>
    </row>
    <row r="1111" spans="1:15">
      <c r="A1111" s="84" t="s">
        <v>112</v>
      </c>
      <c r="B1111" s="120"/>
      <c r="C1111" s="120"/>
      <c r="D1111" s="120"/>
      <c r="E1111" s="120"/>
      <c r="F1111" s="120"/>
      <c r="G1111" s="120"/>
      <c r="H1111" s="120"/>
      <c r="I1111" s="189"/>
      <c r="J1111" s="195"/>
      <c r="K1111" s="195"/>
      <c r="L1111" s="195"/>
      <c r="M1111" s="195"/>
      <c r="N1111" s="195"/>
      <c r="O1111" s="195"/>
    </row>
    <row r="1112" spans="1:15">
      <c r="A1112" s="84" t="s">
        <v>113</v>
      </c>
      <c r="B1112" s="120"/>
      <c r="C1112" s="120"/>
      <c r="D1112" s="120"/>
      <c r="E1112" s="120"/>
      <c r="F1112" s="120"/>
      <c r="G1112" s="120"/>
      <c r="H1112" s="120"/>
      <c r="I1112" s="179" t="str">
        <f>+CONCATENATE("20142_",I1114)</f>
        <v>20142_24</v>
      </c>
      <c r="J1112" s="195"/>
      <c r="K1112" s="195"/>
      <c r="L1112" s="195"/>
      <c r="M1112" s="195"/>
      <c r="N1112" s="195"/>
      <c r="O1112" s="195"/>
    </row>
    <row r="1113" spans="1:15">
      <c r="A1113" s="84" t="s">
        <v>114</v>
      </c>
      <c r="B1113" s="120"/>
      <c r="C1113" s="120"/>
      <c r="D1113" s="120"/>
      <c r="E1113" s="120"/>
      <c r="F1113" s="120"/>
      <c r="G1113" s="120"/>
      <c r="H1113" s="120"/>
      <c r="I1113" s="120"/>
      <c r="J1113" s="195"/>
      <c r="K1113" s="195"/>
      <c r="L1113" s="195"/>
      <c r="M1113" s="195"/>
      <c r="N1113" s="195"/>
      <c r="O1113" s="195"/>
    </row>
    <row r="1114" spans="1:15">
      <c r="A1114" s="120"/>
      <c r="B1114" s="120"/>
      <c r="C1114" s="120"/>
      <c r="D1114" s="120"/>
      <c r="E1114" s="120"/>
      <c r="F1114" s="120"/>
      <c r="G1114" s="120"/>
      <c r="H1114" s="120"/>
      <c r="I1114" s="191">
        <v>24</v>
      </c>
      <c r="J1114" s="195"/>
      <c r="K1114" s="195"/>
      <c r="L1114" s="195"/>
      <c r="M1114" s="195"/>
      <c r="N1114" s="195"/>
      <c r="O1114" s="195"/>
    </row>
    <row r="1115" spans="1:15">
      <c r="A1115" s="120" t="s">
        <v>115</v>
      </c>
      <c r="B1115" s="120"/>
      <c r="C1115" s="120"/>
      <c r="D1115" s="120"/>
      <c r="E1115" s="120"/>
      <c r="F1115" s="120"/>
      <c r="G1115" s="120"/>
      <c r="H1115" s="120"/>
      <c r="I1115" s="83">
        <f>I5</f>
        <v>43801</v>
      </c>
      <c r="J1115" s="195"/>
      <c r="K1115" s="195"/>
      <c r="L1115" s="195"/>
      <c r="M1115" s="195"/>
      <c r="N1115" s="195"/>
      <c r="O1115" s="195"/>
    </row>
    <row r="1116" spans="1:15">
      <c r="A1116" s="120"/>
      <c r="B1116" s="120"/>
      <c r="C1116" s="120"/>
      <c r="D1116" s="120"/>
      <c r="E1116" s="120"/>
      <c r="F1116" s="120"/>
      <c r="G1116" s="120"/>
      <c r="H1116" s="120"/>
      <c r="I1116" s="120"/>
      <c r="J1116" s="195"/>
      <c r="K1116" s="195"/>
      <c r="L1116" s="195"/>
      <c r="M1116" s="195"/>
      <c r="N1116" s="195"/>
      <c r="O1116" s="195"/>
    </row>
    <row r="1117" spans="1:15">
      <c r="A1117" s="120" t="s">
        <v>116</v>
      </c>
      <c r="B1117" s="120"/>
      <c r="C1117" s="84" t="str">
        <f>VLOOKUP(I1114,AVANCEVENDEDOR!$A$2:$R$35,3,0)</f>
        <v>FLORES PALOMINO JIM</v>
      </c>
      <c r="D1117" s="120"/>
      <c r="E1117" s="120"/>
      <c r="F1117" s="120"/>
      <c r="G1117" s="120"/>
      <c r="H1117" s="120"/>
      <c r="I1117" s="120"/>
      <c r="J1117" s="195"/>
      <c r="K1117" s="195"/>
      <c r="L1117" s="195"/>
      <c r="M1117" s="195"/>
      <c r="N1117" s="195"/>
      <c r="O1117" s="195"/>
    </row>
    <row r="1118" spans="1:15">
      <c r="A1118" s="120"/>
      <c r="B1118" s="120"/>
      <c r="C1118" s="120"/>
      <c r="D1118" s="120"/>
      <c r="E1118" s="120"/>
      <c r="F1118" s="120"/>
      <c r="G1118" s="120"/>
      <c r="H1118" s="120"/>
      <c r="I1118" s="84" t="s">
        <v>118</v>
      </c>
      <c r="J1118" s="195"/>
      <c r="K1118" s="195"/>
      <c r="L1118" s="195"/>
      <c r="M1118" s="195"/>
      <c r="N1118" s="195"/>
      <c r="O1118" s="195"/>
    </row>
    <row r="1119" spans="1:15">
      <c r="A1119" s="120"/>
      <c r="B1119" s="120"/>
      <c r="C1119" s="120"/>
      <c r="D1119" s="120"/>
      <c r="E1119" s="120"/>
      <c r="F1119" s="120"/>
      <c r="G1119" s="120"/>
      <c r="H1119" s="120"/>
      <c r="I1119" s="120"/>
      <c r="J1119" s="195"/>
      <c r="K1119" s="195"/>
      <c r="L1119" s="195"/>
      <c r="M1119" s="195"/>
      <c r="N1119" s="195"/>
      <c r="O1119" s="195"/>
    </row>
    <row r="1120" spans="1:15">
      <c r="A1120" s="120" t="s">
        <v>119</v>
      </c>
      <c r="B1120" s="120"/>
      <c r="C1120" s="120"/>
      <c r="D1120" s="120"/>
      <c r="E1120" s="120"/>
      <c r="F1120" s="120"/>
      <c r="G1120" s="120"/>
      <c r="H1120" s="120"/>
      <c r="I1120" s="181">
        <v>850</v>
      </c>
      <c r="J1120" s="195"/>
      <c r="K1120" s="195"/>
      <c r="L1120" s="195"/>
      <c r="M1120" s="195"/>
      <c r="N1120" s="195"/>
      <c r="O1120" s="195"/>
    </row>
    <row r="1121" spans="1:15">
      <c r="A1121" s="120" t="s">
        <v>120</v>
      </c>
      <c r="B1121" s="120"/>
      <c r="C1121" s="120"/>
      <c r="D1121" s="120"/>
      <c r="E1121" s="120"/>
      <c r="F1121" s="86" t="s">
        <v>272</v>
      </c>
      <c r="G1121" s="86" t="s">
        <v>122</v>
      </c>
      <c r="H1121" s="86" t="s">
        <v>123</v>
      </c>
      <c r="I1121" s="181">
        <v>400</v>
      </c>
      <c r="J1121" s="195"/>
      <c r="K1121" s="195"/>
      <c r="L1121" s="195"/>
      <c r="M1121" s="195"/>
      <c r="N1121" s="195"/>
      <c r="O1121" s="195"/>
    </row>
    <row r="1122" spans="1:15">
      <c r="A1122" s="120" t="s">
        <v>291</v>
      </c>
      <c r="B1122" s="120"/>
      <c r="C1122" s="120"/>
      <c r="D1122" s="120"/>
      <c r="E1122" s="120"/>
      <c r="F1122" s="182">
        <v>0.5</v>
      </c>
      <c r="G1122" s="182">
        <f>IF(I1114=13,80,85)</f>
        <v>85</v>
      </c>
      <c r="H1122" s="182">
        <f>+H1135</f>
        <v>50.354244326375103</v>
      </c>
      <c r="I1122" s="181">
        <f>IF(H1122&gt;=G1122,E1135*F1122%,0)</f>
        <v>0</v>
      </c>
      <c r="J1122" s="195"/>
      <c r="K1122" s="195"/>
      <c r="L1122" s="195"/>
      <c r="M1122" s="195"/>
      <c r="N1122" s="195"/>
      <c r="O1122" s="195"/>
    </row>
    <row r="1123" spans="1:15">
      <c r="A1123" s="120" t="str">
        <f>CONCATENATE("COM. MOROSIDAD AL ",G1123,"%")</f>
        <v>COM. MOROSIDAD AL 5%</v>
      </c>
      <c r="B1123" s="120"/>
      <c r="C1123" s="120"/>
      <c r="D1123" s="120"/>
      <c r="E1123" s="120"/>
      <c r="F1123" s="182">
        <v>0.3</v>
      </c>
      <c r="G1123" s="182">
        <v>5</v>
      </c>
      <c r="H1123" s="182">
        <f>+H1138</f>
        <v>28.13</v>
      </c>
      <c r="I1123" s="181">
        <f>+IF(H1123&lt;=G1123,E1135*F1123%,0)</f>
        <v>0</v>
      </c>
      <c r="J1123" s="195"/>
      <c r="K1123" s="195"/>
      <c r="L1123" s="195"/>
      <c r="M1123" s="195"/>
      <c r="N1123" s="195"/>
      <c r="O1123" s="195"/>
    </row>
    <row r="1124" spans="1:15">
      <c r="A1124" s="120" t="s">
        <v>292</v>
      </c>
      <c r="B1124" s="120"/>
      <c r="C1124" s="120"/>
      <c r="D1124" s="120"/>
      <c r="E1124" s="120"/>
      <c r="F1124" s="182">
        <f>IF(I1114=3,0.1,0.2)</f>
        <v>0.2</v>
      </c>
      <c r="G1124" s="182">
        <f>IF(I1114=23,50,85)</f>
        <v>85</v>
      </c>
      <c r="H1124" s="182">
        <f>+H1142</f>
        <v>36.263736263736263</v>
      </c>
      <c r="I1124" s="181">
        <f>IF(H1124&gt;=G1124,E1135*F1124%,0)</f>
        <v>0</v>
      </c>
      <c r="J1124" s="195"/>
      <c r="K1124" s="195"/>
      <c r="L1124" s="195"/>
      <c r="M1124" s="195"/>
      <c r="N1124" s="195"/>
      <c r="O1124" s="195"/>
    </row>
    <row r="1125" spans="1:15">
      <c r="A1125" s="120" t="str">
        <f>IF(I1114=23,"COMISION POR TIEMPODE VIAJE",IF(I1114=22,"BONIFICACION"," "))</f>
        <v xml:space="preserve"> </v>
      </c>
      <c r="B1125" s="120"/>
      <c r="C1125" s="120"/>
      <c r="D1125" s="120"/>
      <c r="E1125" s="120"/>
      <c r="F1125" s="120"/>
      <c r="G1125" s="120"/>
      <c r="H1125" s="182"/>
      <c r="I1125" s="181" t="str">
        <f>IF(I1114=23,300,IF(I1114=22,400," "))</f>
        <v xml:space="preserve"> </v>
      </c>
      <c r="J1125" s="195"/>
      <c r="K1125" s="195"/>
      <c r="L1125" s="195"/>
      <c r="M1125" s="195"/>
      <c r="N1125" s="195"/>
      <c r="O1125" s="195"/>
    </row>
    <row r="1126" spans="1:15">
      <c r="A1126" s="189" t="s">
        <v>274</v>
      </c>
      <c r="B1126" s="189"/>
      <c r="C1126" s="189"/>
      <c r="D1126" s="189"/>
      <c r="E1126" s="189"/>
      <c r="F1126" s="374" t="s">
        <v>275</v>
      </c>
      <c r="G1126" s="374"/>
      <c r="H1126" s="375" t="s">
        <v>276</v>
      </c>
      <c r="I1126" s="193"/>
      <c r="J1126" s="195"/>
      <c r="K1126" s="195"/>
      <c r="L1126" s="195"/>
      <c r="M1126" s="195"/>
      <c r="N1126" s="195"/>
      <c r="O1126" s="195"/>
    </row>
    <row r="1127" spans="1:15">
      <c r="A1127" s="189"/>
      <c r="B1127" s="189"/>
      <c r="C1127" s="189"/>
      <c r="D1127" s="189"/>
      <c r="E1127" s="189"/>
      <c r="F1127" s="374" t="s">
        <v>277</v>
      </c>
      <c r="G1127" s="374"/>
      <c r="H1127" s="375"/>
      <c r="I1127" s="376">
        <v>0</v>
      </c>
      <c r="J1127" s="195"/>
      <c r="K1127" s="195"/>
      <c r="L1127" s="195"/>
      <c r="M1127" s="195"/>
      <c r="N1127" s="195"/>
      <c r="O1127" s="195"/>
    </row>
    <row r="1128" spans="1:15">
      <c r="A1128" s="189"/>
      <c r="B1128" s="197"/>
      <c r="C1128" s="197"/>
      <c r="D1128" s="197"/>
      <c r="E1128" s="197"/>
      <c r="F1128" s="374" t="s">
        <v>278</v>
      </c>
      <c r="G1128" s="374"/>
      <c r="H1128" s="375"/>
      <c r="I1128" s="376"/>
      <c r="J1128" s="195"/>
      <c r="K1128" s="195"/>
      <c r="L1128" s="195"/>
      <c r="M1128" s="195"/>
      <c r="N1128" s="195"/>
      <c r="O1128" s="195"/>
    </row>
    <row r="1129" spans="1:15">
      <c r="A1129" s="189"/>
      <c r="B1129" s="197"/>
      <c r="C1129" s="197"/>
      <c r="D1129" s="197"/>
      <c r="E1129" s="197"/>
      <c r="F1129" s="374" t="s">
        <v>279</v>
      </c>
      <c r="G1129" s="374"/>
      <c r="H1129" s="375"/>
      <c r="I1129" s="198"/>
      <c r="J1129" s="195"/>
      <c r="K1129" s="195"/>
      <c r="L1129" s="195"/>
      <c r="M1129" s="195"/>
      <c r="N1129" s="195"/>
      <c r="O1129" s="195"/>
    </row>
    <row r="1130" spans="1:15">
      <c r="A1130" s="120"/>
      <c r="B1130" s="84" t="str">
        <f>IF(I1114=13,"Remuneracion Extra"," ")</f>
        <v xml:space="preserve"> </v>
      </c>
      <c r="C1130" s="120"/>
      <c r="D1130" s="120"/>
      <c r="E1130" s="120"/>
      <c r="F1130" s="120"/>
      <c r="G1130" s="120"/>
      <c r="H1130" s="120"/>
      <c r="I1130" s="183"/>
      <c r="J1130" s="195"/>
      <c r="K1130" s="195"/>
      <c r="L1130" s="195"/>
      <c r="M1130" s="195"/>
      <c r="N1130" s="195"/>
      <c r="O1130" s="195"/>
    </row>
    <row r="1131" spans="1:15" ht="15.75">
      <c r="A1131" s="184" t="s">
        <v>129</v>
      </c>
      <c r="B1131" s="185"/>
      <c r="C1131" s="185"/>
      <c r="D1131" s="185"/>
      <c r="E1131" s="185"/>
      <c r="F1131" s="185"/>
      <c r="G1131" s="185"/>
      <c r="H1131" s="185"/>
      <c r="I1131" s="186">
        <f>SUM(I1120:I1130)</f>
        <v>1250</v>
      </c>
      <c r="J1131" s="195"/>
      <c r="K1131" s="195"/>
      <c r="L1131" s="195"/>
      <c r="M1131" s="195"/>
      <c r="N1131" s="195"/>
      <c r="O1131" s="195"/>
    </row>
    <row r="1132" spans="1:15">
      <c r="A1132" s="120"/>
      <c r="B1132" s="120"/>
      <c r="C1132" s="120"/>
      <c r="D1132" s="120"/>
      <c r="E1132" s="120"/>
      <c r="F1132" s="120"/>
      <c r="G1132" s="120"/>
      <c r="H1132" s="120"/>
      <c r="I1132" s="120"/>
      <c r="J1132" s="195"/>
      <c r="K1132" s="195"/>
      <c r="L1132" s="195"/>
      <c r="M1132" s="195"/>
      <c r="N1132" s="195"/>
      <c r="O1132" s="195"/>
    </row>
    <row r="1133" spans="1:15">
      <c r="A1133" s="121" t="s">
        <v>130</v>
      </c>
      <c r="B1133" s="121"/>
      <c r="C1133" s="121"/>
      <c r="D1133" s="121"/>
      <c r="E1133" s="121"/>
      <c r="F1133" s="121"/>
      <c r="G1133" s="121"/>
      <c r="H1133" s="121"/>
      <c r="I1133" s="121"/>
      <c r="J1133" s="195"/>
      <c r="K1133" s="195"/>
      <c r="L1133" s="195"/>
      <c r="M1133" s="195"/>
      <c r="N1133" s="195"/>
      <c r="O1133" s="195"/>
    </row>
    <row r="1134" spans="1:15">
      <c r="A1134" s="121"/>
      <c r="B1134" s="121" t="s">
        <v>131</v>
      </c>
      <c r="C1134" s="121"/>
      <c r="D1134" s="121"/>
      <c r="E1134" s="187">
        <f>VLOOKUP(I1114,AVANCEVENDEDOR!$A$2:$R$35,7,0)</f>
        <v>160698.41</v>
      </c>
      <c r="F1134" s="187"/>
      <c r="G1134" s="121"/>
      <c r="H1134" s="121"/>
      <c r="I1134" s="121"/>
      <c r="J1134" s="195"/>
      <c r="K1134" s="195"/>
      <c r="L1134" s="195"/>
      <c r="M1134" s="199"/>
      <c r="N1134" s="200"/>
      <c r="O1134" s="195"/>
    </row>
    <row r="1135" spans="1:15">
      <c r="A1135" s="121"/>
      <c r="B1135" s="121" t="s">
        <v>132</v>
      </c>
      <c r="C1135" s="121"/>
      <c r="D1135" s="121"/>
      <c r="E1135" s="187">
        <f>IF(I1114=27,(VLOOKUP(I1114,AVANCEVENDEDOR!$A$2:$R$35,6,0)-I1111),(VLOOKUP(I1114,AVANCEVENDEDOR!$A$2:$R$35,6,0)))</f>
        <v>80918.47</v>
      </c>
      <c r="F1135" s="187"/>
      <c r="G1135" s="188" t="s">
        <v>133</v>
      </c>
      <c r="H1135" s="187">
        <f>+E1135*100/E1134</f>
        <v>50.354244326375103</v>
      </c>
      <c r="I1135" s="121"/>
      <c r="J1135" s="195"/>
      <c r="K1135" s="121"/>
      <c r="L1135" s="201"/>
      <c r="M1135" s="195"/>
      <c r="N1135" s="195"/>
      <c r="O1135" s="195"/>
    </row>
    <row r="1136" spans="1:15">
      <c r="A1136" s="121"/>
      <c r="B1136" s="121"/>
      <c r="C1136" s="121"/>
      <c r="D1136" s="121"/>
      <c r="E1136" s="121"/>
      <c r="F1136" s="121"/>
      <c r="G1136" s="188"/>
      <c r="H1136" s="121"/>
      <c r="I1136" s="121"/>
      <c r="J1136" s="195"/>
      <c r="K1136" s="195"/>
      <c r="L1136" s="195"/>
      <c r="M1136" s="195"/>
      <c r="N1136" s="195"/>
      <c r="O1136" s="195"/>
    </row>
    <row r="1137" spans="1:15">
      <c r="A1137" s="121"/>
      <c r="B1137" s="121" t="s">
        <v>134</v>
      </c>
      <c r="C1137" s="121"/>
      <c r="D1137" s="121"/>
      <c r="E1137" s="187">
        <f>VLOOKUP(I1114,AVANCEVENDEDOR!$A$2:$R$35,10,0)</f>
        <v>306158.3</v>
      </c>
      <c r="F1137" s="187"/>
      <c r="G1137" s="188"/>
      <c r="H1137" s="121"/>
      <c r="I1137" s="121"/>
      <c r="J1137" s="195"/>
      <c r="K1137" s="195"/>
      <c r="L1137" s="195"/>
      <c r="M1137" s="195"/>
      <c r="N1137" s="195"/>
      <c r="O1137" s="195"/>
    </row>
    <row r="1138" spans="1:15">
      <c r="A1138" s="121"/>
      <c r="B1138" s="121" t="s">
        <v>135</v>
      </c>
      <c r="C1138" s="121"/>
      <c r="D1138" s="121"/>
      <c r="E1138" s="187">
        <f>VLOOKUP(I1114,AVANCEVENDEDOR!$A$2:$R$35,11,0)</f>
        <v>86112.02</v>
      </c>
      <c r="F1138" s="187"/>
      <c r="G1138" s="188" t="s">
        <v>136</v>
      </c>
      <c r="H1138" s="187">
        <f>VLOOKUP(I1114,AVANCEVENDEDOR!$A$2:$R$35,15,0)</f>
        <v>28.13</v>
      </c>
      <c r="I1138" s="121"/>
      <c r="J1138" s="195"/>
      <c r="K1138" s="195"/>
      <c r="L1138" s="195"/>
      <c r="M1138" s="195"/>
      <c r="N1138" s="195"/>
      <c r="O1138" s="195"/>
    </row>
    <row r="1139" spans="1:15">
      <c r="A1139" s="121"/>
      <c r="B1139" s="121" t="s">
        <v>137</v>
      </c>
      <c r="C1139" s="121"/>
      <c r="D1139" s="121"/>
      <c r="E1139" s="187">
        <f>VLOOKUP(I1114,AVANCEVENDEDOR!$A$2:$R$35,9,0)</f>
        <v>128132.72</v>
      </c>
      <c r="F1139" s="187"/>
      <c r="G1139" s="188"/>
      <c r="H1139" s="121"/>
      <c r="I1139" s="121"/>
      <c r="J1139" s="195"/>
      <c r="K1139" s="195"/>
      <c r="L1139" s="195"/>
      <c r="M1139" s="195"/>
      <c r="N1139" s="195"/>
      <c r="O1139" s="195"/>
    </row>
    <row r="1140" spans="1:15">
      <c r="A1140" s="121"/>
      <c r="B1140" s="121"/>
      <c r="C1140" s="121"/>
      <c r="D1140" s="121"/>
      <c r="E1140" s="121"/>
      <c r="F1140" s="121"/>
      <c r="G1140" s="188"/>
      <c r="H1140" s="121"/>
      <c r="I1140" s="121"/>
      <c r="J1140" s="195"/>
      <c r="K1140" s="195"/>
      <c r="L1140" s="195"/>
      <c r="M1140" s="195"/>
      <c r="N1140" s="195"/>
      <c r="O1140" s="195"/>
    </row>
    <row r="1141" spans="1:15">
      <c r="A1141" s="121"/>
      <c r="B1141" s="121" t="s">
        <v>280</v>
      </c>
      <c r="C1141" s="121"/>
      <c r="D1141" s="121"/>
      <c r="E1141" s="187">
        <f>VLOOKUP(I1114,AVANCEVENDEDOR!$A$2:$R$35,13,0)</f>
        <v>91</v>
      </c>
      <c r="F1141" s="187"/>
      <c r="G1141" s="121"/>
      <c r="H1141" s="187"/>
      <c r="I1141" s="121"/>
      <c r="J1141" s="195"/>
      <c r="K1141" s="195"/>
      <c r="L1141" s="195"/>
      <c r="M1141" s="195"/>
      <c r="N1141" s="195"/>
      <c r="O1141" s="195"/>
    </row>
    <row r="1142" spans="1:15">
      <c r="A1142" s="121"/>
      <c r="B1142" s="121" t="s">
        <v>281</v>
      </c>
      <c r="C1142" s="121"/>
      <c r="D1142" s="121"/>
      <c r="E1142" s="187">
        <f>VLOOKUP(I1114,AVANCEVENDEDOR!$A$2:$R$35,14,0)</f>
        <v>33</v>
      </c>
      <c r="F1142" s="187"/>
      <c r="G1142" s="188" t="s">
        <v>140</v>
      </c>
      <c r="H1142" s="187">
        <f>+E1142*100/E1141</f>
        <v>36.263736263736263</v>
      </c>
      <c r="I1142" s="121"/>
      <c r="J1142" s="195"/>
      <c r="K1142" s="195"/>
      <c r="L1142" s="195"/>
      <c r="M1142" s="195"/>
      <c r="N1142" s="195"/>
      <c r="O1142" s="195"/>
    </row>
    <row r="1143" spans="1:15">
      <c r="J1143" s="195"/>
      <c r="K1143" s="195"/>
      <c r="L1143" s="195"/>
      <c r="M1143" s="195"/>
      <c r="N1143" s="195"/>
      <c r="O1143" s="195"/>
    </row>
    <row r="1144" spans="1:15" hidden="1">
      <c r="F1144">
        <v>99</v>
      </c>
    </row>
    <row r="1145" spans="1:15" hidden="1">
      <c r="F1145">
        <v>100</v>
      </c>
      <c r="G1145">
        <v>100</v>
      </c>
    </row>
    <row r="1146" spans="1:15" hidden="1">
      <c r="F1146">
        <v>101</v>
      </c>
      <c r="G1146">
        <v>100</v>
      </c>
    </row>
    <row r="1147" spans="1:15" hidden="1">
      <c r="F1147">
        <v>102</v>
      </c>
      <c r="G1147">
        <v>100</v>
      </c>
    </row>
    <row r="1148" spans="1:15" hidden="1">
      <c r="F1148">
        <v>103</v>
      </c>
      <c r="G1148">
        <v>100</v>
      </c>
    </row>
    <row r="1149" spans="1:15" hidden="1">
      <c r="F1149">
        <v>104</v>
      </c>
      <c r="G1149">
        <v>100</v>
      </c>
    </row>
    <row r="1150" spans="1:15" hidden="1">
      <c r="F1150">
        <v>105</v>
      </c>
      <c r="G1150">
        <v>100</v>
      </c>
    </row>
    <row r="1151" spans="1:15" hidden="1">
      <c r="F1151">
        <v>106</v>
      </c>
      <c r="G1151">
        <v>200</v>
      </c>
    </row>
    <row r="1152" spans="1:15" hidden="1">
      <c r="F1152">
        <v>107</v>
      </c>
      <c r="G1152">
        <v>200</v>
      </c>
    </row>
    <row r="1153" spans="6:7" hidden="1">
      <c r="F1153">
        <v>108</v>
      </c>
      <c r="G1153">
        <v>200</v>
      </c>
    </row>
    <row r="1154" spans="6:7" hidden="1">
      <c r="F1154">
        <v>109</v>
      </c>
      <c r="G1154">
        <v>200</v>
      </c>
    </row>
    <row r="1155" spans="6:7" hidden="1">
      <c r="F1155">
        <v>110</v>
      </c>
      <c r="G1155">
        <v>200</v>
      </c>
    </row>
    <row r="1156" spans="6:7" hidden="1">
      <c r="F1156">
        <v>111</v>
      </c>
      <c r="G1156">
        <v>200</v>
      </c>
    </row>
    <row r="1157" spans="6:7" hidden="1">
      <c r="F1157">
        <v>112</v>
      </c>
      <c r="G1157">
        <v>200</v>
      </c>
    </row>
    <row r="1158" spans="6:7" hidden="1">
      <c r="F1158">
        <v>113</v>
      </c>
      <c r="G1158">
        <v>200</v>
      </c>
    </row>
    <row r="1159" spans="6:7" hidden="1">
      <c r="F1159">
        <v>114</v>
      </c>
      <c r="G1159">
        <v>200</v>
      </c>
    </row>
    <row r="1160" spans="6:7" hidden="1">
      <c r="F1160">
        <v>115</v>
      </c>
      <c r="G1160">
        <v>300</v>
      </c>
    </row>
    <row r="1161" spans="6:7" hidden="1">
      <c r="F1161">
        <v>116</v>
      </c>
      <c r="G1161">
        <v>300</v>
      </c>
    </row>
    <row r="1162" spans="6:7" hidden="1">
      <c r="F1162">
        <v>117</v>
      </c>
      <c r="G1162">
        <v>300</v>
      </c>
    </row>
    <row r="1163" spans="6:7" hidden="1">
      <c r="F1163">
        <v>118</v>
      </c>
      <c r="G1163">
        <v>300</v>
      </c>
    </row>
    <row r="1164" spans="6:7" hidden="1">
      <c r="F1164">
        <v>119</v>
      </c>
      <c r="G1164">
        <v>300</v>
      </c>
    </row>
    <row r="1165" spans="6:7" hidden="1">
      <c r="F1165">
        <v>120</v>
      </c>
      <c r="G1165">
        <v>300</v>
      </c>
    </row>
    <row r="1166" spans="6:7" hidden="1">
      <c r="F1166">
        <v>121</v>
      </c>
      <c r="G1166">
        <v>400</v>
      </c>
    </row>
    <row r="1167" spans="6:7" hidden="1">
      <c r="F1167">
        <v>122</v>
      </c>
      <c r="G1167">
        <v>400</v>
      </c>
    </row>
    <row r="1185" spans="1:15">
      <c r="A1185" s="84" t="s">
        <v>112</v>
      </c>
      <c r="B1185" s="120"/>
      <c r="C1185" s="120"/>
      <c r="D1185" s="120"/>
      <c r="E1185" s="120"/>
      <c r="F1185" s="120"/>
      <c r="G1185" s="120"/>
      <c r="H1185" s="120"/>
      <c r="I1185" s="189"/>
      <c r="J1185" s="195"/>
      <c r="K1185" s="195"/>
      <c r="L1185" s="195"/>
      <c r="M1185" s="195"/>
      <c r="N1185" s="195"/>
      <c r="O1185" s="195"/>
    </row>
    <row r="1186" spans="1:15">
      <c r="A1186" s="84" t="s">
        <v>113</v>
      </c>
      <c r="B1186" s="120"/>
      <c r="C1186" s="120"/>
      <c r="D1186" s="120"/>
      <c r="E1186" s="120"/>
      <c r="F1186" s="120"/>
      <c r="G1186" s="120"/>
      <c r="H1186" s="120"/>
      <c r="I1186" s="179" t="str">
        <f>+CONCATENATE("20142_",I1188)</f>
        <v>20142_25</v>
      </c>
      <c r="J1186" s="195"/>
      <c r="K1186" s="195"/>
      <c r="L1186" s="195"/>
      <c r="M1186" s="195"/>
      <c r="N1186" s="195"/>
      <c r="O1186" s="195"/>
    </row>
    <row r="1187" spans="1:15">
      <c r="A1187" s="84" t="s">
        <v>114</v>
      </c>
      <c r="B1187" s="120"/>
      <c r="C1187" s="120"/>
      <c r="D1187" s="120"/>
      <c r="E1187" s="120"/>
      <c r="F1187" s="120"/>
      <c r="G1187" s="120"/>
      <c r="H1187" s="120"/>
      <c r="I1187" s="120"/>
      <c r="J1187" s="195"/>
      <c r="K1187" s="195"/>
      <c r="L1187" s="195"/>
      <c r="M1187" s="195"/>
      <c r="N1187" s="195"/>
      <c r="O1187" s="195"/>
    </row>
    <row r="1188" spans="1:15">
      <c r="A1188" s="120"/>
      <c r="B1188" s="120"/>
      <c r="C1188" s="120"/>
      <c r="D1188" s="120"/>
      <c r="E1188" s="120"/>
      <c r="F1188" s="120"/>
      <c r="G1188" s="120"/>
      <c r="H1188" s="120"/>
      <c r="I1188" s="191">
        <v>25</v>
      </c>
      <c r="J1188" s="195"/>
      <c r="K1188" s="195"/>
      <c r="L1188" s="195"/>
      <c r="M1188" s="195"/>
      <c r="N1188" s="195"/>
      <c r="O1188" s="195"/>
    </row>
    <row r="1189" spans="1:15">
      <c r="A1189" s="120" t="s">
        <v>115</v>
      </c>
      <c r="B1189" s="120"/>
      <c r="C1189" s="120"/>
      <c r="D1189" s="120"/>
      <c r="E1189" s="120"/>
      <c r="F1189" s="120"/>
      <c r="G1189" s="120"/>
      <c r="H1189" s="120"/>
      <c r="I1189" s="83">
        <f>I5</f>
        <v>43801</v>
      </c>
      <c r="J1189" s="195"/>
      <c r="K1189" s="195"/>
      <c r="L1189" s="195"/>
      <c r="M1189" s="195"/>
      <c r="N1189" s="195"/>
      <c r="O1189" s="195"/>
    </row>
    <row r="1190" spans="1:15">
      <c r="A1190" s="120"/>
      <c r="B1190" s="120"/>
      <c r="C1190" s="120"/>
      <c r="D1190" s="120"/>
      <c r="E1190" s="120"/>
      <c r="F1190" s="120"/>
      <c r="G1190" s="120"/>
      <c r="H1190" s="120"/>
      <c r="I1190" s="120"/>
      <c r="J1190" s="195"/>
      <c r="K1190" s="195"/>
      <c r="L1190" s="195"/>
      <c r="M1190" s="195"/>
      <c r="N1190" s="195"/>
      <c r="O1190" s="195"/>
    </row>
    <row r="1191" spans="1:15">
      <c r="A1191" s="120" t="s">
        <v>116</v>
      </c>
      <c r="B1191" s="120"/>
      <c r="C1191" s="84" t="str">
        <f>VLOOKUP(I1188,AVANCEVENDEDOR!$A$2:$R$35,3,0)</f>
        <v>OLAECHEA LOZANO DANNY MANUEL</v>
      </c>
      <c r="D1191" s="120"/>
      <c r="E1191" s="120"/>
      <c r="F1191" s="120"/>
      <c r="G1191" s="120"/>
      <c r="H1191" s="120"/>
      <c r="I1191" s="120"/>
      <c r="J1191" s="195"/>
      <c r="K1191" s="195"/>
      <c r="L1191" s="195"/>
      <c r="M1191" s="195"/>
      <c r="N1191" s="195"/>
      <c r="O1191" s="195"/>
    </row>
    <row r="1192" spans="1:15">
      <c r="A1192" s="120"/>
      <c r="B1192" s="120"/>
      <c r="C1192" s="120"/>
      <c r="D1192" s="120"/>
      <c r="E1192" s="120"/>
      <c r="F1192" s="120"/>
      <c r="G1192" s="120"/>
      <c r="H1192" s="120"/>
      <c r="I1192" s="84" t="s">
        <v>118</v>
      </c>
      <c r="J1192" s="195"/>
      <c r="K1192" s="195"/>
      <c r="L1192" s="195"/>
      <c r="M1192" s="195"/>
      <c r="N1192" s="195"/>
      <c r="O1192" s="195"/>
    </row>
    <row r="1193" spans="1:15">
      <c r="A1193" s="120"/>
      <c r="B1193" s="120"/>
      <c r="C1193" s="120"/>
      <c r="D1193" s="120"/>
      <c r="E1193" s="120"/>
      <c r="F1193" s="120"/>
      <c r="G1193" s="120"/>
      <c r="H1193" s="120"/>
      <c r="I1193" s="120"/>
      <c r="J1193" s="195"/>
      <c r="K1193" s="195"/>
      <c r="L1193" s="195"/>
      <c r="M1193" s="195"/>
      <c r="N1193" s="195"/>
      <c r="O1193" s="195"/>
    </row>
    <row r="1194" spans="1:15">
      <c r="A1194" s="120" t="s">
        <v>119</v>
      </c>
      <c r="B1194" s="120"/>
      <c r="C1194" s="120"/>
      <c r="D1194" s="120"/>
      <c r="E1194" s="120"/>
      <c r="F1194" s="120"/>
      <c r="G1194" s="120"/>
      <c r="H1194" s="120"/>
      <c r="I1194" s="181">
        <v>1250</v>
      </c>
      <c r="J1194" s="195"/>
      <c r="K1194" s="195"/>
      <c r="L1194" s="195"/>
      <c r="M1194" s="195"/>
      <c r="N1194" s="195"/>
      <c r="O1194" s="195"/>
    </row>
    <row r="1195" spans="1:15">
      <c r="A1195" s="120" t="s">
        <v>120</v>
      </c>
      <c r="B1195" s="120"/>
      <c r="C1195" s="120"/>
      <c r="D1195" s="120"/>
      <c r="E1195" s="120"/>
      <c r="F1195" s="86" t="s">
        <v>272</v>
      </c>
      <c r="G1195" s="86" t="s">
        <v>122</v>
      </c>
      <c r="H1195" s="86" t="s">
        <v>123</v>
      </c>
      <c r="I1195" s="181">
        <v>400</v>
      </c>
      <c r="J1195" s="195"/>
      <c r="K1195" s="195"/>
      <c r="L1195" s="195"/>
      <c r="M1195" s="195"/>
      <c r="N1195" s="195"/>
      <c r="O1195" s="195"/>
    </row>
    <row r="1196" spans="1:15">
      <c r="A1196" s="120" t="s">
        <v>291</v>
      </c>
      <c r="B1196" s="120"/>
      <c r="C1196" s="120"/>
      <c r="D1196" s="120"/>
      <c r="E1196" s="120"/>
      <c r="F1196" s="182">
        <v>0.5</v>
      </c>
      <c r="G1196" s="182">
        <f>IF(I1188=13,80,85)</f>
        <v>85</v>
      </c>
      <c r="H1196" s="182">
        <f>+H1209</f>
        <v>85.340871360548405</v>
      </c>
      <c r="I1196" s="181">
        <f>IF(H1196&gt;=G1196,E1209*F1196%,0)</f>
        <v>612.37345000000005</v>
      </c>
      <c r="J1196" s="195"/>
      <c r="K1196" s="195"/>
      <c r="L1196" s="195"/>
      <c r="M1196" s="195"/>
      <c r="N1196" s="195"/>
      <c r="O1196" s="195"/>
    </row>
    <row r="1197" spans="1:15">
      <c r="A1197" s="120" t="str">
        <f>CONCATENATE("COM. MOROSIDAD AL ",G1197,"%")</f>
        <v>COM. MOROSIDAD AL 5%</v>
      </c>
      <c r="B1197" s="120"/>
      <c r="C1197" s="120"/>
      <c r="D1197" s="120"/>
      <c r="E1197" s="120"/>
      <c r="F1197" s="182">
        <v>0.3</v>
      </c>
      <c r="G1197" s="182">
        <v>5</v>
      </c>
      <c r="H1197" s="182">
        <f>+H1212</f>
        <v>26.14</v>
      </c>
      <c r="I1197" s="181">
        <f>+IF(H1197&lt;=G1197,E1209*F1197%,0)</f>
        <v>0</v>
      </c>
      <c r="J1197" s="195"/>
      <c r="K1197" s="195"/>
      <c r="L1197" s="195"/>
      <c r="M1197" s="195"/>
      <c r="N1197" s="195"/>
      <c r="O1197" s="195"/>
    </row>
    <row r="1198" spans="1:15">
      <c r="A1198" s="120" t="s">
        <v>292</v>
      </c>
      <c r="B1198" s="120"/>
      <c r="C1198" s="120"/>
      <c r="D1198" s="120"/>
      <c r="E1198" s="120"/>
      <c r="F1198" s="182">
        <f>IF(I1188=3,0.1,0.2)</f>
        <v>0.2</v>
      </c>
      <c r="G1198" s="182">
        <f>IF(I1188=23,50,85)</f>
        <v>85</v>
      </c>
      <c r="H1198" s="182">
        <f>+H1216</f>
        <v>36.708860759493668</v>
      </c>
      <c r="I1198" s="181">
        <f>IF(H1198&gt;=G1198,E1209*F1198%,0)</f>
        <v>0</v>
      </c>
      <c r="J1198" s="195"/>
      <c r="K1198" s="195"/>
      <c r="L1198" s="195"/>
      <c r="M1198" s="195"/>
      <c r="N1198" s="195"/>
      <c r="O1198" s="195"/>
    </row>
    <row r="1199" spans="1:15">
      <c r="A1199" s="120" t="str">
        <f>IF(I1188=23,"COMISION POR TIEMPODE VIAJE",IF(I1188=22,"BONIFICACION"," "))</f>
        <v xml:space="preserve"> </v>
      </c>
      <c r="B1199" s="120"/>
      <c r="C1199" s="120"/>
      <c r="D1199" s="120"/>
      <c r="E1199" s="120"/>
      <c r="F1199" s="120"/>
      <c r="G1199" s="120"/>
      <c r="H1199" s="182"/>
      <c r="I1199" s="181" t="str">
        <f>IF(I1188=23,300,IF(I1188=22,400," "))</f>
        <v xml:space="preserve"> </v>
      </c>
      <c r="J1199" s="195"/>
      <c r="K1199" s="195"/>
      <c r="L1199" s="195"/>
      <c r="M1199" s="195"/>
      <c r="N1199" s="195"/>
      <c r="O1199" s="195"/>
    </row>
    <row r="1200" spans="1:15">
      <c r="A1200" s="189" t="s">
        <v>274</v>
      </c>
      <c r="B1200" s="189"/>
      <c r="C1200" s="189"/>
      <c r="D1200" s="189"/>
      <c r="E1200" s="189"/>
      <c r="F1200" s="374" t="s">
        <v>275</v>
      </c>
      <c r="G1200" s="374"/>
      <c r="H1200" s="375" t="s">
        <v>276</v>
      </c>
      <c r="I1200" s="193"/>
      <c r="J1200" s="195"/>
      <c r="K1200" s="195"/>
      <c r="L1200" s="195"/>
      <c r="M1200" s="195"/>
      <c r="N1200" s="195"/>
      <c r="O1200" s="195"/>
    </row>
    <row r="1201" spans="1:15">
      <c r="A1201" s="189"/>
      <c r="B1201" s="189"/>
      <c r="C1201" s="189"/>
      <c r="D1201" s="189"/>
      <c r="E1201" s="189"/>
      <c r="F1201" s="374" t="s">
        <v>277</v>
      </c>
      <c r="G1201" s="374"/>
      <c r="H1201" s="375"/>
      <c r="I1201" s="376">
        <v>0</v>
      </c>
      <c r="J1201" s="195"/>
      <c r="K1201" s="195"/>
      <c r="L1201" s="195"/>
      <c r="M1201" s="195"/>
      <c r="N1201" s="195"/>
      <c r="O1201" s="195"/>
    </row>
    <row r="1202" spans="1:15">
      <c r="A1202" s="189"/>
      <c r="B1202" s="197"/>
      <c r="C1202" s="197"/>
      <c r="D1202" s="197"/>
      <c r="E1202" s="197"/>
      <c r="F1202" s="374" t="s">
        <v>278</v>
      </c>
      <c r="G1202" s="374"/>
      <c r="H1202" s="375"/>
      <c r="I1202" s="376"/>
      <c r="J1202" s="195"/>
      <c r="K1202" s="195"/>
      <c r="L1202" s="195"/>
      <c r="M1202" s="195"/>
      <c r="N1202" s="195"/>
      <c r="O1202" s="195"/>
    </row>
    <row r="1203" spans="1:15">
      <c r="A1203" s="189"/>
      <c r="B1203" s="197"/>
      <c r="C1203" s="197"/>
      <c r="D1203" s="197"/>
      <c r="E1203" s="197"/>
      <c r="F1203" s="374" t="s">
        <v>279</v>
      </c>
      <c r="G1203" s="374"/>
      <c r="H1203" s="375"/>
      <c r="I1203" s="198"/>
      <c r="J1203" s="195"/>
      <c r="K1203" s="195"/>
      <c r="L1203" s="195"/>
      <c r="M1203" s="195"/>
      <c r="N1203" s="195"/>
      <c r="O1203" s="195"/>
    </row>
    <row r="1204" spans="1:15">
      <c r="A1204" s="120"/>
      <c r="B1204" s="84" t="str">
        <f>IF(I1188=13,"Remuneracion Extra"," ")</f>
        <v xml:space="preserve"> </v>
      </c>
      <c r="C1204" s="120"/>
      <c r="D1204" s="120"/>
      <c r="E1204" s="120"/>
      <c r="F1204" s="120"/>
      <c r="G1204" s="120"/>
      <c r="H1204" s="120"/>
      <c r="I1204" s="183"/>
      <c r="J1204" s="195"/>
      <c r="K1204" s="195"/>
      <c r="L1204" s="195"/>
      <c r="M1204" s="195"/>
      <c r="N1204" s="195"/>
      <c r="O1204" s="195"/>
    </row>
    <row r="1205" spans="1:15" ht="15.75">
      <c r="A1205" s="184" t="s">
        <v>129</v>
      </c>
      <c r="B1205" s="185"/>
      <c r="C1205" s="185"/>
      <c r="D1205" s="185"/>
      <c r="E1205" s="185"/>
      <c r="F1205" s="185"/>
      <c r="G1205" s="185"/>
      <c r="H1205" s="185"/>
      <c r="I1205" s="186">
        <f>SUM(I1194:I1204)</f>
        <v>2262.37345</v>
      </c>
      <c r="J1205" s="195"/>
      <c r="K1205" s="195"/>
      <c r="L1205" s="195"/>
      <c r="M1205" s="195"/>
      <c r="N1205" s="195"/>
      <c r="O1205" s="195"/>
    </row>
    <row r="1206" spans="1:15">
      <c r="A1206" s="120"/>
      <c r="B1206" s="120"/>
      <c r="C1206" s="120"/>
      <c r="D1206" s="120"/>
      <c r="E1206" s="120"/>
      <c r="F1206" s="120"/>
      <c r="G1206" s="120"/>
      <c r="H1206" s="120"/>
      <c r="I1206" s="120"/>
      <c r="J1206" s="195"/>
      <c r="K1206" s="195"/>
      <c r="L1206" s="195"/>
      <c r="M1206" s="195"/>
      <c r="N1206" s="195"/>
      <c r="O1206" s="195"/>
    </row>
    <row r="1207" spans="1:15">
      <c r="A1207" s="121" t="s">
        <v>130</v>
      </c>
      <c r="B1207" s="121"/>
      <c r="C1207" s="121"/>
      <c r="D1207" s="121"/>
      <c r="E1207" s="121"/>
      <c r="F1207" s="121"/>
      <c r="G1207" s="121"/>
      <c r="H1207" s="121"/>
      <c r="I1207" s="121"/>
      <c r="J1207" s="195"/>
      <c r="K1207" s="195"/>
      <c r="L1207" s="195"/>
      <c r="M1207" s="195"/>
      <c r="N1207" s="195"/>
      <c r="O1207" s="195"/>
    </row>
    <row r="1208" spans="1:15">
      <c r="A1208" s="121"/>
      <c r="B1208" s="121" t="s">
        <v>131</v>
      </c>
      <c r="C1208" s="121"/>
      <c r="D1208" s="121"/>
      <c r="E1208" s="187">
        <f>VLOOKUP(I1188,AVANCEVENDEDOR!$A$2:$R$35,7,0)</f>
        <v>143512.35</v>
      </c>
      <c r="F1208" s="187"/>
      <c r="G1208" s="121"/>
      <c r="H1208" s="121"/>
      <c r="I1208" s="121"/>
      <c r="J1208" s="195"/>
      <c r="K1208" s="195"/>
      <c r="L1208" s="195"/>
      <c r="M1208" s="199"/>
      <c r="N1208" s="200"/>
      <c r="O1208" s="195"/>
    </row>
    <row r="1209" spans="1:15">
      <c r="A1209" s="121"/>
      <c r="B1209" s="121" t="s">
        <v>132</v>
      </c>
      <c r="C1209" s="121"/>
      <c r="D1209" s="121"/>
      <c r="E1209" s="187">
        <f>IF(I1188=27,(VLOOKUP(I1188,AVANCEVENDEDOR!$A$2:$R$35,6,0)-I1185),(VLOOKUP(I1188,AVANCEVENDEDOR!$A$2:$R$35,6,0)))</f>
        <v>122474.69</v>
      </c>
      <c r="F1209" s="187"/>
      <c r="G1209" s="188" t="s">
        <v>133</v>
      </c>
      <c r="H1209" s="187">
        <f>+E1209*100/E1208</f>
        <v>85.340871360548405</v>
      </c>
      <c r="I1209" s="121"/>
      <c r="J1209" s="195"/>
      <c r="K1209" s="121"/>
      <c r="L1209" s="201"/>
      <c r="M1209" s="195"/>
      <c r="N1209" s="195"/>
      <c r="O1209" s="195"/>
    </row>
    <row r="1210" spans="1:15">
      <c r="A1210" s="121"/>
      <c r="B1210" s="121"/>
      <c r="C1210" s="121"/>
      <c r="D1210" s="121"/>
      <c r="E1210" s="121"/>
      <c r="F1210" s="121"/>
      <c r="G1210" s="188"/>
      <c r="H1210" s="121"/>
      <c r="I1210" s="121"/>
      <c r="J1210" s="195"/>
      <c r="K1210" s="195"/>
      <c r="L1210" s="195"/>
      <c r="M1210" s="195"/>
      <c r="N1210" s="195"/>
      <c r="O1210" s="195"/>
    </row>
    <row r="1211" spans="1:15">
      <c r="A1211" s="121"/>
      <c r="B1211" s="121" t="s">
        <v>134</v>
      </c>
      <c r="C1211" s="121"/>
      <c r="D1211" s="121"/>
      <c r="E1211" s="187">
        <f>VLOOKUP(I1188,AVANCEVENDEDOR!$A$2:$R$35,10,0)</f>
        <v>359891.08</v>
      </c>
      <c r="F1211" s="187"/>
      <c r="G1211" s="188"/>
      <c r="H1211" s="121"/>
      <c r="I1211" s="121"/>
      <c r="J1211" s="195"/>
      <c r="K1211" s="195"/>
      <c r="L1211" s="195"/>
      <c r="M1211" s="195"/>
      <c r="N1211" s="195"/>
      <c r="O1211" s="195"/>
    </row>
    <row r="1212" spans="1:15">
      <c r="A1212" s="121"/>
      <c r="B1212" s="121" t="s">
        <v>135</v>
      </c>
      <c r="C1212" s="121"/>
      <c r="D1212" s="121"/>
      <c r="E1212" s="187">
        <f>VLOOKUP(I1188,AVANCEVENDEDOR!$A$2:$R$35,11,0)</f>
        <v>94070.74</v>
      </c>
      <c r="F1212" s="187"/>
      <c r="G1212" s="188" t="s">
        <v>136</v>
      </c>
      <c r="H1212" s="187">
        <f>VLOOKUP(I1188,AVANCEVENDEDOR!$A$2:$R$35,15,0)</f>
        <v>26.14</v>
      </c>
      <c r="I1212" s="121"/>
      <c r="J1212" s="195"/>
      <c r="K1212" s="195"/>
      <c r="L1212" s="195"/>
      <c r="M1212" s="195"/>
      <c r="N1212" s="195"/>
      <c r="O1212" s="195"/>
    </row>
    <row r="1213" spans="1:15">
      <c r="A1213" s="121"/>
      <c r="B1213" s="121" t="s">
        <v>137</v>
      </c>
      <c r="C1213" s="121"/>
      <c r="D1213" s="121"/>
      <c r="E1213" s="187">
        <f>VLOOKUP(I1188,AVANCEVENDEDOR!$A$2:$R$35,9,0)</f>
        <v>118204.35</v>
      </c>
      <c r="F1213" s="187"/>
      <c r="G1213" s="188"/>
      <c r="H1213" s="121"/>
      <c r="I1213" s="121"/>
      <c r="J1213" s="195"/>
      <c r="K1213" s="195"/>
      <c r="L1213" s="195"/>
      <c r="M1213" s="195"/>
      <c r="N1213" s="195"/>
      <c r="O1213" s="195"/>
    </row>
    <row r="1214" spans="1:15">
      <c r="A1214" s="121"/>
      <c r="B1214" s="121"/>
      <c r="C1214" s="121"/>
      <c r="D1214" s="121"/>
      <c r="E1214" s="121"/>
      <c r="F1214" s="121"/>
      <c r="G1214" s="188"/>
      <c r="H1214" s="121"/>
      <c r="I1214" s="121"/>
      <c r="J1214" s="195"/>
      <c r="K1214" s="195"/>
      <c r="L1214" s="195"/>
      <c r="M1214" s="195"/>
      <c r="N1214" s="195"/>
      <c r="O1214" s="195"/>
    </row>
    <row r="1215" spans="1:15">
      <c r="A1215" s="121"/>
      <c r="B1215" s="121" t="s">
        <v>280</v>
      </c>
      <c r="C1215" s="121"/>
      <c r="D1215" s="121"/>
      <c r="E1215" s="187">
        <f>VLOOKUP(I1188,AVANCEVENDEDOR!$A$2:$R$35,13,0)</f>
        <v>79</v>
      </c>
      <c r="F1215" s="187"/>
      <c r="G1215" s="121"/>
      <c r="H1215" s="187"/>
      <c r="I1215" s="121"/>
      <c r="J1215" s="195"/>
      <c r="K1215" s="195"/>
      <c r="L1215" s="195"/>
      <c r="M1215" s="195"/>
      <c r="N1215" s="195"/>
      <c r="O1215" s="195"/>
    </row>
    <row r="1216" spans="1:15">
      <c r="A1216" s="121"/>
      <c r="B1216" s="121" t="s">
        <v>281</v>
      </c>
      <c r="C1216" s="121"/>
      <c r="D1216" s="121"/>
      <c r="E1216" s="187">
        <f>VLOOKUP(I1188,AVANCEVENDEDOR!$A$2:$R$35,14,0)</f>
        <v>29</v>
      </c>
      <c r="F1216" s="187"/>
      <c r="G1216" s="188" t="s">
        <v>140</v>
      </c>
      <c r="H1216" s="187">
        <f>+E1216*100/E1215</f>
        <v>36.708860759493668</v>
      </c>
      <c r="I1216" s="121"/>
      <c r="J1216" s="195"/>
      <c r="K1216" s="195"/>
      <c r="L1216" s="195"/>
      <c r="M1216" s="195"/>
      <c r="N1216" s="195"/>
      <c r="O1216" s="195"/>
    </row>
    <row r="1217" spans="6:15">
      <c r="J1217" s="195"/>
      <c r="K1217" s="195"/>
      <c r="L1217" s="195"/>
      <c r="M1217" s="195"/>
      <c r="N1217" s="195"/>
      <c r="O1217" s="195"/>
    </row>
    <row r="1218" spans="6:15" hidden="1">
      <c r="F1218">
        <v>99</v>
      </c>
    </row>
    <row r="1219" spans="6:15" hidden="1">
      <c r="F1219">
        <v>100</v>
      </c>
      <c r="G1219">
        <v>100</v>
      </c>
    </row>
    <row r="1220" spans="6:15" hidden="1">
      <c r="F1220">
        <v>101</v>
      </c>
      <c r="G1220">
        <v>100</v>
      </c>
    </row>
    <row r="1221" spans="6:15" hidden="1">
      <c r="F1221">
        <v>102</v>
      </c>
      <c r="G1221">
        <v>100</v>
      </c>
    </row>
    <row r="1222" spans="6:15" hidden="1">
      <c r="F1222">
        <v>103</v>
      </c>
      <c r="G1222">
        <v>100</v>
      </c>
    </row>
    <row r="1223" spans="6:15" hidden="1">
      <c r="F1223">
        <v>104</v>
      </c>
      <c r="G1223">
        <v>100</v>
      </c>
    </row>
    <row r="1224" spans="6:15" hidden="1">
      <c r="F1224">
        <v>105</v>
      </c>
      <c r="G1224">
        <v>100</v>
      </c>
    </row>
    <row r="1225" spans="6:15" hidden="1">
      <c r="F1225">
        <v>106</v>
      </c>
      <c r="G1225">
        <v>200</v>
      </c>
    </row>
    <row r="1226" spans="6:15" hidden="1">
      <c r="F1226">
        <v>107</v>
      </c>
      <c r="G1226">
        <v>200</v>
      </c>
    </row>
    <row r="1227" spans="6:15" hidden="1">
      <c r="F1227">
        <v>108</v>
      </c>
      <c r="G1227">
        <v>200</v>
      </c>
    </row>
    <row r="1228" spans="6:15" hidden="1">
      <c r="F1228">
        <v>109</v>
      </c>
      <c r="G1228">
        <v>200</v>
      </c>
    </row>
    <row r="1229" spans="6:15" hidden="1">
      <c r="F1229">
        <v>110</v>
      </c>
      <c r="G1229">
        <v>200</v>
      </c>
    </row>
    <row r="1230" spans="6:15" hidden="1">
      <c r="F1230">
        <v>111</v>
      </c>
      <c r="G1230">
        <v>200</v>
      </c>
    </row>
    <row r="1231" spans="6:15" hidden="1">
      <c r="F1231">
        <v>112</v>
      </c>
      <c r="G1231">
        <v>200</v>
      </c>
    </row>
    <row r="1232" spans="6:15" hidden="1">
      <c r="F1232">
        <v>113</v>
      </c>
      <c r="G1232">
        <v>200</v>
      </c>
    </row>
    <row r="1233" spans="6:7" hidden="1">
      <c r="F1233">
        <v>114</v>
      </c>
      <c r="G1233">
        <v>200</v>
      </c>
    </row>
    <row r="1234" spans="6:7" hidden="1">
      <c r="F1234">
        <v>115</v>
      </c>
      <c r="G1234">
        <v>300</v>
      </c>
    </row>
    <row r="1235" spans="6:7" hidden="1">
      <c r="F1235">
        <v>116</v>
      </c>
      <c r="G1235">
        <v>300</v>
      </c>
    </row>
    <row r="1236" spans="6:7" hidden="1">
      <c r="F1236">
        <v>117</v>
      </c>
      <c r="G1236">
        <v>300</v>
      </c>
    </row>
    <row r="1237" spans="6:7" hidden="1">
      <c r="F1237">
        <v>118</v>
      </c>
      <c r="G1237">
        <v>300</v>
      </c>
    </row>
    <row r="1238" spans="6:7" hidden="1">
      <c r="F1238">
        <v>119</v>
      </c>
      <c r="G1238">
        <v>300</v>
      </c>
    </row>
    <row r="1239" spans="6:7" hidden="1">
      <c r="F1239">
        <v>120</v>
      </c>
      <c r="G1239">
        <v>300</v>
      </c>
    </row>
    <row r="1240" spans="6:7" hidden="1">
      <c r="F1240">
        <v>121</v>
      </c>
      <c r="G1240">
        <v>400</v>
      </c>
    </row>
    <row r="1241" spans="6:7" hidden="1">
      <c r="F1241">
        <v>122</v>
      </c>
      <c r="G1241">
        <v>400</v>
      </c>
    </row>
  </sheetData>
  <mergeCells count="102">
    <mergeCell ref="F1200:G1200"/>
    <mergeCell ref="H1200:H1203"/>
    <mergeCell ref="F1201:G1201"/>
    <mergeCell ref="I1201:I1202"/>
    <mergeCell ref="F1202:G1202"/>
    <mergeCell ref="F1203:G1203"/>
    <mergeCell ref="F1052:G1052"/>
    <mergeCell ref="H1052:H1055"/>
    <mergeCell ref="F1053:G1053"/>
    <mergeCell ref="I1053:I1054"/>
    <mergeCell ref="F1054:G1054"/>
    <mergeCell ref="F1055:G1055"/>
    <mergeCell ref="F1126:G1126"/>
    <mergeCell ref="H1126:H1129"/>
    <mergeCell ref="F1127:G1127"/>
    <mergeCell ref="I1127:I1128"/>
    <mergeCell ref="F1128:G1128"/>
    <mergeCell ref="F1129:G1129"/>
    <mergeCell ref="F904:G904"/>
    <mergeCell ref="H904:H907"/>
    <mergeCell ref="F905:G905"/>
    <mergeCell ref="I905:I906"/>
    <mergeCell ref="F906:G906"/>
    <mergeCell ref="F907:G907"/>
    <mergeCell ref="F978:G978"/>
    <mergeCell ref="H978:H981"/>
    <mergeCell ref="F979:G979"/>
    <mergeCell ref="I979:I980"/>
    <mergeCell ref="F980:G980"/>
    <mergeCell ref="F981:G981"/>
    <mergeCell ref="F756:G756"/>
    <mergeCell ref="H756:H759"/>
    <mergeCell ref="F757:G757"/>
    <mergeCell ref="I757:I758"/>
    <mergeCell ref="F758:G758"/>
    <mergeCell ref="F759:G759"/>
    <mergeCell ref="F830:G830"/>
    <mergeCell ref="H830:H833"/>
    <mergeCell ref="F831:G831"/>
    <mergeCell ref="I831:I832"/>
    <mergeCell ref="F832:G832"/>
    <mergeCell ref="F833:G833"/>
    <mergeCell ref="F608:G608"/>
    <mergeCell ref="H608:H611"/>
    <mergeCell ref="F609:G609"/>
    <mergeCell ref="I609:I610"/>
    <mergeCell ref="F610:G610"/>
    <mergeCell ref="F611:G611"/>
    <mergeCell ref="F682:G682"/>
    <mergeCell ref="H682:H685"/>
    <mergeCell ref="F683:G683"/>
    <mergeCell ref="I683:I684"/>
    <mergeCell ref="F684:G684"/>
    <mergeCell ref="F685:G685"/>
    <mergeCell ref="F460:G460"/>
    <mergeCell ref="H460:H463"/>
    <mergeCell ref="F461:G461"/>
    <mergeCell ref="I461:I462"/>
    <mergeCell ref="F462:G462"/>
    <mergeCell ref="F463:G463"/>
    <mergeCell ref="F534:G534"/>
    <mergeCell ref="H534:H537"/>
    <mergeCell ref="F535:G535"/>
    <mergeCell ref="I535:I536"/>
    <mergeCell ref="F536:G536"/>
    <mergeCell ref="F537:G537"/>
    <mergeCell ref="F312:G312"/>
    <mergeCell ref="H312:H315"/>
    <mergeCell ref="F313:G313"/>
    <mergeCell ref="I313:I314"/>
    <mergeCell ref="F314:G314"/>
    <mergeCell ref="F315:G315"/>
    <mergeCell ref="F386:G386"/>
    <mergeCell ref="H386:H389"/>
    <mergeCell ref="F387:G387"/>
    <mergeCell ref="I387:I388"/>
    <mergeCell ref="F388:G388"/>
    <mergeCell ref="F389:G389"/>
    <mergeCell ref="F164:G164"/>
    <mergeCell ref="H164:H167"/>
    <mergeCell ref="F165:G165"/>
    <mergeCell ref="I165:I166"/>
    <mergeCell ref="F166:G166"/>
    <mergeCell ref="F167:G167"/>
    <mergeCell ref="F238:G238"/>
    <mergeCell ref="H238:H241"/>
    <mergeCell ref="F239:G239"/>
    <mergeCell ref="I239:I240"/>
    <mergeCell ref="F240:G240"/>
    <mergeCell ref="F241:G241"/>
    <mergeCell ref="F16:G16"/>
    <mergeCell ref="H16:H19"/>
    <mergeCell ref="F17:G17"/>
    <mergeCell ref="I17:I18"/>
    <mergeCell ref="F18:G18"/>
    <mergeCell ref="F19:G19"/>
    <mergeCell ref="F90:G90"/>
    <mergeCell ref="H90:H93"/>
    <mergeCell ref="F91:G91"/>
    <mergeCell ref="I91:I92"/>
    <mergeCell ref="F92:G92"/>
    <mergeCell ref="F93:G93"/>
  </mergeCells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5"/>
  <sheetViews>
    <sheetView topLeftCell="A19" workbookViewId="0">
      <selection activeCell="O13" sqref="O13"/>
    </sheetView>
  </sheetViews>
  <sheetFormatPr baseColWidth="10" defaultRowHeight="15"/>
  <cols>
    <col min="4" max="4" width="4.7109375" customWidth="1"/>
    <col min="5" max="5" width="9" customWidth="1"/>
    <col min="6" max="6" width="6.140625" bestFit="1" customWidth="1"/>
    <col min="7" max="7" width="8" bestFit="1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91">
        <v>1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43647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">
        <v>820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930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291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106.61307272727272</v>
      </c>
      <c r="I12" s="181">
        <f>IF(H12&gt;=G12,E25*F12%,0)</f>
        <v>586.37189999999998</v>
      </c>
    </row>
    <row r="13" spans="1:9">
      <c r="A13" s="120"/>
      <c r="B13" s="120"/>
      <c r="C13" s="120"/>
      <c r="D13" s="120"/>
      <c r="E13" s="120"/>
      <c r="F13" s="182"/>
      <c r="G13" s="182"/>
      <c r="H13" s="182"/>
      <c r="I13" s="196"/>
    </row>
    <row r="14" spans="1:9">
      <c r="A14" s="120"/>
      <c r="B14" s="120"/>
      <c r="C14" s="120"/>
      <c r="D14" s="120"/>
      <c r="E14" s="120"/>
      <c r="F14" s="182"/>
      <c r="G14" s="182"/>
      <c r="H14" s="182"/>
      <c r="I14" s="181"/>
    </row>
    <row r="15" spans="1:9">
      <c r="A15" s="120" t="str">
        <f>IF(I4=23,"COMISION POR TIEMPODE VIAJE",IF(I4=22,"BONIFICACION"," "))</f>
        <v xml:space="preserve"> </v>
      </c>
      <c r="B15" s="120"/>
      <c r="C15" s="120"/>
      <c r="D15" s="120"/>
      <c r="E15" s="120"/>
      <c r="F15" s="120"/>
      <c r="G15" s="120"/>
      <c r="H15" s="182"/>
      <c r="I15" s="181" t="str">
        <f>IF(I4=23,300,IF(I4=22,400," "))</f>
        <v xml:space="preserve"> </v>
      </c>
    </row>
    <row r="16" spans="1:9">
      <c r="A16" s="189" t="s">
        <v>274</v>
      </c>
      <c r="B16" s="189"/>
      <c r="C16" s="189"/>
      <c r="D16" s="189"/>
      <c r="E16" s="189"/>
      <c r="F16" s="374" t="s">
        <v>275</v>
      </c>
      <c r="G16" s="374"/>
      <c r="H16" s="375" t="s">
        <v>276</v>
      </c>
      <c r="I16" s="193"/>
    </row>
    <row r="17" spans="1:9">
      <c r="A17" s="189"/>
      <c r="B17" s="189"/>
      <c r="C17" s="189"/>
      <c r="D17" s="189"/>
      <c r="E17" s="189"/>
      <c r="F17" s="374" t="s">
        <v>277</v>
      </c>
      <c r="G17" s="374"/>
      <c r="H17" s="375"/>
      <c r="I17" s="376">
        <v>0</v>
      </c>
    </row>
    <row r="18" spans="1:9">
      <c r="A18" s="189"/>
      <c r="B18" s="197"/>
      <c r="C18" s="197"/>
      <c r="D18" s="197"/>
      <c r="E18" s="197"/>
      <c r="F18" s="374" t="s">
        <v>278</v>
      </c>
      <c r="G18" s="374"/>
      <c r="H18" s="375"/>
      <c r="I18" s="376"/>
    </row>
    <row r="19" spans="1:9">
      <c r="A19" s="189"/>
      <c r="B19" s="197"/>
      <c r="C19" s="197"/>
      <c r="D19" s="197"/>
      <c r="E19" s="197"/>
      <c r="F19" s="374" t="s">
        <v>279</v>
      </c>
      <c r="G19" s="374"/>
      <c r="H19" s="375"/>
      <c r="I19" s="198"/>
    </row>
    <row r="20" spans="1:9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</row>
    <row r="21" spans="1:9" ht="15.75">
      <c r="A21" s="184" t="s">
        <v>129</v>
      </c>
      <c r="B21" s="185"/>
      <c r="C21" s="185"/>
      <c r="D21" s="185"/>
      <c r="E21" s="185"/>
      <c r="F21" s="185"/>
      <c r="G21" s="185"/>
      <c r="H21" s="185"/>
      <c r="I21" s="186">
        <f>SUM(I10:I20)</f>
        <v>1916.3719000000001</v>
      </c>
    </row>
    <row r="22" spans="1:9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>
      <c r="A23" s="121" t="s">
        <v>130</v>
      </c>
      <c r="B23" s="121"/>
      <c r="C23" s="121"/>
      <c r="D23" s="121"/>
      <c r="E23" s="121"/>
      <c r="F23" s="121"/>
      <c r="G23" s="121"/>
      <c r="H23" s="121"/>
      <c r="I23" s="121"/>
    </row>
    <row r="24" spans="1:9">
      <c r="A24" s="121"/>
      <c r="B24" s="121" t="s">
        <v>131</v>
      </c>
      <c r="C24" s="121"/>
      <c r="D24" s="121"/>
      <c r="E24" s="187">
        <v>110000</v>
      </c>
      <c r="F24" s="187"/>
      <c r="G24" s="121"/>
      <c r="H24" s="121"/>
      <c r="I24" s="121"/>
    </row>
    <row r="25" spans="1:9">
      <c r="A25" s="121"/>
      <c r="B25" s="121" t="s">
        <v>132</v>
      </c>
      <c r="C25" s="121"/>
      <c r="D25" s="121"/>
      <c r="E25" s="187">
        <v>117274.38</v>
      </c>
      <c r="F25" s="187"/>
      <c r="G25" s="188" t="s">
        <v>133</v>
      </c>
      <c r="H25" s="187">
        <f>+E25*100/E24</f>
        <v>106.61307272727272</v>
      </c>
      <c r="I25" s="121"/>
    </row>
    <row r="26" spans="1:9">
      <c r="A26" s="121"/>
      <c r="B26" s="121"/>
      <c r="C26" s="121"/>
      <c r="D26" s="121"/>
      <c r="E26" s="121"/>
      <c r="F26" s="121"/>
      <c r="G26" s="188"/>
      <c r="H26" s="121"/>
      <c r="I26" s="121"/>
    </row>
    <row r="27" spans="1:9">
      <c r="A27" s="121"/>
      <c r="B27" s="121"/>
      <c r="C27" s="121"/>
      <c r="D27" s="121"/>
      <c r="E27" s="187"/>
      <c r="F27" s="187"/>
      <c r="G27" s="188"/>
      <c r="H27" s="121"/>
      <c r="I27" s="121"/>
    </row>
    <row r="28" spans="1:9">
      <c r="A28" s="121"/>
      <c r="B28" s="121"/>
      <c r="C28" s="121"/>
      <c r="D28" s="121"/>
      <c r="E28" s="187"/>
      <c r="F28" s="187"/>
      <c r="G28" s="188"/>
      <c r="H28" s="187"/>
      <c r="I28" s="121"/>
    </row>
    <row r="29" spans="1:9">
      <c r="A29" s="121"/>
      <c r="B29" s="121"/>
      <c r="C29" s="121"/>
      <c r="D29" s="121"/>
      <c r="E29" s="187"/>
      <c r="F29" s="187"/>
      <c r="G29" s="188"/>
      <c r="H29" s="121"/>
      <c r="I29" s="121"/>
    </row>
    <row r="30" spans="1:9">
      <c r="A30" s="121"/>
      <c r="B30" s="121"/>
      <c r="C30" s="121"/>
      <c r="D30" s="121"/>
      <c r="E30" s="121"/>
      <c r="F30" s="121"/>
      <c r="G30" s="188"/>
      <c r="H30" s="121"/>
      <c r="I30" s="121"/>
    </row>
    <row r="31" spans="1:9">
      <c r="A31" s="121"/>
      <c r="B31" s="121"/>
      <c r="C31" s="121"/>
      <c r="D31" s="121"/>
      <c r="E31" s="187"/>
      <c r="F31" s="187"/>
      <c r="G31" s="121"/>
      <c r="H31" s="187"/>
      <c r="I31" s="121"/>
    </row>
    <row r="32" spans="1:9">
      <c r="A32" s="121"/>
      <c r="B32" s="121"/>
      <c r="C32" s="121"/>
      <c r="D32" s="121"/>
      <c r="E32" s="187"/>
      <c r="F32" s="187"/>
      <c r="G32" s="188"/>
      <c r="H32" s="187"/>
      <c r="I32" s="121"/>
    </row>
    <row r="51" spans="1:9">
      <c r="A51" s="84" t="s">
        <v>112</v>
      </c>
      <c r="B51" s="120"/>
      <c r="C51" s="120"/>
      <c r="D51" s="120"/>
      <c r="E51" s="120"/>
      <c r="F51" s="120"/>
      <c r="G51" s="120"/>
      <c r="H51" s="120"/>
      <c r="I51" s="189"/>
    </row>
    <row r="52" spans="1:9">
      <c r="A52" s="84" t="s">
        <v>113</v>
      </c>
      <c r="B52" s="120"/>
      <c r="C52" s="120"/>
      <c r="D52" s="120"/>
      <c r="E52" s="120"/>
      <c r="F52" s="120"/>
      <c r="G52" s="120"/>
      <c r="H52" s="120"/>
      <c r="I52" s="179" t="str">
        <f>+CONCATENATE("20142_",I54)</f>
        <v>20142_6</v>
      </c>
    </row>
    <row r="53" spans="1:9">
      <c r="A53" s="84" t="s">
        <v>114</v>
      </c>
      <c r="B53" s="120"/>
      <c r="C53" s="120"/>
      <c r="D53" s="120"/>
      <c r="E53" s="120"/>
      <c r="F53" s="120"/>
      <c r="G53" s="120"/>
      <c r="H53" s="120"/>
      <c r="I53" s="120"/>
    </row>
    <row r="54" spans="1:9">
      <c r="A54" s="120"/>
      <c r="B54" s="120"/>
      <c r="C54" s="120"/>
      <c r="D54" s="120"/>
      <c r="E54" s="120"/>
      <c r="F54" s="120"/>
      <c r="G54" s="120"/>
      <c r="H54" s="120"/>
      <c r="I54" s="191">
        <v>6</v>
      </c>
    </row>
    <row r="55" spans="1:9">
      <c r="A55" s="120" t="s">
        <v>115</v>
      </c>
      <c r="B55" s="120"/>
      <c r="C55" s="120"/>
      <c r="D55" s="120"/>
      <c r="E55" s="120"/>
      <c r="F55" s="120"/>
      <c r="G55" s="120"/>
      <c r="H55" s="120"/>
      <c r="I55" s="83">
        <v>43525</v>
      </c>
    </row>
    <row r="56" spans="1:9">
      <c r="A56" s="120"/>
      <c r="B56" s="120"/>
      <c r="C56" s="120"/>
      <c r="D56" s="120"/>
      <c r="E56" s="120"/>
      <c r="F56" s="120"/>
      <c r="G56" s="120"/>
      <c r="H56" s="120"/>
      <c r="I56" s="120"/>
    </row>
    <row r="57" spans="1:9">
      <c r="A57" s="120" t="s">
        <v>116</v>
      </c>
      <c r="B57" s="120"/>
      <c r="C57" s="84" t="s">
        <v>821</v>
      </c>
      <c r="D57" s="120"/>
      <c r="E57" s="120"/>
      <c r="F57" s="120"/>
      <c r="G57" s="120"/>
      <c r="H57" s="120"/>
      <c r="I57" s="120"/>
    </row>
    <row r="58" spans="1:9">
      <c r="A58" s="120"/>
      <c r="B58" s="120"/>
      <c r="C58" s="120"/>
      <c r="D58" s="120"/>
      <c r="E58" s="120"/>
      <c r="F58" s="120"/>
      <c r="G58" s="120"/>
      <c r="H58" s="120"/>
      <c r="I58" s="84" t="s">
        <v>118</v>
      </c>
    </row>
    <row r="59" spans="1:9">
      <c r="A59" s="120"/>
      <c r="B59" s="120"/>
      <c r="C59" s="120"/>
      <c r="D59" s="120"/>
      <c r="E59" s="120"/>
      <c r="F59" s="120"/>
      <c r="G59" s="120"/>
      <c r="H59" s="120"/>
      <c r="I59" s="120"/>
    </row>
    <row r="60" spans="1:9">
      <c r="A60" s="120" t="s">
        <v>119</v>
      </c>
      <c r="B60" s="120"/>
      <c r="C60" s="120"/>
      <c r="D60" s="120"/>
      <c r="E60" s="120"/>
      <c r="F60" s="120"/>
      <c r="G60" s="120"/>
      <c r="H60" s="120"/>
      <c r="I60" s="181">
        <v>365.35</v>
      </c>
    </row>
    <row r="61" spans="1:9">
      <c r="A61" s="120" t="s">
        <v>120</v>
      </c>
      <c r="B61" s="120"/>
      <c r="C61" s="120"/>
      <c r="D61" s="120"/>
      <c r="E61" s="120"/>
      <c r="F61" s="86" t="s">
        <v>272</v>
      </c>
      <c r="G61" s="86" t="s">
        <v>122</v>
      </c>
      <c r="H61" s="86" t="s">
        <v>123</v>
      </c>
      <c r="I61" s="181">
        <v>157.15</v>
      </c>
    </row>
    <row r="62" spans="1:9">
      <c r="A62" s="120" t="s">
        <v>291</v>
      </c>
      <c r="B62" s="120"/>
      <c r="C62" s="120"/>
      <c r="D62" s="120"/>
      <c r="E62" s="120"/>
      <c r="F62" s="182">
        <v>0.5</v>
      </c>
      <c r="G62" s="182">
        <f>IF(I54=13,80,85)</f>
        <v>85</v>
      </c>
      <c r="H62" s="182">
        <f>+H75</f>
        <v>22.964366666666667</v>
      </c>
      <c r="I62" s="181">
        <f>IF(H62&gt;=G62,E75*F62%,0)</f>
        <v>0</v>
      </c>
    </row>
    <row r="63" spans="1:9">
      <c r="A63" s="120"/>
      <c r="B63" s="120"/>
      <c r="C63" s="120"/>
      <c r="D63" s="120"/>
      <c r="E63" s="120"/>
      <c r="F63" s="182"/>
      <c r="G63" s="182"/>
      <c r="H63" s="182"/>
      <c r="I63" s="196"/>
    </row>
    <row r="64" spans="1:9">
      <c r="A64" s="120"/>
      <c r="B64" s="120"/>
      <c r="C64" s="120"/>
      <c r="D64" s="120"/>
      <c r="E64" s="120"/>
      <c r="F64" s="182"/>
      <c r="G64" s="182"/>
      <c r="H64" s="182"/>
      <c r="I64" s="181"/>
    </row>
    <row r="65" spans="1:9">
      <c r="A65" s="120" t="str">
        <f>IF(I54=23,"COMISION POR TIEMPODE VIAJE",IF(I54=22,"BONIFICACION"," "))</f>
        <v xml:space="preserve"> </v>
      </c>
      <c r="B65" s="120"/>
      <c r="C65" s="120"/>
      <c r="D65" s="120"/>
      <c r="E65" s="120"/>
      <c r="F65" s="120"/>
      <c r="G65" s="120"/>
      <c r="H65" s="182"/>
      <c r="I65" s="181" t="str">
        <f>IF(I54=23,300,IF(I54=22,400," "))</f>
        <v xml:space="preserve"> </v>
      </c>
    </row>
    <row r="66" spans="1:9">
      <c r="A66" s="189" t="s">
        <v>274</v>
      </c>
      <c r="B66" s="189"/>
      <c r="C66" s="189"/>
      <c r="D66" s="189"/>
      <c r="E66" s="189"/>
      <c r="F66" s="374" t="s">
        <v>275</v>
      </c>
      <c r="G66" s="374"/>
      <c r="H66" s="375" t="s">
        <v>276</v>
      </c>
      <c r="I66" s="193"/>
    </row>
    <row r="67" spans="1:9">
      <c r="A67" s="189"/>
      <c r="B67" s="189"/>
      <c r="C67" s="189"/>
      <c r="D67" s="189"/>
      <c r="E67" s="189"/>
      <c r="F67" s="374" t="s">
        <v>277</v>
      </c>
      <c r="G67" s="374"/>
      <c r="H67" s="375"/>
      <c r="I67" s="376">
        <v>0</v>
      </c>
    </row>
    <row r="68" spans="1:9">
      <c r="A68" s="189"/>
      <c r="B68" s="197"/>
      <c r="C68" s="197"/>
      <c r="D68" s="197"/>
      <c r="E68" s="197"/>
      <c r="F68" s="374" t="s">
        <v>278</v>
      </c>
      <c r="G68" s="374"/>
      <c r="H68" s="375"/>
      <c r="I68" s="376"/>
    </row>
    <row r="69" spans="1:9">
      <c r="A69" s="189"/>
      <c r="B69" s="197"/>
      <c r="C69" s="197"/>
      <c r="D69" s="197"/>
      <c r="E69" s="197"/>
      <c r="F69" s="374" t="s">
        <v>279</v>
      </c>
      <c r="G69" s="374"/>
      <c r="H69" s="375"/>
      <c r="I69" s="198"/>
    </row>
    <row r="70" spans="1:9">
      <c r="A70" s="120"/>
      <c r="B70" s="84" t="str">
        <f>IF(I54=13,"Remuneracion Extra"," ")</f>
        <v xml:space="preserve"> </v>
      </c>
      <c r="C70" s="120"/>
      <c r="D70" s="120"/>
      <c r="E70" s="120"/>
      <c r="F70" s="120"/>
      <c r="G70" s="120"/>
      <c r="H70" s="120"/>
      <c r="I70" s="183"/>
    </row>
    <row r="71" spans="1:9" ht="15.75">
      <c r="A71" s="184" t="s">
        <v>129</v>
      </c>
      <c r="B71" s="185"/>
      <c r="C71" s="185"/>
      <c r="D71" s="185"/>
      <c r="E71" s="185"/>
      <c r="F71" s="185"/>
      <c r="G71" s="185"/>
      <c r="H71" s="185"/>
      <c r="I71" s="186">
        <f>SUM(I60:I70)</f>
        <v>522.5</v>
      </c>
    </row>
    <row r="72" spans="1:9">
      <c r="A72" s="120"/>
      <c r="B72" s="120"/>
      <c r="C72" s="120"/>
      <c r="D72" s="120"/>
      <c r="E72" s="120"/>
      <c r="F72" s="120"/>
      <c r="G72" s="120"/>
      <c r="H72" s="120"/>
      <c r="I72" s="120"/>
    </row>
    <row r="73" spans="1:9">
      <c r="A73" s="121" t="s">
        <v>130</v>
      </c>
      <c r="B73" s="121"/>
      <c r="C73" s="121"/>
      <c r="D73" s="121"/>
      <c r="E73" s="121"/>
      <c r="F73" s="121"/>
      <c r="G73" s="121"/>
      <c r="H73" s="121"/>
      <c r="I73" s="121"/>
    </row>
    <row r="74" spans="1:9">
      <c r="A74" s="121"/>
      <c r="B74" s="121" t="s">
        <v>131</v>
      </c>
      <c r="C74" s="121"/>
      <c r="D74" s="121"/>
      <c r="E74" s="187">
        <v>30000</v>
      </c>
      <c r="F74" s="187"/>
      <c r="G74" s="121"/>
      <c r="H74" s="121"/>
      <c r="I74" s="121"/>
    </row>
    <row r="75" spans="1:9">
      <c r="A75" s="121"/>
      <c r="B75" s="121" t="s">
        <v>132</v>
      </c>
      <c r="C75" s="121"/>
      <c r="D75" s="121"/>
      <c r="E75" s="187">
        <v>6889.31</v>
      </c>
      <c r="F75" s="187"/>
      <c r="G75" s="188" t="s">
        <v>133</v>
      </c>
      <c r="H75" s="187">
        <f>+E75*100/E74</f>
        <v>22.964366666666667</v>
      </c>
      <c r="I75" s="121"/>
    </row>
  </sheetData>
  <mergeCells count="12">
    <mergeCell ref="F66:G66"/>
    <mergeCell ref="H66:H69"/>
    <mergeCell ref="F67:G67"/>
    <mergeCell ref="I67:I68"/>
    <mergeCell ref="F68:G68"/>
    <mergeCell ref="F69:G69"/>
    <mergeCell ref="F16:G16"/>
    <mergeCell ref="H16:H19"/>
    <mergeCell ref="F17:G17"/>
    <mergeCell ref="I17:I18"/>
    <mergeCell ref="F18:G18"/>
    <mergeCell ref="F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7"/>
  <sheetViews>
    <sheetView zoomScale="120" zoomScaleNormal="120" workbookViewId="0">
      <selection activeCell="B27" sqref="B27"/>
    </sheetView>
  </sheetViews>
  <sheetFormatPr baseColWidth="10" defaultColWidth="8.85546875" defaultRowHeight="15"/>
  <cols>
    <col min="1" max="1" width="5.5703125" style="29" customWidth="1"/>
    <col min="2" max="2" width="6.42578125" style="29" customWidth="1"/>
    <col min="3" max="3" width="27.85546875" style="29" customWidth="1"/>
    <col min="4" max="4" width="9.42578125" style="29" customWidth="1"/>
    <col min="5" max="5" width="7.85546875" style="29" customWidth="1"/>
    <col min="6" max="6" width="10.7109375" style="29" customWidth="1"/>
    <col min="7" max="7" width="8.7109375" style="29" customWidth="1"/>
    <col min="8" max="8" width="7.5703125" style="29" customWidth="1"/>
    <col min="9" max="9" width="9.85546875" style="29" customWidth="1"/>
    <col min="10" max="10" width="10.85546875" style="29" customWidth="1"/>
    <col min="11" max="11" width="9.42578125" style="29" customWidth="1"/>
    <col min="12" max="12" width="11" style="29" customWidth="1"/>
    <col min="13" max="13" width="7.7109375" style="29" customWidth="1"/>
    <col min="14" max="14" width="8.7109375" style="29" customWidth="1"/>
    <col min="15" max="15" width="10.5703125" style="29" customWidth="1"/>
    <col min="16" max="16" width="9.85546875" style="29" customWidth="1"/>
    <col min="17" max="17" width="10.7109375" style="29" customWidth="1"/>
    <col min="18" max="18" width="11.28515625" style="29" customWidth="1"/>
    <col min="19" max="1025" width="9.140625" style="29" customWidth="1"/>
  </cols>
  <sheetData>
    <row r="1" spans="1:18" s="33" customFormat="1" ht="9">
      <c r="A1" s="30" t="s">
        <v>45</v>
      </c>
      <c r="B1" s="31" t="s">
        <v>4</v>
      </c>
      <c r="C1" s="31" t="s">
        <v>5</v>
      </c>
      <c r="D1" s="31" t="s">
        <v>46</v>
      </c>
      <c r="E1" s="31" t="s">
        <v>47</v>
      </c>
      <c r="F1" s="31" t="s">
        <v>7</v>
      </c>
      <c r="G1" s="31" t="s">
        <v>8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10</v>
      </c>
      <c r="M1" s="31" t="s">
        <v>52</v>
      </c>
      <c r="N1" s="31" t="s">
        <v>11</v>
      </c>
      <c r="O1" s="30" t="s">
        <v>48</v>
      </c>
      <c r="P1" s="32" t="s">
        <v>53</v>
      </c>
      <c r="Q1" s="32" t="s">
        <v>54</v>
      </c>
      <c r="R1" s="32" t="s">
        <v>48</v>
      </c>
    </row>
    <row r="2" spans="1:18" s="34" customFormat="1" ht="9.75">
      <c r="A2" s="34">
        <v>1</v>
      </c>
      <c r="B2" s="35" t="s">
        <v>18</v>
      </c>
      <c r="C2" s="35" t="str">
        <f>VLOOKUP(B2,exportado!$A$2:$S$36,2,0)</f>
        <v>GAONA JUSCAMAYTA DAVID ELVIS</v>
      </c>
      <c r="D2" s="10">
        <f>VLOOKUP(B2,exportado!$A$2:$S$36,3,0)</f>
        <v>167709.12</v>
      </c>
      <c r="E2" s="10">
        <f>VLOOKUP(B2,exportado!$A$2:$S$36,4,0)</f>
        <v>2137.86</v>
      </c>
      <c r="F2" s="10">
        <f>VLOOKUP(B2,exportado!$A$2:$S$36,5,0)</f>
        <v>165571.26</v>
      </c>
      <c r="G2" s="10">
        <f>VLOOKUP(B2,exportado!$A$2:$S$36,6,0)</f>
        <v>171400.75</v>
      </c>
      <c r="H2" s="36">
        <f>VLOOKUP(B2,exportado!$A$2:$S$36,7,0)</f>
        <v>96.6</v>
      </c>
      <c r="I2" s="10">
        <f>VLOOKUP(B2,exportado!$A$2:$S$36,10,0)</f>
        <v>208511.72</v>
      </c>
      <c r="J2" s="10">
        <f>VLOOKUP(B2,exportado!$A$2:$S$36,11,0)</f>
        <v>289721.56</v>
      </c>
      <c r="K2" s="10">
        <f>VLOOKUP(B2,exportado!$A$2:$S$36,13,0)</f>
        <v>13477.84</v>
      </c>
      <c r="L2" s="37">
        <f>VLOOKUP(B2,exportado!$A$2:$S$36,12,0)</f>
        <v>4.6500000000000004</v>
      </c>
      <c r="M2" s="10">
        <f>VLOOKUP(B2,exportado!$A$2:$S$36,8,0)</f>
        <v>94</v>
      </c>
      <c r="N2" s="10">
        <f>VLOOKUP(B2,exportado!$A$2:$S$36,9,0)</f>
        <v>83</v>
      </c>
      <c r="O2" s="38">
        <f>VLOOKUP(B2,exportado!$A$2:$S$36,12,0)</f>
        <v>4.6500000000000004</v>
      </c>
      <c r="P2" s="34">
        <f>VLOOKUP(B2,exportado!$A$2:$S$36,14,0)</f>
        <v>88.297872340425528</v>
      </c>
      <c r="Q2" s="34">
        <f>VLOOKUP(B2,exportado!$A$2:$S$36,15,0)</f>
        <v>6.169999999999999</v>
      </c>
      <c r="R2" s="39">
        <f t="shared" ref="R2:R34" si="0">Q2*100/P2</f>
        <v>6.9877108433734927</v>
      </c>
    </row>
    <row r="3" spans="1:18" s="34" customFormat="1" ht="9.75">
      <c r="A3" s="34">
        <v>2</v>
      </c>
      <c r="B3" s="35" t="s">
        <v>16</v>
      </c>
      <c r="C3" s="35" t="str">
        <f>VLOOKUP(B3,exportado!$A$2:$S$36,2,0)</f>
        <v>ESCOBEDO DUANI</v>
      </c>
      <c r="D3" s="10">
        <f>VLOOKUP(B3,exportado!$A$2:$S$36,3,0)</f>
        <v>142725.16</v>
      </c>
      <c r="E3" s="10">
        <f>VLOOKUP(B3,exportado!$A$2:$S$36,4,0)</f>
        <v>2098.69</v>
      </c>
      <c r="F3" s="10">
        <f>VLOOKUP(B3,exportado!$A$2:$S$36,5,0)</f>
        <v>140626.47</v>
      </c>
      <c r="G3" s="10">
        <f>VLOOKUP(B3,exportado!$A$2:$S$36,6,0)</f>
        <v>160927.46</v>
      </c>
      <c r="H3" s="36">
        <f>VLOOKUP(B3,exportado!$A$2:$S$36,7,0)</f>
        <v>87.39</v>
      </c>
      <c r="I3" s="10">
        <f>VLOOKUP(B3,exportado!$A$2:$S$36,10,0)</f>
        <v>141097.16</v>
      </c>
      <c r="J3" s="10">
        <f>VLOOKUP(B3,exportado!$A$2:$S$36,11,0)</f>
        <v>307761.62</v>
      </c>
      <c r="K3" s="10">
        <f>VLOOKUP(B3,exportado!$A$2:$S$36,13,0)</f>
        <v>73480.81</v>
      </c>
      <c r="L3" s="37">
        <f>VLOOKUP(B3,exportado!$A$2:$S$36,12,0)</f>
        <v>23.87</v>
      </c>
      <c r="M3" s="10">
        <f>VLOOKUP(B3,exportado!$A$2:$S$36,8,0)</f>
        <v>105</v>
      </c>
      <c r="N3" s="10">
        <f>VLOOKUP(B3,exportado!$A$2:$S$36,9,0)</f>
        <v>57</v>
      </c>
      <c r="O3" s="38">
        <f>VLOOKUP(B3,exportado!$A$2:$S$36,12,0)</f>
        <v>23.87</v>
      </c>
      <c r="P3" s="34">
        <f>VLOOKUP(B3,exportado!$A$2:$S$36,14,0)</f>
        <v>54.285714285714285</v>
      </c>
      <c r="Q3" s="34">
        <f>VLOOKUP(B3,exportado!$A$2:$S$36,15,0)</f>
        <v>0</v>
      </c>
      <c r="R3" s="39">
        <f t="shared" si="0"/>
        <v>0</v>
      </c>
    </row>
    <row r="4" spans="1:18" s="34" customFormat="1" ht="9.75">
      <c r="A4" s="34">
        <v>3</v>
      </c>
      <c r="B4" s="35" t="s">
        <v>20</v>
      </c>
      <c r="C4" s="35" t="str">
        <f>VLOOKUP(B4,exportado!$A$2:$S$36,2,0)</f>
        <v>GARCIA GARCIA ROXANA</v>
      </c>
      <c r="D4" s="10">
        <f>VLOOKUP(B4,exportado!$A$2:$S$36,3,0)</f>
        <v>285165.05</v>
      </c>
      <c r="E4" s="10">
        <f>VLOOKUP(B4,exportado!$A$2:$S$36,4,0)</f>
        <v>4520.38</v>
      </c>
      <c r="F4" s="10">
        <f>VLOOKUP(B4,exportado!$A$2:$S$36,5,0)</f>
        <v>280644.67</v>
      </c>
      <c r="G4" s="10">
        <f>VLOOKUP(B4,exportado!$A$2:$S$36,6,0)</f>
        <v>443336.18</v>
      </c>
      <c r="H4" s="36">
        <f>VLOOKUP(B4,exportado!$A$2:$S$36,7,0)</f>
        <v>63.3</v>
      </c>
      <c r="I4" s="10">
        <f>VLOOKUP(B4,exportado!$A$2:$S$36,10,0)</f>
        <v>454604.1</v>
      </c>
      <c r="J4" s="10">
        <f>VLOOKUP(B4,exportado!$A$2:$S$36,11,0)</f>
        <v>696268.14</v>
      </c>
      <c r="K4" s="10">
        <f>VLOOKUP(B4,exportado!$A$2:$S$36,13,0)</f>
        <v>27826.86</v>
      </c>
      <c r="L4" s="37">
        <f>VLOOKUP(B4,exportado!$A$2:$S$36,12,0)</f>
        <v>4</v>
      </c>
      <c r="M4" s="10">
        <f>VLOOKUP(B4,exportado!$A$2:$S$36,8,0)</f>
        <v>15</v>
      </c>
      <c r="N4" s="10">
        <f>VLOOKUP(B4,exportado!$A$2:$S$36,9,0)</f>
        <v>14</v>
      </c>
      <c r="O4" s="38">
        <f>VLOOKUP(B4,exportado!$A$2:$S$36,12,0)</f>
        <v>4</v>
      </c>
      <c r="P4" s="34">
        <f>VLOOKUP(B4,exportado!$A$2:$S$36,14,0)</f>
        <v>93.333333333333329</v>
      </c>
      <c r="Q4" s="34">
        <f>VLOOKUP(B4,exportado!$A$2:$S$36,15,0)</f>
        <v>0</v>
      </c>
      <c r="R4" s="39">
        <f t="shared" si="0"/>
        <v>0</v>
      </c>
    </row>
    <row r="5" spans="1:18" s="34" customFormat="1" ht="9.75">
      <c r="A5" s="34">
        <v>4</v>
      </c>
      <c r="B5" s="35" t="s">
        <v>17</v>
      </c>
      <c r="C5" s="35" t="str">
        <f>VLOOKUP(B5,exportado!$A$2:$S$36,2,0)</f>
        <v>MIRANDA CCOILA PATRICIA</v>
      </c>
      <c r="D5" s="10">
        <f>VLOOKUP(B5,exportado!$A$2:$S$36,3,0)</f>
        <v>156585.19</v>
      </c>
      <c r="E5" s="10">
        <f>VLOOKUP(B5,exportado!$A$2:$S$36,4,0)</f>
        <v>1574.94</v>
      </c>
      <c r="F5" s="10">
        <f>VLOOKUP(B5,exportado!$A$2:$S$36,5,0)</f>
        <v>155010.25</v>
      </c>
      <c r="G5" s="10">
        <f>VLOOKUP(B5,exportado!$A$2:$S$36,6,0)</f>
        <v>206510.12</v>
      </c>
      <c r="H5" s="36">
        <f>VLOOKUP(B5,exportado!$A$2:$S$36,7,0)</f>
        <v>75.06</v>
      </c>
      <c r="I5" s="10">
        <f>VLOOKUP(B5,exportado!$A$2:$S$36,10,0)</f>
        <v>200686.73</v>
      </c>
      <c r="J5" s="10">
        <f>VLOOKUP(B5,exportado!$A$2:$S$36,11,0)</f>
        <v>368574.69</v>
      </c>
      <c r="K5" s="10">
        <f>VLOOKUP(B5,exportado!$A$2:$S$36,13,0)</f>
        <v>16341.22</v>
      </c>
      <c r="L5" s="37">
        <f>VLOOKUP(B5,exportado!$A$2:$S$36,12,0)</f>
        <v>4.4400000000000004</v>
      </c>
      <c r="M5" s="10">
        <f>VLOOKUP(B5,exportado!$A$2:$S$36,8,0)</f>
        <v>52</v>
      </c>
      <c r="N5" s="10">
        <f>VLOOKUP(B5,exportado!$A$2:$S$36,9,0)</f>
        <v>36</v>
      </c>
      <c r="O5" s="38">
        <f>VLOOKUP(B5,exportado!$A$2:$S$36,12,0)</f>
        <v>4.4400000000000004</v>
      </c>
      <c r="P5" s="34">
        <f>VLOOKUP(B5,exportado!$A$2:$S$36,14,0)</f>
        <v>69.230769230769226</v>
      </c>
      <c r="Q5" s="34">
        <f>VLOOKUP(B5,exportado!$A$2:$S$36,15,0)</f>
        <v>0</v>
      </c>
      <c r="R5" s="39">
        <f t="shared" si="0"/>
        <v>0</v>
      </c>
    </row>
    <row r="6" spans="1:18" s="34" customFormat="1" ht="9.75">
      <c r="A6" s="34">
        <v>5</v>
      </c>
      <c r="B6" s="35" t="s">
        <v>55</v>
      </c>
      <c r="C6" s="35" t="e">
        <f>VLOOKUP(B6,exportado!$A$2:$S$36,2,0)</f>
        <v>#N/A</v>
      </c>
      <c r="D6" s="10">
        <v>0</v>
      </c>
      <c r="E6" s="10">
        <v>0</v>
      </c>
      <c r="F6" s="10">
        <v>0</v>
      </c>
      <c r="G6" s="10">
        <v>0</v>
      </c>
      <c r="H6" s="36">
        <v>0</v>
      </c>
      <c r="I6" s="10">
        <v>0</v>
      </c>
      <c r="J6" s="10">
        <v>0</v>
      </c>
      <c r="K6" s="10">
        <v>0</v>
      </c>
      <c r="L6" s="37">
        <v>0</v>
      </c>
      <c r="M6" s="10">
        <v>0</v>
      </c>
      <c r="N6" s="10">
        <v>0</v>
      </c>
      <c r="O6" s="38">
        <v>0</v>
      </c>
      <c r="P6" s="34">
        <v>0</v>
      </c>
      <c r="Q6" s="34">
        <v>0</v>
      </c>
      <c r="R6" s="39" t="e">
        <f t="shared" si="0"/>
        <v>#DIV/0!</v>
      </c>
    </row>
    <row r="7" spans="1:18" s="34" customFormat="1" ht="9.75">
      <c r="A7" s="34">
        <v>6</v>
      </c>
      <c r="B7" s="35" t="s">
        <v>21</v>
      </c>
      <c r="C7" s="35" t="str">
        <f>VLOOKUP(B7,exportado!$A$2:$S$36,2,0)</f>
        <v>SANTOS TORRES OSCAR LUIS</v>
      </c>
      <c r="D7" s="10">
        <f>VLOOKUP(B7,exportado!$A$2:$S$36,3,0)</f>
        <v>173583.6</v>
      </c>
      <c r="E7" s="10">
        <f>VLOOKUP(B7,exportado!$A$2:$S$36,4,0)</f>
        <v>6318.89</v>
      </c>
      <c r="F7" s="10">
        <f>VLOOKUP(B7,exportado!$A$2:$S$36,5,0)</f>
        <v>167264.71</v>
      </c>
      <c r="G7" s="10">
        <f>VLOOKUP(B7,exportado!$A$2:$S$36,6,0)</f>
        <v>350211.82</v>
      </c>
      <c r="H7" s="36">
        <f>VLOOKUP(B7,exportado!$A$2:$S$36,7,0)</f>
        <v>47.76</v>
      </c>
      <c r="I7" s="10">
        <f>VLOOKUP(B7,exportado!$A$2:$S$36,10,0)</f>
        <v>451561.19</v>
      </c>
      <c r="J7" s="10">
        <f>VLOOKUP(B7,exportado!$A$2:$S$36,11,0)</f>
        <v>692118.64</v>
      </c>
      <c r="K7" s="10">
        <f>VLOOKUP(B7,exportado!$A$2:$S$36,13,0)</f>
        <v>12189.77</v>
      </c>
      <c r="L7" s="37">
        <f>VLOOKUP(B7,exportado!$A$2:$S$36,12,0)</f>
        <v>1.76</v>
      </c>
      <c r="M7" s="10">
        <f>VLOOKUP(B7,exportado!$A$2:$S$36,8,0)</f>
        <v>15</v>
      </c>
      <c r="N7" s="10">
        <f>VLOOKUP(B7,exportado!$A$2:$S$36,9,0)</f>
        <v>10</v>
      </c>
      <c r="O7" s="38">
        <f>VLOOKUP(B7,exportado!$A$2:$S$36,12,0)</f>
        <v>1.76</v>
      </c>
      <c r="P7" s="34">
        <f>VLOOKUP(B7,exportado!$A$2:$S$36,14,0)</f>
        <v>66.666666666666671</v>
      </c>
      <c r="Q7" s="34">
        <f>VLOOKUP(B7,exportado!$A$2:$S$36,15,0)</f>
        <v>0</v>
      </c>
      <c r="R7" s="39">
        <f t="shared" si="0"/>
        <v>0</v>
      </c>
    </row>
    <row r="8" spans="1:18" s="34" customFormat="1" ht="9.75">
      <c r="A8" s="34">
        <v>7</v>
      </c>
      <c r="B8" s="35" t="s">
        <v>22</v>
      </c>
      <c r="C8" s="35" t="str">
        <f>VLOOKUP(B8,exportado!$A$2:$S$36,2,0)</f>
        <v>QUISPE GARCIA JACKELINE</v>
      </c>
      <c r="D8" s="10">
        <f>VLOOKUP(B8,exportado!$A$2:$S$36,3,0)</f>
        <v>62516.959999999999</v>
      </c>
      <c r="E8" s="10">
        <f>VLOOKUP(B8,exportado!$A$2:$S$36,4,0)</f>
        <v>2930.83</v>
      </c>
      <c r="F8" s="10">
        <f>VLOOKUP(B8,exportado!$A$2:$S$36,5,0)</f>
        <v>59586.13</v>
      </c>
      <c r="G8" s="10">
        <f>VLOOKUP(B8,exportado!$A$2:$S$36,6,0)</f>
        <v>114356.74</v>
      </c>
      <c r="H8" s="36">
        <f>VLOOKUP(B8,exportado!$A$2:$S$36,7,0)</f>
        <v>52.11</v>
      </c>
      <c r="I8" s="10">
        <f>VLOOKUP(B8,exportado!$A$2:$S$36,10,0)</f>
        <v>117829.09</v>
      </c>
      <c r="J8" s="10">
        <f>VLOOKUP(B8,exportado!$A$2:$S$36,11,0)</f>
        <v>232096.39</v>
      </c>
      <c r="K8" s="10">
        <f>VLOOKUP(B8,exportado!$A$2:$S$36,13,0)</f>
        <v>33178.550000000003</v>
      </c>
      <c r="L8" s="37">
        <f>VLOOKUP(B8,exportado!$A$2:$S$36,12,0)</f>
        <v>14.29</v>
      </c>
      <c r="M8" s="10">
        <f>VLOOKUP(B8,exportado!$A$2:$S$36,8,0)</f>
        <v>108</v>
      </c>
      <c r="N8" s="10">
        <f>VLOOKUP(B8,exportado!$A$2:$S$36,9,0)</f>
        <v>54</v>
      </c>
      <c r="O8" s="38">
        <f>VLOOKUP(B8,exportado!$A$2:$S$36,12,0)</f>
        <v>14.29</v>
      </c>
      <c r="P8" s="34">
        <f>VLOOKUP(B8,exportado!$A$2:$S$36,14,0)</f>
        <v>50</v>
      </c>
      <c r="Q8" s="34">
        <f>VLOOKUP(B8,exportado!$A$2:$S$36,15,0)</f>
        <v>0</v>
      </c>
      <c r="R8" s="39">
        <f t="shared" si="0"/>
        <v>0</v>
      </c>
    </row>
    <row r="9" spans="1:18" s="34" customFormat="1" ht="9.75">
      <c r="A9" s="34">
        <v>8</v>
      </c>
      <c r="B9" s="35" t="s">
        <v>24</v>
      </c>
      <c r="C9" s="35" t="str">
        <f>VLOOKUP(B9,exportado!$A$2:$S$36,2,0)</f>
        <v>APAZA YANA SANDRA</v>
      </c>
      <c r="D9" s="10">
        <f>VLOOKUP(B9,exportado!$A$2:$S$36,3,0)</f>
        <v>239358.82</v>
      </c>
      <c r="E9" s="10">
        <f>VLOOKUP(B9,exportado!$A$2:$S$36,4,0)</f>
        <v>1697.2</v>
      </c>
      <c r="F9" s="10">
        <f>VLOOKUP(B9,exportado!$A$2:$S$36,5,0)</f>
        <v>237661.62</v>
      </c>
      <c r="G9" s="10">
        <f>VLOOKUP(B9,exportado!$A$2:$S$36,6,0)</f>
        <v>237721.73</v>
      </c>
      <c r="H9" s="36">
        <f>VLOOKUP(B9,exportado!$A$2:$S$36,7,0)</f>
        <v>99.97</v>
      </c>
      <c r="I9" s="10">
        <f>VLOOKUP(B9,exportado!$A$2:$S$36,10,0)</f>
        <v>286939.84999999998</v>
      </c>
      <c r="J9" s="10">
        <f>VLOOKUP(B9,exportado!$A$2:$S$36,11,0)</f>
        <v>702678.59</v>
      </c>
      <c r="K9" s="10">
        <f>VLOOKUP(B9,exportado!$A$2:$S$36,13,0)</f>
        <v>38295.089999999997</v>
      </c>
      <c r="L9" s="37">
        <f>VLOOKUP(B9,exportado!$A$2:$S$36,12,0)</f>
        <v>5.45</v>
      </c>
      <c r="M9" s="10">
        <f>VLOOKUP(B9,exportado!$A$2:$S$36,8,0)</f>
        <v>73</v>
      </c>
      <c r="N9" s="10">
        <f>VLOOKUP(B9,exportado!$A$2:$S$36,9,0)</f>
        <v>43</v>
      </c>
      <c r="O9" s="38">
        <f>VLOOKUP(B9,exportado!$A$2:$S$36,12,0)</f>
        <v>5.45</v>
      </c>
      <c r="P9" s="34">
        <f>VLOOKUP(B9,exportado!$A$2:$S$36,14,0)</f>
        <v>58.904109589041099</v>
      </c>
      <c r="Q9" s="34">
        <f>VLOOKUP(B9,exportado!$A$2:$S$36,15,0)</f>
        <v>0</v>
      </c>
      <c r="R9" s="39">
        <f t="shared" si="0"/>
        <v>0</v>
      </c>
    </row>
    <row r="10" spans="1:18" s="34" customFormat="1" ht="9.75">
      <c r="A10" s="34">
        <v>9</v>
      </c>
      <c r="B10" s="35" t="s">
        <v>27</v>
      </c>
      <c r="C10" s="35" t="str">
        <f>VLOOKUP(B10,exportado!$A$2:$S$36,2,0)</f>
        <v>ESPEJO RODRIGUEZ GABRIEL</v>
      </c>
      <c r="D10" s="10">
        <f>VLOOKUP(B10,exportado!$A$2:$S$36,3,0)</f>
        <v>130022.88</v>
      </c>
      <c r="E10" s="10">
        <f>VLOOKUP(B10,exportado!$A$2:$S$36,4,0)</f>
        <v>1553.61</v>
      </c>
      <c r="F10" s="10">
        <f>VLOOKUP(B10,exportado!$A$2:$S$36,5,0)</f>
        <v>128469.27</v>
      </c>
      <c r="G10" s="10">
        <f>VLOOKUP(B10,exportado!$A$2:$S$36,6,0)</f>
        <v>139609.21</v>
      </c>
      <c r="H10" s="36">
        <f>VLOOKUP(B10,exportado!$A$2:$S$36,7,0)</f>
        <v>92.02</v>
      </c>
      <c r="I10" s="10">
        <f>VLOOKUP(B10,exportado!$A$2:$S$36,10,0)</f>
        <v>147707.32</v>
      </c>
      <c r="J10" s="10">
        <f>VLOOKUP(B10,exportado!$A$2:$S$36,11,0)</f>
        <v>395290.44</v>
      </c>
      <c r="K10" s="10">
        <f>VLOOKUP(B10,exportado!$A$2:$S$36,13,0)</f>
        <v>55068.61</v>
      </c>
      <c r="L10" s="37">
        <f>VLOOKUP(B10,exportado!$A$2:$S$36,12,0)</f>
        <v>13.93</v>
      </c>
      <c r="M10" s="10">
        <f>VLOOKUP(B10,exportado!$A$2:$S$36,8,0)</f>
        <v>65</v>
      </c>
      <c r="N10" s="10">
        <f>VLOOKUP(B10,exportado!$A$2:$S$36,9,0)</f>
        <v>33</v>
      </c>
      <c r="O10" s="38">
        <f>VLOOKUP(B10,exportado!$A$2:$S$36,12,0)</f>
        <v>13.93</v>
      </c>
      <c r="P10" s="34">
        <f>VLOOKUP(B10,exportado!$A$2:$S$36,14,0)</f>
        <v>50.769230769230766</v>
      </c>
      <c r="Q10" s="34">
        <f>VLOOKUP(B10,exportado!$A$2:$S$36,15,0)</f>
        <v>0</v>
      </c>
      <c r="R10" s="39">
        <f t="shared" si="0"/>
        <v>0</v>
      </c>
    </row>
    <row r="11" spans="1:18" s="34" customFormat="1" ht="9.75">
      <c r="A11" s="34">
        <v>10</v>
      </c>
      <c r="B11" s="35" t="s">
        <v>25</v>
      </c>
      <c r="C11" s="35" t="str">
        <f>VLOOKUP(B11,exportado!$A$2:$S$36,2,0)</f>
        <v>FLORES GARCIA DIEGO</v>
      </c>
      <c r="D11" s="10">
        <f>VLOOKUP(B11,exportado!$A$2:$S$36,3,0)</f>
        <v>116305.54</v>
      </c>
      <c r="E11" s="10">
        <f>VLOOKUP(B11,exportado!$A$2:$S$36,4,0)</f>
        <v>1246.77</v>
      </c>
      <c r="F11" s="10">
        <f>VLOOKUP(B11,exportado!$A$2:$S$36,5,0)</f>
        <v>115058.77</v>
      </c>
      <c r="G11" s="10">
        <f>VLOOKUP(B11,exportado!$A$2:$S$36,6,0)</f>
        <v>133812.47</v>
      </c>
      <c r="H11" s="36">
        <f>VLOOKUP(B11,exportado!$A$2:$S$36,7,0)</f>
        <v>85.99</v>
      </c>
      <c r="I11" s="10">
        <f>VLOOKUP(B11,exportado!$A$2:$S$36,10,0)</f>
        <v>161610.26999999999</v>
      </c>
      <c r="J11" s="10">
        <f>VLOOKUP(B11,exportado!$A$2:$S$36,11,0)</f>
        <v>336089.79</v>
      </c>
      <c r="K11" s="10">
        <f>VLOOKUP(B11,exportado!$A$2:$S$36,13,0)</f>
        <v>35563.64</v>
      </c>
      <c r="L11" s="37">
        <f>VLOOKUP(B11,exportado!$A$2:$S$36,12,0)</f>
        <v>10.58</v>
      </c>
      <c r="M11" s="10">
        <f>VLOOKUP(B11,exportado!$A$2:$S$36,8,0)</f>
        <v>73</v>
      </c>
      <c r="N11" s="10">
        <f>VLOOKUP(B11,exportado!$A$2:$S$36,9,0)</f>
        <v>47</v>
      </c>
      <c r="O11" s="38">
        <f>VLOOKUP(B11,exportado!$A$2:$S$36,12,0)</f>
        <v>10.58</v>
      </c>
      <c r="P11" s="34">
        <f>VLOOKUP(B11,exportado!$A$2:$S$36,14,0)</f>
        <v>64.38356164383562</v>
      </c>
      <c r="Q11" s="34">
        <f>VLOOKUP(B11,exportado!$A$2:$S$36,15,0)</f>
        <v>0</v>
      </c>
      <c r="R11" s="39">
        <f t="shared" si="0"/>
        <v>0</v>
      </c>
    </row>
    <row r="12" spans="1:18" s="34" customFormat="1" ht="9.75">
      <c r="A12" s="34">
        <v>11</v>
      </c>
      <c r="B12" s="35" t="s">
        <v>28</v>
      </c>
      <c r="C12" s="35" t="str">
        <f>VLOOKUP(B12,exportado!$A$2:$S$36,2,0)</f>
        <v xml:space="preserve"> MILLA CHAMBI MARIA ELENA</v>
      </c>
      <c r="D12" s="10">
        <f>VLOOKUP(B12,exportado!$A$2:$S$36,3,0)</f>
        <v>282029.05</v>
      </c>
      <c r="E12" s="10">
        <f>VLOOKUP(B12,exportado!$A$2:$S$36,4,0)</f>
        <v>5570</v>
      </c>
      <c r="F12" s="10">
        <f>VLOOKUP(B12,exportado!$A$2:$S$36,5,0)</f>
        <v>276459.05</v>
      </c>
      <c r="G12" s="10">
        <f>VLOOKUP(B12,exportado!$A$2:$S$36,6,0)</f>
        <v>276233.59000000003</v>
      </c>
      <c r="H12" s="36">
        <f>VLOOKUP(B12,exportado!$A$2:$S$36,7,0)</f>
        <v>100.08</v>
      </c>
      <c r="I12" s="10">
        <f>VLOOKUP(B12,exportado!$A$2:$S$36,10,0)</f>
        <v>327057.65000000002</v>
      </c>
      <c r="J12" s="10">
        <f>VLOOKUP(B12,exportado!$A$2:$S$36,11,0)</f>
        <v>691894.11</v>
      </c>
      <c r="K12" s="10">
        <f>VLOOKUP(B12,exportado!$A$2:$S$36,13,0)</f>
        <v>31381.71</v>
      </c>
      <c r="L12" s="37">
        <f>VLOOKUP(B12,exportado!$A$2:$S$36,12,0)</f>
        <v>4.53</v>
      </c>
      <c r="M12" s="10">
        <f>VLOOKUP(B12,exportado!$A$2:$S$36,8,0)</f>
        <v>80</v>
      </c>
      <c r="N12" s="10">
        <f>VLOOKUP(B12,exportado!$A$2:$S$36,9,0)</f>
        <v>45</v>
      </c>
      <c r="O12" s="38">
        <f>VLOOKUP(B12,exportado!$A$2:$S$36,12,0)</f>
        <v>4.53</v>
      </c>
      <c r="P12" s="34">
        <f>VLOOKUP(B12,exportado!$A$2:$S$36,14,0)</f>
        <v>56.25</v>
      </c>
      <c r="Q12" s="34">
        <f>VLOOKUP(B12,exportado!$A$2:$S$36,15,0)</f>
        <v>0</v>
      </c>
      <c r="R12" s="39">
        <f t="shared" si="0"/>
        <v>0</v>
      </c>
    </row>
    <row r="13" spans="1:18" s="34" customFormat="1" ht="9.75">
      <c r="A13" s="34">
        <v>12</v>
      </c>
      <c r="B13" s="10" t="s">
        <v>56</v>
      </c>
      <c r="C13" s="10" t="str">
        <f>VLOOKUP(B13,exportado!$A$2:$S$36,2,0)</f>
        <v>OFICINA FARMA</v>
      </c>
      <c r="D13" s="10">
        <f>VLOOKUP(B13,exportado!$A$2:$S$36,3,0)</f>
        <v>49601.120000000003</v>
      </c>
      <c r="E13" s="10">
        <f>VLOOKUP(B13,exportado!$A$2:$S$36,4,0)</f>
        <v>51.97</v>
      </c>
      <c r="F13" s="10">
        <f>VLOOKUP(B13,exportado!$A$2:$S$36,5,0)</f>
        <v>49549.15</v>
      </c>
      <c r="G13" s="10">
        <f>VLOOKUP(B13,exportado!$A$2:$S$36,6,0)</f>
        <v>0</v>
      </c>
      <c r="H13" s="36">
        <f>VLOOKUP(B13,exportado!$A$2:$S$36,7,0)</f>
        <v>0</v>
      </c>
      <c r="I13" s="10">
        <f>VLOOKUP(B13,exportado!$A$2:$S$36,10,0)</f>
        <v>49926.1</v>
      </c>
      <c r="J13" s="10">
        <f>VLOOKUP(B13,exportado!$A$2:$S$36,11,0)</f>
        <v>535239.61</v>
      </c>
      <c r="K13" s="10">
        <f>VLOOKUP(B13,exportado!$A$2:$S$36,13,0)</f>
        <v>140441.54999999999</v>
      </c>
      <c r="L13" s="37">
        <f>VLOOKUP(B13,exportado!$A$2:$S$36,12,0)</f>
        <v>26.23</v>
      </c>
      <c r="M13" s="10">
        <f>VLOOKUP(B13,exportado!$A$2:$S$36,8,0)</f>
        <v>909</v>
      </c>
      <c r="N13" s="10">
        <f>VLOOKUP(B13,exportado!$A$2:$S$36,9,0)</f>
        <v>10</v>
      </c>
      <c r="O13" s="38">
        <f>VLOOKUP(B13,exportado!$A$2:$S$36,12,0)</f>
        <v>26.23</v>
      </c>
      <c r="P13" s="34">
        <f>VLOOKUP(B13,exportado!$A$2:$S$36,14,0)</f>
        <v>1.1001100110011002</v>
      </c>
      <c r="Q13" s="34">
        <f>VLOOKUP(B13,exportado!$A$2:$S$36,15,0)</f>
        <v>0</v>
      </c>
      <c r="R13" s="39">
        <f t="shared" si="0"/>
        <v>0</v>
      </c>
    </row>
    <row r="14" spans="1:18" s="34" customFormat="1" ht="9.75">
      <c r="A14" s="34">
        <v>13</v>
      </c>
      <c r="B14" s="10" t="s">
        <v>57</v>
      </c>
      <c r="C14" s="10" t="str">
        <f>VLOOKUP(B14,exportado!$A$2:$S$36,2,0)</f>
        <v>OFICINA INSITUCIONES</v>
      </c>
      <c r="D14" s="10">
        <f>VLOOKUP(B14,exportado!$A$2:$S$36,3,0)</f>
        <v>52250.71</v>
      </c>
      <c r="E14" s="10">
        <f>VLOOKUP(B14,exportado!$A$2:$S$36,4,0)</f>
        <v>561.55999999999995</v>
      </c>
      <c r="F14" s="10">
        <f>VLOOKUP(B14,exportado!$A$2:$S$36,5,0)</f>
        <v>51689.15</v>
      </c>
      <c r="G14" s="10">
        <f>VLOOKUP(B14,exportado!$A$2:$S$36,6,0)</f>
        <v>200000</v>
      </c>
      <c r="H14" s="36">
        <f>VLOOKUP(B14,exportado!$A$2:$S$36,7,0)</f>
        <v>25.84</v>
      </c>
      <c r="I14" s="10">
        <f>VLOOKUP(B14,exportado!$A$2:$S$36,10,0)</f>
        <v>125528.4</v>
      </c>
      <c r="J14" s="10">
        <f>VLOOKUP(B14,exportado!$A$2:$S$36,11,0)</f>
        <v>102256.22</v>
      </c>
      <c r="K14" s="10">
        <f>VLOOKUP(B14,exportado!$A$2:$S$36,13,0)</f>
        <v>40068.97</v>
      </c>
      <c r="L14" s="37">
        <f>VLOOKUP(B14,exportado!$A$2:$S$36,12,0)</f>
        <v>39.18</v>
      </c>
      <c r="M14" s="10">
        <f>VLOOKUP(B14,exportado!$A$2:$S$36,8,0)</f>
        <v>158</v>
      </c>
      <c r="N14" s="10">
        <f>VLOOKUP(B14,exportado!$A$2:$S$36,9,0)</f>
        <v>11</v>
      </c>
      <c r="O14" s="38">
        <f>VLOOKUP(B14,exportado!$A$2:$S$36,12,0)</f>
        <v>39.18</v>
      </c>
      <c r="P14" s="34">
        <f>VLOOKUP(B14,exportado!$A$2:$S$36,14,0)</f>
        <v>6.962025316455696</v>
      </c>
      <c r="Q14" s="34">
        <f>VLOOKUP(B14,exportado!$A$2:$S$36,15,0)</f>
        <v>0</v>
      </c>
      <c r="R14" s="39">
        <f t="shared" si="0"/>
        <v>0</v>
      </c>
    </row>
    <row r="15" spans="1:18" s="34" customFormat="1" ht="9.75">
      <c r="A15" s="34">
        <v>14</v>
      </c>
      <c r="B15" s="40" t="s">
        <v>37</v>
      </c>
      <c r="C15" s="40" t="str">
        <f>VLOOKUP(B15,exportado!$A$2:$S$36,2,0)</f>
        <v>COTACALLAPA JOVE ROBERTO</v>
      </c>
      <c r="D15" s="10">
        <f>VLOOKUP(B15,exportado!$A$2:$S$36,3,0)</f>
        <v>82211.75</v>
      </c>
      <c r="E15" s="10">
        <f>VLOOKUP(B15,exportado!$A$2:$S$36,4,0)</f>
        <v>2000.41</v>
      </c>
      <c r="F15" s="10">
        <f>VLOOKUP(B15,exportado!$A$2:$S$36,5,0)</f>
        <v>80211.34</v>
      </c>
      <c r="G15" s="10">
        <f>VLOOKUP(B15,exportado!$A$2:$S$36,6,0)</f>
        <v>113350</v>
      </c>
      <c r="H15" s="36">
        <f>VLOOKUP(B15,exportado!$A$2:$S$36,7,0)</f>
        <v>70.760000000000005</v>
      </c>
      <c r="I15" s="10">
        <f>VLOOKUP(B15,exportado!$A$2:$S$36,10,0)</f>
        <v>93200.03</v>
      </c>
      <c r="J15" s="10">
        <f>VLOOKUP(B15,exportado!$A$2:$S$36,11,0)</f>
        <v>123805.2</v>
      </c>
      <c r="K15" s="10">
        <f>VLOOKUP(B15,exportado!$A$2:$S$36,13,0)</f>
        <v>30681.3</v>
      </c>
      <c r="L15" s="37">
        <f>VLOOKUP(B15,exportado!$A$2:$S$36,12,0)</f>
        <v>24.79</v>
      </c>
      <c r="M15" s="10">
        <f>VLOOKUP(B15,exportado!$A$2:$S$36,8,0)</f>
        <v>109</v>
      </c>
      <c r="N15" s="10">
        <f>VLOOKUP(B15,exportado!$A$2:$S$36,9,0)</f>
        <v>26</v>
      </c>
      <c r="O15" s="38">
        <f>VLOOKUP(B15,exportado!$A$2:$S$36,12,0)</f>
        <v>24.79</v>
      </c>
      <c r="P15" s="34">
        <f>VLOOKUP(B15,exportado!$A$2:$S$36,14,0)</f>
        <v>23.853211009174313</v>
      </c>
      <c r="Q15" s="34">
        <f>VLOOKUP(B15,exportado!$A$2:$S$36,15,0)</f>
        <v>0</v>
      </c>
      <c r="R15" s="39">
        <f t="shared" si="0"/>
        <v>0</v>
      </c>
    </row>
    <row r="16" spans="1:18">
      <c r="A16" s="41">
        <v>15</v>
      </c>
      <c r="B16" s="42" t="s">
        <v>58</v>
      </c>
      <c r="C16" s="40" t="e">
        <f>VLOOKUP(B16,exportado!$A$2:$S$36,2,0)</f>
        <v>#N/A</v>
      </c>
      <c r="D16" s="10" t="e">
        <f>VLOOKUP(B16,exportado!$A$2:$S$36,3,0)</f>
        <v>#N/A</v>
      </c>
      <c r="E16" s="10" t="e">
        <f>VLOOKUP(B16,exportado!$A$2:$S$36,4,0)</f>
        <v>#N/A</v>
      </c>
      <c r="F16" s="10" t="e">
        <f>VLOOKUP(B16,exportado!$A$2:$S$36,5,0)</f>
        <v>#N/A</v>
      </c>
      <c r="G16" s="10" t="e">
        <f>VLOOKUP(B16,exportado!$A$2:$S$36,6,0)</f>
        <v>#N/A</v>
      </c>
      <c r="H16" s="36" t="e">
        <f>VLOOKUP(B16,exportado!$A$2:$S$36,7,0)</f>
        <v>#N/A</v>
      </c>
      <c r="I16" s="10" t="e">
        <f>VLOOKUP(B16,exportado!$A$2:$S$36,10,0)</f>
        <v>#N/A</v>
      </c>
      <c r="J16" s="10" t="e">
        <f>VLOOKUP(B16,exportado!$A$2:$S$36,11,0)</f>
        <v>#N/A</v>
      </c>
      <c r="K16" s="10" t="e">
        <f>VLOOKUP(B16,exportado!$A$2:$S$36,13,0)</f>
        <v>#N/A</v>
      </c>
      <c r="L16" s="37" t="e">
        <f>VLOOKUP(B16,exportado!$A$2:$S$36,12,0)</f>
        <v>#N/A</v>
      </c>
      <c r="M16" s="10" t="e">
        <f>VLOOKUP(B16,exportado!$A$2:$S$36,8,0)</f>
        <v>#N/A</v>
      </c>
      <c r="N16" s="10" t="e">
        <f>VLOOKUP(B16,exportado!$A$2:$S$36,9,0)</f>
        <v>#N/A</v>
      </c>
      <c r="O16" s="38">
        <v>0</v>
      </c>
      <c r="P16" s="34" t="e">
        <f>VLOOKUP(B16,exportado!$A$2:$S$36,14,0)</f>
        <v>#N/A</v>
      </c>
      <c r="Q16" s="34" t="e">
        <f>VLOOKUP(B16,exportado!$A$2:$S$36,15,0)</f>
        <v>#N/A</v>
      </c>
      <c r="R16" s="39" t="e">
        <f t="shared" si="0"/>
        <v>#N/A</v>
      </c>
    </row>
    <row r="17" spans="1:18">
      <c r="A17" s="10">
        <v>16</v>
      </c>
      <c r="B17" s="40" t="s">
        <v>59</v>
      </c>
      <c r="C17" s="40" t="str">
        <f>VLOOKUP(B17,exportado!$A$2:$S$36,2,0)</f>
        <v>SOSA CECILIA</v>
      </c>
      <c r="D17" s="10">
        <f>VLOOKUP(B17,exportado!$A$2:$S$36,3,0)</f>
        <v>0</v>
      </c>
      <c r="E17" s="10">
        <f>VLOOKUP(B17,exportado!$A$2:$S$36,4,0)</f>
        <v>0</v>
      </c>
      <c r="F17" s="10">
        <f>VLOOKUP(B17,exportado!$A$2:$S$36,5,0)</f>
        <v>0</v>
      </c>
      <c r="G17" s="10">
        <f>VLOOKUP(B17,exportado!$A$2:$S$36,6,0)</f>
        <v>0</v>
      </c>
      <c r="H17" s="36">
        <f>VLOOKUP(B17,exportado!$A$2:$S$36,7,0)</f>
        <v>0</v>
      </c>
      <c r="I17" s="10">
        <f>VLOOKUP(B17,exportado!$A$2:$S$36,10,0)</f>
        <v>0</v>
      </c>
      <c r="J17" s="10">
        <f>VLOOKUP(B17,exportado!$A$2:$S$36,11,0)</f>
        <v>0</v>
      </c>
      <c r="K17" s="10">
        <f>VLOOKUP(B17,exportado!$A$2:$S$36,13,0)</f>
        <v>0</v>
      </c>
      <c r="L17" s="37">
        <f>VLOOKUP(B17,exportado!$A$2:$S$36,12,0)</f>
        <v>0</v>
      </c>
      <c r="M17" s="10">
        <f>VLOOKUP(B17,exportado!$A$2:$S$36,8,0)</f>
        <v>8</v>
      </c>
      <c r="N17" s="10">
        <f>VLOOKUP(B17,exportado!$A$2:$S$36,9,0)</f>
        <v>0</v>
      </c>
      <c r="O17" s="38">
        <v>0</v>
      </c>
      <c r="P17" s="34">
        <f>VLOOKUP(B17,exportado!$A$2:$S$36,14,0)</f>
        <v>0</v>
      </c>
      <c r="Q17" s="34">
        <f>VLOOKUP(B17,exportado!$A$2:$S$36,15,0)</f>
        <v>0</v>
      </c>
      <c r="R17" s="39" t="e">
        <f t="shared" si="0"/>
        <v>#DIV/0!</v>
      </c>
    </row>
    <row r="18" spans="1:18" s="34" customFormat="1" ht="9.75">
      <c r="A18" s="34">
        <v>17</v>
      </c>
      <c r="B18" s="40" t="s">
        <v>60</v>
      </c>
      <c r="C18" s="40" t="str">
        <f>VLOOKUP(B18,exportado!$A$2:$S$36,2,0)</f>
        <v>INANCTIVO MAMANI LIPA CLEMENTE</v>
      </c>
      <c r="D18" s="10">
        <f>VLOOKUP(B18,exportado!$A$2:$S$36,3,0)</f>
        <v>0</v>
      </c>
      <c r="E18" s="10">
        <f>VLOOKUP(B18,exportado!$A$2:$S$36,4,0)</f>
        <v>0</v>
      </c>
      <c r="F18" s="10">
        <f>VLOOKUP(B18,exportado!$A$2:$S$36,5,0)</f>
        <v>0</v>
      </c>
      <c r="G18" s="10">
        <f>VLOOKUP(B18,exportado!$A$2:$S$36,6,0)</f>
        <v>0</v>
      </c>
      <c r="H18" s="36">
        <f>VLOOKUP(B18,exportado!$A$2:$S$36,7,0)</f>
        <v>0</v>
      </c>
      <c r="I18" s="10">
        <f>VLOOKUP(B18,exportado!$A$2:$S$36,10,0)</f>
        <v>0</v>
      </c>
      <c r="J18" s="10">
        <f>VLOOKUP(B18,exportado!$A$2:$S$36,11,0)</f>
        <v>0</v>
      </c>
      <c r="K18" s="10">
        <f>VLOOKUP(B18,exportado!$A$2:$S$36,13,0)</f>
        <v>0</v>
      </c>
      <c r="L18" s="37">
        <f>VLOOKUP(B18,exportado!$A$2:$S$36,12,0)</f>
        <v>0</v>
      </c>
      <c r="M18" s="10">
        <f>VLOOKUP(B18,exportado!$A$2:$S$36,8,0)</f>
        <v>283</v>
      </c>
      <c r="N18" s="10">
        <f>VLOOKUP(B18,exportado!$A$2:$S$36,9,0)</f>
        <v>0</v>
      </c>
      <c r="O18" s="38">
        <f>VLOOKUP(B18,exportado!$A$2:$S$36,12,0)</f>
        <v>0</v>
      </c>
      <c r="P18" s="34">
        <f>VLOOKUP(B18,exportado!$A$2:$S$36,14,0)</f>
        <v>0</v>
      </c>
      <c r="Q18" s="34">
        <f>VLOOKUP(B18,exportado!$A$2:$S$36,15,0)</f>
        <v>0</v>
      </c>
      <c r="R18" s="39" t="e">
        <f t="shared" si="0"/>
        <v>#DIV/0!</v>
      </c>
    </row>
    <row r="19" spans="1:18" s="34" customFormat="1" ht="9.75">
      <c r="A19" s="34">
        <v>18</v>
      </c>
      <c r="B19" s="40" t="s">
        <v>38</v>
      </c>
      <c r="C19" s="40" t="str">
        <f>VLOOKUP(B19,exportado!$A$2:$S$36,2,0)</f>
        <v>CHICATA APAZA JOSE LUIS</v>
      </c>
      <c r="D19" s="10">
        <f>VLOOKUP(B19,exportado!$A$2:$S$36,3,0)</f>
        <v>617.25</v>
      </c>
      <c r="E19" s="10">
        <f>VLOOKUP(B19,exportado!$A$2:$S$36,4,0)</f>
        <v>0</v>
      </c>
      <c r="F19" s="10">
        <f>VLOOKUP(B19,exportado!$A$2:$S$36,5,0)</f>
        <v>617.25</v>
      </c>
      <c r="G19" s="10">
        <f>VLOOKUP(B19,exportado!$A$2:$S$36,6,0)</f>
        <v>0</v>
      </c>
      <c r="H19" s="36">
        <f>VLOOKUP(B19,exportado!$A$2:$S$36,7,0)</f>
        <v>0</v>
      </c>
      <c r="I19" s="10">
        <f>VLOOKUP(B19,exportado!$A$2:$S$36,10,0)</f>
        <v>728.35</v>
      </c>
      <c r="J19" s="10">
        <f>VLOOKUP(B19,exportado!$A$2:$S$36,11,0)</f>
        <v>0</v>
      </c>
      <c r="K19" s="10">
        <f>VLOOKUP(B19,exportado!$A$2:$S$36,13,0)</f>
        <v>0</v>
      </c>
      <c r="L19" s="37">
        <f>VLOOKUP(B19,exportado!$A$2:$S$36,12,0)</f>
        <v>0</v>
      </c>
      <c r="M19" s="10">
        <f>VLOOKUP(B19,exportado!$A$2:$S$36,8,0)</f>
        <v>136</v>
      </c>
      <c r="N19" s="10">
        <f>VLOOKUP(B19,exportado!$A$2:$S$36,9,0)</f>
        <v>2</v>
      </c>
      <c r="O19" s="38">
        <f>VLOOKUP(B19,exportado!$A$2:$S$36,12,0)</f>
        <v>0</v>
      </c>
      <c r="P19" s="34">
        <f>VLOOKUP(B19,exportado!$A$2:$S$36,14,0)</f>
        <v>1.4705882352941178</v>
      </c>
      <c r="Q19" s="34">
        <f>VLOOKUP(B19,exportado!$A$2:$S$36,15,0)</f>
        <v>0</v>
      </c>
      <c r="R19" s="39">
        <f t="shared" si="0"/>
        <v>0</v>
      </c>
    </row>
    <row r="20" spans="1:18" s="34" customFormat="1" ht="9.75">
      <c r="A20" s="34">
        <v>19</v>
      </c>
      <c r="B20" s="40" t="s">
        <v>39</v>
      </c>
      <c r="C20" s="40" t="str">
        <f>VLOOKUP(B20,exportado!$A$2:$S$36,2,0)</f>
        <v>RAMOS CHACON CARMEN ROSA</v>
      </c>
      <c r="D20" s="10">
        <f>VLOOKUP(B20,exportado!$A$2:$S$36,3,0)</f>
        <v>74586.100000000006</v>
      </c>
      <c r="E20" s="10">
        <f>VLOOKUP(B20,exportado!$A$2:$S$36,4,0)</f>
        <v>1282.29</v>
      </c>
      <c r="F20" s="10">
        <f>VLOOKUP(B20,exportado!$A$2:$S$36,5,0)</f>
        <v>73303.81</v>
      </c>
      <c r="G20" s="10">
        <f>VLOOKUP(B20,exportado!$A$2:$S$36,6,0)</f>
        <v>83100</v>
      </c>
      <c r="H20" s="36">
        <f>VLOOKUP(B20,exportado!$A$2:$S$36,7,0)</f>
        <v>88.21</v>
      </c>
      <c r="I20" s="10">
        <f>VLOOKUP(B20,exportado!$A$2:$S$36,10,0)</f>
        <v>100616.91</v>
      </c>
      <c r="J20" s="10">
        <f>VLOOKUP(B20,exportado!$A$2:$S$36,11,0)</f>
        <v>18460.400000000001</v>
      </c>
      <c r="K20" s="10">
        <f>VLOOKUP(B20,exportado!$A$2:$S$36,13,0)</f>
        <v>303.12</v>
      </c>
      <c r="L20" s="37">
        <f>VLOOKUP(B20,exportado!$A$2:$S$36,12,0)</f>
        <v>1.64</v>
      </c>
      <c r="M20" s="10">
        <f>VLOOKUP(B20,exportado!$A$2:$S$36,8,0)</f>
        <v>204</v>
      </c>
      <c r="N20" s="10">
        <f>VLOOKUP(B20,exportado!$A$2:$S$36,9,0)</f>
        <v>117</v>
      </c>
      <c r="O20" s="38">
        <f>VLOOKUP(B20,exportado!$A$2:$S$36,12,0)</f>
        <v>1.64</v>
      </c>
      <c r="P20" s="34">
        <f>VLOOKUP(B20,exportado!$A$2:$S$36,14,0)</f>
        <v>57.352941176470587</v>
      </c>
      <c r="Q20" s="34">
        <f>VLOOKUP(B20,exportado!$A$2:$S$36,15,0)</f>
        <v>0</v>
      </c>
      <c r="R20" s="39">
        <f t="shared" si="0"/>
        <v>0</v>
      </c>
    </row>
    <row r="21" spans="1:18" s="34" customFormat="1" ht="9.75">
      <c r="A21" s="34">
        <v>20</v>
      </c>
      <c r="B21" s="40" t="s">
        <v>61</v>
      </c>
      <c r="C21" s="40" t="str">
        <f>VLOOKUP(B21,exportado!$A$2:$S$36,2,0)</f>
        <v>SUPERVISOR CONSUMO</v>
      </c>
      <c r="D21" s="10">
        <f>VLOOKUP(B21,exportado!$A$2:$S$36,3,0)</f>
        <v>0</v>
      </c>
      <c r="E21" s="10">
        <f>VLOOKUP(B21,exportado!$A$2:$S$36,4,0)</f>
        <v>0</v>
      </c>
      <c r="F21" s="10">
        <f>VLOOKUP(B21,exportado!$A$2:$S$36,5,0)</f>
        <v>0</v>
      </c>
      <c r="G21" s="10">
        <f>VLOOKUP(B21,exportado!$A$2:$S$36,6,0)</f>
        <v>0</v>
      </c>
      <c r="H21" s="36">
        <f>VLOOKUP(B21,exportado!$A$2:$S$36,7,0)</f>
        <v>0</v>
      </c>
      <c r="I21" s="10">
        <f>VLOOKUP(B21,exportado!$A$2:$S$36,10,0)</f>
        <v>0</v>
      </c>
      <c r="J21" s="10">
        <f>VLOOKUP(B21,exportado!$A$2:$S$36,11,0)</f>
        <v>24256.14</v>
      </c>
      <c r="K21" s="10">
        <f>VLOOKUP(B21,exportado!$A$2:$S$36,13,0)</f>
        <v>17675.810000000001</v>
      </c>
      <c r="L21" s="37">
        <f>VLOOKUP(B21,exportado!$A$2:$S$36,12,0)</f>
        <v>72.87</v>
      </c>
      <c r="M21" s="10">
        <f>VLOOKUP(B21,exportado!$A$2:$S$36,8,0)</f>
        <v>208</v>
      </c>
      <c r="N21" s="10">
        <f>VLOOKUP(B21,exportado!$A$2:$S$36,9,0)</f>
        <v>0</v>
      </c>
      <c r="O21" s="38">
        <f>VLOOKUP(B21,exportado!$A$2:$S$36,12,0)</f>
        <v>72.87</v>
      </c>
      <c r="P21" s="34">
        <f>VLOOKUP(B21,exportado!$A$2:$S$36,14,0)</f>
        <v>0</v>
      </c>
      <c r="Q21" s="34">
        <f>VLOOKUP(B21,exportado!$A$2:$S$36,15,0)</f>
        <v>0</v>
      </c>
      <c r="R21" s="39" t="e">
        <f t="shared" si="0"/>
        <v>#DIV/0!</v>
      </c>
    </row>
    <row r="22" spans="1:18" s="34" customFormat="1" ht="9.75">
      <c r="A22" s="34">
        <v>21</v>
      </c>
      <c r="B22" s="40" t="s">
        <v>62</v>
      </c>
      <c r="C22" s="40" t="str">
        <f>VLOOKUP(B22,exportado!$A$2:$S$36,2,0)</f>
        <v>OFICINA PERSONAL</v>
      </c>
      <c r="D22" s="10">
        <f>VLOOKUP(B22,exportado!$A$2:$S$36,3,0)</f>
        <v>2492.3000000000002</v>
      </c>
      <c r="E22" s="10">
        <f>VLOOKUP(B22,exportado!$A$2:$S$36,4,0)</f>
        <v>8830.09</v>
      </c>
      <c r="F22" s="10">
        <f>VLOOKUP(B22,exportado!$A$2:$S$36,5,0)</f>
        <v>-6337.79</v>
      </c>
      <c r="G22" s="10">
        <f>VLOOKUP(B22,exportado!$A$2:$S$36,6,0)</f>
        <v>0</v>
      </c>
      <c r="H22" s="36">
        <f>VLOOKUP(B22,exportado!$A$2:$S$36,7,0)</f>
        <v>0</v>
      </c>
      <c r="I22" s="10">
        <f>VLOOKUP(B22,exportado!$A$2:$S$36,10,0)</f>
        <v>360.16</v>
      </c>
      <c r="J22" s="10">
        <f>VLOOKUP(B22,exportado!$A$2:$S$36,11,0)</f>
        <v>9868.7099999999991</v>
      </c>
      <c r="K22" s="10">
        <f>VLOOKUP(B22,exportado!$A$2:$S$36,13,0)</f>
        <v>56.03</v>
      </c>
      <c r="L22" s="37">
        <f>VLOOKUP(B22,exportado!$A$2:$S$36,12,0)</f>
        <v>0.56999999999999995</v>
      </c>
      <c r="M22" s="10">
        <f>VLOOKUP(B22,exportado!$A$2:$S$36,8,0)</f>
        <v>270</v>
      </c>
      <c r="N22" s="10">
        <f>VLOOKUP(B22,exportado!$A$2:$S$36,9,0)</f>
        <v>35</v>
      </c>
      <c r="O22" s="38">
        <f>VLOOKUP(B22,exportado!$A$2:$S$36,12,0)</f>
        <v>0.56999999999999995</v>
      </c>
      <c r="P22" s="34">
        <f>VLOOKUP(B22,exportado!$A$2:$S$36,14,0)</f>
        <v>12.962962962962964</v>
      </c>
      <c r="Q22" s="34">
        <f>VLOOKUP(B22,exportado!$A$2:$S$36,15,0)</f>
        <v>0</v>
      </c>
      <c r="R22" s="39">
        <f t="shared" si="0"/>
        <v>0</v>
      </c>
    </row>
    <row r="23" spans="1:18" s="34" customFormat="1" ht="9.75">
      <c r="A23" s="34">
        <v>22</v>
      </c>
      <c r="B23" s="43" t="s">
        <v>63</v>
      </c>
      <c r="C23" s="43" t="e">
        <f>VLOOKUP(B23,exportado!$A$2:$S$36,2,0)</f>
        <v>#N/A</v>
      </c>
      <c r="D23" s="10" t="e">
        <f>VLOOKUP(B23,exportado!$A$2:$S$36,3,0)</f>
        <v>#N/A</v>
      </c>
      <c r="E23" s="10" t="e">
        <f>VLOOKUP(B23,exportado!$A$2:$S$36,4,0)</f>
        <v>#N/A</v>
      </c>
      <c r="F23" s="10" t="e">
        <f>VLOOKUP(B23,exportado!$A$2:$S$36,5,0)</f>
        <v>#N/A</v>
      </c>
      <c r="G23" s="10" t="e">
        <f>VLOOKUP(B23,exportado!$A$2:$S$36,6,0)</f>
        <v>#N/A</v>
      </c>
      <c r="H23" s="36" t="e">
        <f>VLOOKUP(B23,exportado!$A$2:$S$36,7,0)</f>
        <v>#N/A</v>
      </c>
      <c r="I23" s="10" t="e">
        <f>VLOOKUP(B23,exportado!$A$2:$S$36,10,0)</f>
        <v>#N/A</v>
      </c>
      <c r="J23" s="10" t="e">
        <f>VLOOKUP(B23,exportado!$A$2:$S$36,11,0)</f>
        <v>#N/A</v>
      </c>
      <c r="K23" s="10" t="e">
        <f>VLOOKUP(B23,exportado!$A$2:$S$36,13,0)</f>
        <v>#N/A</v>
      </c>
      <c r="L23" s="37" t="e">
        <f>VLOOKUP(B23,exportado!$A$2:$S$36,12,0)</f>
        <v>#N/A</v>
      </c>
      <c r="M23" s="10" t="e">
        <f>VLOOKUP(B23,exportado!$A$2:$S$36,8,0)</f>
        <v>#N/A</v>
      </c>
      <c r="N23" s="10" t="e">
        <f>VLOOKUP(B23,exportado!$A$2:$S$36,9,0)</f>
        <v>#N/A</v>
      </c>
      <c r="O23" s="38" t="e">
        <f>VLOOKUP(B23,exportado!$A$2:$S$36,12,0)</f>
        <v>#N/A</v>
      </c>
      <c r="P23" s="34" t="e">
        <f>VLOOKUP(B23,exportado!$A$2:$S$36,14,0)</f>
        <v>#N/A</v>
      </c>
      <c r="Q23" s="34" t="e">
        <f>VLOOKUP(B23,exportado!$A$2:$S$36,15,0)</f>
        <v>#N/A</v>
      </c>
      <c r="R23" s="39" t="e">
        <f t="shared" si="0"/>
        <v>#N/A</v>
      </c>
    </row>
    <row r="24" spans="1:18" s="34" customFormat="1" ht="9.75">
      <c r="A24" s="34">
        <v>23</v>
      </c>
      <c r="B24" s="43" t="s">
        <v>32</v>
      </c>
      <c r="C24" s="43" t="str">
        <f>VLOOKUP(B24,exportado!$A$2:$S$36,2,0)</f>
        <v>DOLMOS PACHECO CARMEN ROSA</v>
      </c>
      <c r="D24" s="10">
        <f>VLOOKUP(B24,exportado!$A$2:$S$36,3,0)</f>
        <v>145280.60999999999</v>
      </c>
      <c r="E24" s="10">
        <f>VLOOKUP(B24,exportado!$A$2:$S$36,4,0)</f>
        <v>2513.4499999999998</v>
      </c>
      <c r="F24" s="10">
        <f>VLOOKUP(B24,exportado!$A$2:$S$36,5,0)</f>
        <v>142767.16</v>
      </c>
      <c r="G24" s="10">
        <f>VLOOKUP(B24,exportado!$A$2:$S$36,6,0)</f>
        <v>228451.88</v>
      </c>
      <c r="H24" s="36">
        <f>VLOOKUP(B24,exportado!$A$2:$S$36,7,0)</f>
        <v>62.49</v>
      </c>
      <c r="I24" s="10">
        <f>VLOOKUP(B24,exportado!$A$2:$S$36,10,0)</f>
        <v>266571.09999999998</v>
      </c>
      <c r="J24" s="10">
        <f>VLOOKUP(B24,exportado!$A$2:$S$36,11,0)</f>
        <v>467883.11</v>
      </c>
      <c r="K24" s="10">
        <f>VLOOKUP(B24,exportado!$A$2:$S$36,13,0)</f>
        <v>54352.26</v>
      </c>
      <c r="L24" s="37">
        <f>VLOOKUP(B24,exportado!$A$2:$S$36,12,0)</f>
        <v>11.61</v>
      </c>
      <c r="M24" s="10">
        <f>VLOOKUP(B24,exportado!$A$2:$S$36,8,0)</f>
        <v>60</v>
      </c>
      <c r="N24" s="10">
        <f>VLOOKUP(B24,exportado!$A$2:$S$36,9,0)</f>
        <v>35</v>
      </c>
      <c r="O24" s="38">
        <f>VLOOKUP(B24,exportado!$A$2:$S$36,12,0)</f>
        <v>11.61</v>
      </c>
      <c r="P24" s="34">
        <f>VLOOKUP(B24,exportado!$A$2:$S$36,14,0)</f>
        <v>58.333333333333336</v>
      </c>
      <c r="Q24" s="34">
        <f>VLOOKUP(B24,exportado!$A$2:$S$36,15,0)</f>
        <v>0</v>
      </c>
      <c r="R24" s="39">
        <f t="shared" si="0"/>
        <v>0</v>
      </c>
    </row>
    <row r="25" spans="1:18" s="34" customFormat="1" ht="9.75">
      <c r="A25" s="34">
        <v>24</v>
      </c>
      <c r="B25" s="43" t="s">
        <v>30</v>
      </c>
      <c r="C25" s="43" t="str">
        <f>VLOOKUP(B25,exportado!$A$2:$S$36,2,0)</f>
        <v>FLORES PALOMINO JIM</v>
      </c>
      <c r="D25" s="10">
        <f>VLOOKUP(B25,exportado!$A$2:$S$36,3,0)</f>
        <v>82672.45</v>
      </c>
      <c r="E25" s="10">
        <f>VLOOKUP(B25,exportado!$A$2:$S$36,4,0)</f>
        <v>1753.98</v>
      </c>
      <c r="F25" s="10">
        <f>VLOOKUP(B25,exportado!$A$2:$S$36,5,0)</f>
        <v>80918.47</v>
      </c>
      <c r="G25" s="10">
        <f>VLOOKUP(B25,exportado!$A$2:$S$36,6,0)</f>
        <v>160698.41</v>
      </c>
      <c r="H25" s="36">
        <f>VLOOKUP(B25,exportado!$A$2:$S$36,7,0)</f>
        <v>50.35</v>
      </c>
      <c r="I25" s="10">
        <f>VLOOKUP(B25,exportado!$A$2:$S$36,10,0)</f>
        <v>128132.72</v>
      </c>
      <c r="J25" s="10">
        <f>VLOOKUP(B25,exportado!$A$2:$S$36,11,0)</f>
        <v>306158.3</v>
      </c>
      <c r="K25" s="10">
        <f>VLOOKUP(B25,exportado!$A$2:$S$36,13,0)</f>
        <v>86112.02</v>
      </c>
      <c r="L25" s="37">
        <f>VLOOKUP(B25,exportado!$A$2:$S$36,12,0)</f>
        <v>28.13</v>
      </c>
      <c r="M25" s="10">
        <f>VLOOKUP(B25,exportado!$A$2:$S$36,8,0)</f>
        <v>91</v>
      </c>
      <c r="N25" s="10">
        <f>VLOOKUP(B25,exportado!$A$2:$S$36,9,0)</f>
        <v>33</v>
      </c>
      <c r="O25" s="38">
        <f>VLOOKUP(B25,exportado!$A$2:$S$36,12,0)</f>
        <v>28.13</v>
      </c>
      <c r="P25" s="34">
        <f>VLOOKUP(B25,exportado!$A$2:$S$36,14,0)</f>
        <v>36.263736263736263</v>
      </c>
      <c r="Q25" s="34">
        <f>VLOOKUP(B25,exportado!$A$2:$S$36,15,0)</f>
        <v>0</v>
      </c>
      <c r="R25" s="39">
        <f t="shared" si="0"/>
        <v>0</v>
      </c>
    </row>
    <row r="26" spans="1:18" s="34" customFormat="1" ht="9.75">
      <c r="A26" s="34">
        <v>25</v>
      </c>
      <c r="B26" s="43" t="s">
        <v>31</v>
      </c>
      <c r="C26" s="43" t="str">
        <f>VLOOKUP(B26,exportado!$A$2:$S$36,2,0)</f>
        <v>OLAECHEA LOZANO DANNY MANUEL</v>
      </c>
      <c r="D26" s="10">
        <f>VLOOKUP(B26,exportado!$A$2:$S$36,3,0)</f>
        <v>125002.56</v>
      </c>
      <c r="E26" s="10">
        <f>VLOOKUP(B26,exportado!$A$2:$S$36,4,0)</f>
        <v>2527.87</v>
      </c>
      <c r="F26" s="10">
        <f>VLOOKUP(B26,exportado!$A$2:$S$36,5,0)</f>
        <v>122474.69</v>
      </c>
      <c r="G26" s="10">
        <f>VLOOKUP(B26,exportado!$A$2:$S$36,6,0)</f>
        <v>143512.35</v>
      </c>
      <c r="H26" s="36">
        <f>VLOOKUP(B26,exportado!$A$2:$S$36,7,0)</f>
        <v>85.34</v>
      </c>
      <c r="I26" s="10">
        <f>VLOOKUP(B26,exportado!$A$2:$S$36,10,0)</f>
        <v>118204.35</v>
      </c>
      <c r="J26" s="10">
        <f>VLOOKUP(B26,exportado!$A$2:$S$36,11,0)</f>
        <v>359891.08</v>
      </c>
      <c r="K26" s="10">
        <f>VLOOKUP(B26,exportado!$A$2:$S$36,13,0)</f>
        <v>94070.74</v>
      </c>
      <c r="L26" s="37">
        <f>VLOOKUP(B26,exportado!$A$2:$S$36,12,0)</f>
        <v>26.14</v>
      </c>
      <c r="M26" s="10">
        <f>VLOOKUP(B26,exportado!$A$2:$S$36,8,0)</f>
        <v>79</v>
      </c>
      <c r="N26" s="10">
        <f>VLOOKUP(B26,exportado!$A$2:$S$36,9,0)</f>
        <v>29</v>
      </c>
      <c r="O26" s="38">
        <f>VLOOKUP(B26,exportado!$A$2:$S$36,12,0)</f>
        <v>26.14</v>
      </c>
      <c r="P26" s="34">
        <f>VLOOKUP(B26,exportado!$A$2:$S$36,14,0)</f>
        <v>36.708860759493668</v>
      </c>
      <c r="Q26" s="34">
        <f>VLOOKUP(B26,exportado!$A$2:$S$36,15,0)</f>
        <v>0</v>
      </c>
      <c r="R26" s="39">
        <f t="shared" si="0"/>
        <v>0</v>
      </c>
    </row>
    <row r="27" spans="1:18" s="34" customFormat="1" ht="9.75">
      <c r="A27" s="34">
        <v>27</v>
      </c>
      <c r="B27" s="44" t="s">
        <v>35</v>
      </c>
      <c r="C27" s="44" t="s">
        <v>64</v>
      </c>
      <c r="D27" s="44">
        <f>VLOOKUP(B27,exportado!$A$2:$S$36,3,0)</f>
        <v>85413.39</v>
      </c>
      <c r="E27" s="44">
        <f>VLOOKUP(B27,exportado!$A$2:$S$36,4,0)</f>
        <v>2066.5</v>
      </c>
      <c r="F27" s="44">
        <f>VLOOKUP(B27,exportado!$A$2:$S$36,5,0)</f>
        <v>83346.89</v>
      </c>
      <c r="G27" s="44">
        <f>VLOOKUP(B27,exportado!$A$2:$S$36,6,0)</f>
        <v>152263.79</v>
      </c>
      <c r="H27" s="44">
        <f>VLOOKUP(B27,exportado!$A$2:$S$36,7,0)</f>
        <v>54.74</v>
      </c>
      <c r="I27" s="44">
        <f>VLOOKUP(B27,exportado!$A$2:$S$36,10,0)</f>
        <v>164301.71</v>
      </c>
      <c r="J27" s="44">
        <f>VLOOKUP(B27,exportado!$A$2:$S$36,11,0)</f>
        <v>272097.44</v>
      </c>
      <c r="K27" s="44">
        <f>VLOOKUP(B27,exportado!$A$2:$S$36,13,0)</f>
        <v>23014.65</v>
      </c>
      <c r="L27" s="44">
        <f>VLOOKUP(B27,exportado!$A$2:$S$36,12,0)</f>
        <v>8.4600000000000009</v>
      </c>
      <c r="M27" s="44">
        <f>VLOOKUP(B27,exportado!$A$2:$S$36,8,0)</f>
        <v>48</v>
      </c>
      <c r="N27" s="44">
        <f>VLOOKUP(B27,exportado!$A$2:$S$36,9,0)</f>
        <v>22</v>
      </c>
      <c r="O27" s="38">
        <f>VLOOKUP(B27,exportado!$A$2:$S$36,12,0)</f>
        <v>8.4600000000000009</v>
      </c>
      <c r="P27" s="30">
        <f>VLOOKUP(B27,exportado!$A$2:$S$36,14,0)</f>
        <v>45.833333333333336</v>
      </c>
      <c r="Q27" s="30">
        <f>VLOOKUP(B27,exportado!$A$2:$S$36,15,0)</f>
        <v>0</v>
      </c>
      <c r="R27" s="39">
        <f t="shared" si="0"/>
        <v>0</v>
      </c>
    </row>
    <row r="28" spans="1:18" s="34" customFormat="1" ht="9.75">
      <c r="A28" s="34">
        <v>28</v>
      </c>
      <c r="B28" s="44" t="s">
        <v>34</v>
      </c>
      <c r="C28" s="44" t="s">
        <v>65</v>
      </c>
      <c r="D28" s="44">
        <f>VLOOKUP(B28,exportado!$A$2:$S$36,3,0)</f>
        <v>211653.09</v>
      </c>
      <c r="E28" s="44">
        <f>VLOOKUP(B28,exportado!$A$2:$S$36,4,0)</f>
        <v>28719.07</v>
      </c>
      <c r="F28" s="44">
        <f>VLOOKUP(B28,exportado!$A$2:$S$36,5,0)</f>
        <v>182934.02</v>
      </c>
      <c r="G28" s="44">
        <f>VLOOKUP(B28,exportado!$A$2:$S$36,6,0)</f>
        <v>237255.21</v>
      </c>
      <c r="H28" s="44">
        <f>VLOOKUP(B28,exportado!$A$2:$S$36,7,0)</f>
        <v>77.099999999999994</v>
      </c>
      <c r="I28" s="44">
        <f>VLOOKUP(B28,exportado!$A$2:$S$36,10,0)</f>
        <v>291110.31</v>
      </c>
      <c r="J28" s="44">
        <f>VLOOKUP(B28,exportado!$A$2:$S$36,11,0)</f>
        <v>712456.97</v>
      </c>
      <c r="K28" s="44">
        <f>VLOOKUP(B28,exportado!$A$2:$S$36,13,0)</f>
        <v>79929.37</v>
      </c>
      <c r="L28" s="44">
        <f>VLOOKUP(B28,exportado!$A$2:$S$36,12,0)</f>
        <v>11.22</v>
      </c>
      <c r="M28" s="44">
        <f>VLOOKUP(B28,exportado!$A$2:$S$36,8,0)</f>
        <v>105</v>
      </c>
      <c r="N28" s="44">
        <f>VLOOKUP(B28,exportado!$A$2:$S$36,9,0)</f>
        <v>35</v>
      </c>
      <c r="O28" s="38">
        <f>VLOOKUP(B28,exportado!$A$2:$S$36,12,0)</f>
        <v>11.22</v>
      </c>
      <c r="P28" s="30">
        <f>VLOOKUP(B28,exportado!$A$2:$S$36,14,0)</f>
        <v>33.333333333333336</v>
      </c>
      <c r="Q28" s="30">
        <f>VLOOKUP(B28,exportado!$A$2:$S$36,15,0)</f>
        <v>0</v>
      </c>
      <c r="R28" s="39">
        <f t="shared" si="0"/>
        <v>0</v>
      </c>
    </row>
    <row r="29" spans="1:18" s="34" customFormat="1" ht="9.75">
      <c r="A29" s="34">
        <v>29</v>
      </c>
      <c r="B29" s="10" t="s">
        <v>66</v>
      </c>
      <c r="C29" s="10" t="str">
        <f>VLOOKUP(B29,exportado!$A$2:$S$36,2,0)</f>
        <v>LICITACION INSTITUCIONES</v>
      </c>
      <c r="D29" s="10">
        <f>VLOOKUP(B29,exportado!$A$2:$S$36,3,0)</f>
        <v>56147.18</v>
      </c>
      <c r="E29" s="10">
        <f>VLOOKUP(B29,exportado!$A$2:$S$36,4,0)</f>
        <v>52228.800000000003</v>
      </c>
      <c r="F29" s="10">
        <f>VLOOKUP(B29,exportado!$A$2:$S$36,5,0)</f>
        <v>3918.38</v>
      </c>
      <c r="G29" s="10">
        <f>VLOOKUP(B29,exportado!$A$2:$S$36,6,0)</f>
        <v>200000</v>
      </c>
      <c r="H29" s="36">
        <f>VLOOKUP(B29,exportado!$A$2:$S$36,7,0)</f>
        <v>1.96</v>
      </c>
      <c r="I29" s="10">
        <f>VLOOKUP(B29,exportado!$A$2:$S$36,10,0)</f>
        <v>731803.3</v>
      </c>
      <c r="J29" s="10">
        <f>VLOOKUP(B29,exportado!$A$2:$S$36,11,0)</f>
        <v>1263155.19</v>
      </c>
      <c r="K29" s="10">
        <f>VLOOKUP(B29,exportado!$A$2:$S$36,13,0)</f>
        <v>1093819.8700000001</v>
      </c>
      <c r="L29" s="37">
        <f>VLOOKUP(B29,exportado!$A$2:$S$36,12,0)</f>
        <v>86.59</v>
      </c>
      <c r="M29" s="10">
        <f>VLOOKUP(B29,exportado!$A$2:$S$36,8,0)</f>
        <v>131</v>
      </c>
      <c r="N29" s="10">
        <f>VLOOKUP(B29,exportado!$A$2:$S$36,9,0)</f>
        <v>7</v>
      </c>
      <c r="O29" s="38">
        <f>VLOOKUP(B29,exportado!$A$2:$S$36,12,0)</f>
        <v>86.59</v>
      </c>
      <c r="P29" s="34">
        <f>VLOOKUP(B29,exportado!$A$2:$S$36,14,0)</f>
        <v>5.343511450381679</v>
      </c>
      <c r="Q29" s="34">
        <f>VLOOKUP(B29,exportado!$A$2:$S$36,15,0)</f>
        <v>0</v>
      </c>
      <c r="R29" s="39">
        <f t="shared" si="0"/>
        <v>0</v>
      </c>
    </row>
    <row r="30" spans="1:18" s="34" customFormat="1" ht="9.75">
      <c r="A30" s="34">
        <v>30</v>
      </c>
      <c r="B30" s="10" t="s">
        <v>67</v>
      </c>
      <c r="C30" s="10" t="str">
        <f>VLOOKUP(B30,exportado!$A$2:$S$36,2,0)</f>
        <v>SUPERVISOR CONSUMO</v>
      </c>
      <c r="D30" s="10">
        <f>VLOOKUP(B30,exportado!$A$2:$S$36,3,0)</f>
        <v>0</v>
      </c>
      <c r="E30" s="10">
        <f>VLOOKUP(B30,exportado!$A$2:$S$36,4,0)</f>
        <v>0</v>
      </c>
      <c r="F30" s="10">
        <f>VLOOKUP(B30,exportado!$A$2:$S$36,5,0)</f>
        <v>0</v>
      </c>
      <c r="G30" s="10">
        <f>VLOOKUP(B30,exportado!$A$2:$S$36,6,0)</f>
        <v>0</v>
      </c>
      <c r="H30" s="36">
        <f>VLOOKUP(B30,exportado!$A$2:$S$36,7,0)</f>
        <v>0</v>
      </c>
      <c r="I30" s="10">
        <f>VLOOKUP(B30,exportado!$A$2:$S$36,10,0)</f>
        <v>0</v>
      </c>
      <c r="J30" s="10">
        <f>VLOOKUP(B30,exportado!$A$2:$S$36,11,0)</f>
        <v>370.19</v>
      </c>
      <c r="K30" s="10">
        <f>VLOOKUP(B30,exportado!$A$2:$S$36,13,0)</f>
        <v>0</v>
      </c>
      <c r="L30" s="37">
        <f>VLOOKUP(B30,exportado!$A$2:$S$36,12,0)</f>
        <v>0</v>
      </c>
      <c r="M30" s="10">
        <f>VLOOKUP(B30,exportado!$A$2:$S$36,8,0)</f>
        <v>187</v>
      </c>
      <c r="N30" s="10">
        <f>VLOOKUP(B30,exportado!$A$2:$S$36,9,0)</f>
        <v>0</v>
      </c>
      <c r="O30" s="38">
        <f>VLOOKUP(B30,exportado!$A$2:$S$36,12,0)</f>
        <v>0</v>
      </c>
      <c r="P30" s="34">
        <f>VLOOKUP(B30,exportado!$A$2:$S$36,14,0)</f>
        <v>0</v>
      </c>
      <c r="Q30" s="34">
        <f>VLOOKUP(B30,exportado!$A$2:$S$36,15,0)</f>
        <v>0</v>
      </c>
      <c r="R30" s="39" t="e">
        <f t="shared" si="0"/>
        <v>#DIV/0!</v>
      </c>
    </row>
    <row r="31" spans="1:18" s="34" customFormat="1" ht="9.75">
      <c r="A31" s="34">
        <v>31</v>
      </c>
      <c r="B31" s="10" t="s">
        <v>68</v>
      </c>
      <c r="C31" s="10" t="str">
        <f>VLOOKUP(B31,exportado!$A$2:$S$36,2,0)</f>
        <v>OFICINA TRANSPORTE</v>
      </c>
      <c r="D31" s="10">
        <f>VLOOKUP(B31,exportado!$A$2:$S$36,3,0)</f>
        <v>599874.76</v>
      </c>
      <c r="E31" s="10">
        <f>VLOOKUP(B31,exportado!$A$2:$S$36,4,0)</f>
        <v>19224.5</v>
      </c>
      <c r="F31" s="10">
        <f>VLOOKUP(B31,exportado!$A$2:$S$36,5,0)</f>
        <v>580650.26</v>
      </c>
      <c r="G31" s="10">
        <f>VLOOKUP(B31,exportado!$A$2:$S$36,6,0)</f>
        <v>475000</v>
      </c>
      <c r="H31" s="36">
        <f>VLOOKUP(B31,exportado!$A$2:$S$36,7,0)</f>
        <v>122.24</v>
      </c>
      <c r="I31" s="10">
        <f>VLOOKUP(B31,exportado!$A$2:$S$36,10,0)</f>
        <v>275021.94</v>
      </c>
      <c r="J31" s="10">
        <f>VLOOKUP(B31,exportado!$A$2:$S$36,11,0)</f>
        <v>1202461.47</v>
      </c>
      <c r="K31" s="10">
        <f>VLOOKUP(B31,exportado!$A$2:$S$36,13,0)</f>
        <v>378022.41</v>
      </c>
      <c r="L31" s="37">
        <f>VLOOKUP(B31,exportado!$A$2:$S$36,12,0)</f>
        <v>31.44</v>
      </c>
      <c r="M31" s="10">
        <f>VLOOKUP(B31,exportado!$A$2:$S$36,8,0)</f>
        <v>88</v>
      </c>
      <c r="N31" s="10">
        <f>VLOOKUP(B31,exportado!$A$2:$S$36,9,0)</f>
        <v>18</v>
      </c>
      <c r="O31" s="38">
        <f>VLOOKUP(B31,exportado!$A$2:$S$36,12,0)</f>
        <v>31.44</v>
      </c>
      <c r="P31" s="34">
        <f>VLOOKUP(B31,exportado!$A$2:$S$36,14,0)</f>
        <v>20.454545454545453</v>
      </c>
      <c r="Q31" s="34">
        <f>VLOOKUP(B31,exportado!$A$2:$S$36,15,0)</f>
        <v>0</v>
      </c>
      <c r="R31" s="39">
        <f t="shared" si="0"/>
        <v>0</v>
      </c>
    </row>
    <row r="32" spans="1:18" s="34" customFormat="1" ht="9.75">
      <c r="A32" s="34">
        <v>35</v>
      </c>
      <c r="B32" s="10" t="s">
        <v>69</v>
      </c>
      <c r="C32" s="10" t="s">
        <v>70</v>
      </c>
      <c r="D32" s="10">
        <f>VLOOKUP(B32,exportado!$A$2:$S$36,3,0)</f>
        <v>0</v>
      </c>
      <c r="E32" s="10">
        <f>VLOOKUP(B32,exportado!$A$2:$S$36,4,0)</f>
        <v>0</v>
      </c>
      <c r="F32" s="10">
        <f>VLOOKUP(B32,exportado!$A$2:$S$36,5,0)</f>
        <v>0</v>
      </c>
      <c r="G32" s="10">
        <f>VLOOKUP(B32,exportado!$A$2:$S$36,6,0)</f>
        <v>0</v>
      </c>
      <c r="H32" s="36">
        <f>VLOOKUP(B32,exportado!$A$2:$S$36,7,0)</f>
        <v>0</v>
      </c>
      <c r="I32" s="10">
        <f>VLOOKUP(B32,exportado!$A$2:$S$36,10,0)</f>
        <v>0</v>
      </c>
      <c r="J32" s="10">
        <f>VLOOKUP(B32,exportado!$A$2:$S$36,11,0)</f>
        <v>0</v>
      </c>
      <c r="K32" s="10">
        <f>VLOOKUP(B32,exportado!$A$2:$S$36,13,0)</f>
        <v>0</v>
      </c>
      <c r="L32" s="37">
        <f>VLOOKUP(B32,exportado!$A$2:$S$36,12,0)</f>
        <v>0</v>
      </c>
      <c r="M32" s="10">
        <f>VLOOKUP(B32,exportado!$A$2:$S$36,8,0)</f>
        <v>0</v>
      </c>
      <c r="N32" s="10">
        <f>VLOOKUP(B32,exportado!$A$2:$S$36,9,0)</f>
        <v>0</v>
      </c>
      <c r="O32" s="38">
        <f>VLOOKUP(B32,exportado!$A$2:$S$36,12,0)</f>
        <v>0</v>
      </c>
      <c r="P32" s="34" t="e">
        <f>VLOOKUP(B32,exportado!$A$2:$S$36,14,0)</f>
        <v>#DIV/0!</v>
      </c>
      <c r="Q32" s="34">
        <f>VLOOKUP(B32,exportado!$A$2:$S$36,15,0)</f>
        <v>0</v>
      </c>
      <c r="R32" s="39" t="e">
        <f t="shared" si="0"/>
        <v>#DIV/0!</v>
      </c>
    </row>
    <row r="33" spans="1:18" s="34" customFormat="1" ht="9.75">
      <c r="A33" s="34">
        <v>34</v>
      </c>
      <c r="B33" s="40" t="s">
        <v>71</v>
      </c>
      <c r="C33" s="40" t="s">
        <v>72</v>
      </c>
      <c r="D33" s="10">
        <v>37019.629999999997</v>
      </c>
      <c r="E33" s="10">
        <v>500.53</v>
      </c>
      <c r="F33" s="10">
        <v>36519.1</v>
      </c>
      <c r="G33" s="10">
        <v>90460</v>
      </c>
      <c r="H33" s="36">
        <v>40.369999999999997</v>
      </c>
      <c r="I33" s="10">
        <v>40583.160000000003</v>
      </c>
      <c r="J33" s="10">
        <v>52905.78</v>
      </c>
      <c r="K33" s="10">
        <v>3392.94</v>
      </c>
      <c r="L33" s="37">
        <v>6.41</v>
      </c>
      <c r="M33" s="10">
        <v>85</v>
      </c>
      <c r="N33" s="10">
        <v>45</v>
      </c>
      <c r="O33" s="38">
        <f>VLOOKUP(B33,exportado!$A$2:$S$36,12,0)</f>
        <v>0</v>
      </c>
      <c r="P33" s="45">
        <f>VLOOKUP(B33,exportado!$A$2:$S$36,14,0)</f>
        <v>0</v>
      </c>
      <c r="Q33" s="45">
        <f>VLOOKUP(B33,exportado!$A$2:$S$36,15,0)</f>
        <v>0</v>
      </c>
      <c r="R33" s="46" t="e">
        <f t="shared" si="0"/>
        <v>#DIV/0!</v>
      </c>
    </row>
    <row r="34" spans="1:18" s="34" customFormat="1" ht="9.75">
      <c r="A34" s="34" t="s">
        <v>73</v>
      </c>
      <c r="B34" s="10" t="s">
        <v>74</v>
      </c>
      <c r="C34" s="10" t="str">
        <f>VLOOKUP(B34,exportado!$A$2:$S$36,2,0)</f>
        <v>VELASQUEZ ALFARO DAVID TEOFILO</v>
      </c>
      <c r="D34" s="10">
        <f>VLOOKUP(B34,exportado!$A$2:$S$36,3,0)</f>
        <v>0</v>
      </c>
      <c r="E34" s="10">
        <f>VLOOKUP(B34,exportado!$A$2:$S$36,4,0)</f>
        <v>0</v>
      </c>
      <c r="F34" s="10">
        <f>VLOOKUP(B34,exportado!$A$2:$S$36,5,0)</f>
        <v>0</v>
      </c>
      <c r="G34" s="10">
        <f>VLOOKUP(B34,exportado!$A$2:$S$36,6,0)</f>
        <v>0</v>
      </c>
      <c r="H34" s="36">
        <f>VLOOKUP(B34,exportado!$A$2:$S$36,7,0)</f>
        <v>0</v>
      </c>
      <c r="I34" s="10">
        <f>VLOOKUP(B34,exportado!$A$2:$S$36,10,0)</f>
        <v>0</v>
      </c>
      <c r="J34" s="10">
        <f>VLOOKUP(B34,exportado!$A$2:$S$36,11,0)</f>
        <v>0</v>
      </c>
      <c r="K34" s="10">
        <f>VLOOKUP(B34,exportado!$A$2:$S$36,13,0)</f>
        <v>0</v>
      </c>
      <c r="L34" s="37">
        <f>VLOOKUP(B34,exportado!$A$2:$S$36,12,0)</f>
        <v>0</v>
      </c>
      <c r="M34" s="10">
        <f>VLOOKUP(B34,exportado!$A$2:$S$36,8,0)</f>
        <v>9</v>
      </c>
      <c r="N34" s="10">
        <f>VLOOKUP(B34,exportado!$A$2:$S$36,9,0)</f>
        <v>0</v>
      </c>
      <c r="O34" s="38">
        <f>VLOOKUP(B34,exportado!$A$2:$S$36,12,0)</f>
        <v>0</v>
      </c>
      <c r="P34" s="34">
        <f>VLOOKUP(B34,exportado!$A$2:$S$36,14,0)</f>
        <v>0</v>
      </c>
      <c r="Q34" s="34">
        <f>VLOOKUP(B34,exportado!$A$2:$S$36,15,0)</f>
        <v>0</v>
      </c>
      <c r="R34" s="39" t="e">
        <f t="shared" si="0"/>
        <v>#DIV/0!</v>
      </c>
    </row>
    <row r="35" spans="1:18">
      <c r="A35" s="34">
        <v>33</v>
      </c>
      <c r="B35" s="44" t="s">
        <v>75</v>
      </c>
      <c r="C35" s="44" t="s">
        <v>76</v>
      </c>
      <c r="D35" s="10">
        <f>D27+D28</f>
        <v>297066.48</v>
      </c>
      <c r="E35" s="10">
        <f>E27+E28</f>
        <v>30785.57</v>
      </c>
      <c r="F35" s="10">
        <f>F27+F28</f>
        <v>266280.90999999997</v>
      </c>
      <c r="G35" s="10">
        <f>G27+G28</f>
        <v>389519</v>
      </c>
      <c r="H35" s="47">
        <f>F35/G35</f>
        <v>0.6836146888855229</v>
      </c>
      <c r="I35" s="10">
        <f>I27+I28</f>
        <v>455412.02</v>
      </c>
      <c r="J35" s="10">
        <f>J27+J28</f>
        <v>984554.40999999992</v>
      </c>
      <c r="K35" s="10">
        <f>K27+K28</f>
        <v>102944.01999999999</v>
      </c>
      <c r="L35" s="10">
        <f>K35*100/J35</f>
        <v>10.455899537334863</v>
      </c>
      <c r="M35" s="10">
        <f>M27+M28</f>
        <v>153</v>
      </c>
      <c r="N35" s="10">
        <f>N27+N28</f>
        <v>57</v>
      </c>
      <c r="O35" s="38">
        <v>9.7100000000000009</v>
      </c>
      <c r="P35" s="10">
        <f>P27+P28</f>
        <v>79.166666666666671</v>
      </c>
      <c r="Q35" s="10">
        <f>Q27+Q28</f>
        <v>0</v>
      </c>
      <c r="R35" s="10">
        <f>R27+R28</f>
        <v>0</v>
      </c>
    </row>
    <row r="36" spans="1:18">
      <c r="O36" s="48"/>
    </row>
    <row r="37" spans="1:18">
      <c r="A37" s="49" t="s">
        <v>77</v>
      </c>
      <c r="B37" s="50" t="s">
        <v>4</v>
      </c>
      <c r="C37" s="50" t="s">
        <v>5</v>
      </c>
      <c r="D37" s="50" t="s">
        <v>46</v>
      </c>
      <c r="E37" s="50" t="s">
        <v>47</v>
      </c>
      <c r="F37" s="50" t="s">
        <v>7</v>
      </c>
      <c r="G37" s="50" t="s">
        <v>8</v>
      </c>
      <c r="H37" s="51" t="s">
        <v>48</v>
      </c>
      <c r="I37" s="50" t="s">
        <v>49</v>
      </c>
      <c r="J37" s="50" t="s">
        <v>50</v>
      </c>
      <c r="K37" s="50" t="s">
        <v>51</v>
      </c>
      <c r="L37" s="50" t="s">
        <v>10</v>
      </c>
      <c r="M37" s="50" t="s">
        <v>52</v>
      </c>
      <c r="N37" s="50" t="s">
        <v>11</v>
      </c>
      <c r="O37" s="52" t="s">
        <v>48</v>
      </c>
      <c r="P37" s="53"/>
      <c r="Q37" s="53"/>
      <c r="R37" s="54">
        <v>45.652173913043498</v>
      </c>
    </row>
    <row r="38" spans="1:18" s="34" customFormat="1" ht="9.75">
      <c r="A38" s="34">
        <v>1</v>
      </c>
      <c r="B38" s="10" t="s">
        <v>18</v>
      </c>
      <c r="C38" s="10" t="str">
        <f t="shared" ref="C38:R38" si="1">C2</f>
        <v>GAONA JUSCAMAYTA DAVID ELVIS</v>
      </c>
      <c r="D38" s="10">
        <f t="shared" si="1"/>
        <v>167709.12</v>
      </c>
      <c r="E38" s="10">
        <f t="shared" si="1"/>
        <v>2137.86</v>
      </c>
      <c r="F38" s="10">
        <f t="shared" si="1"/>
        <v>165571.26</v>
      </c>
      <c r="G38" s="10">
        <f t="shared" si="1"/>
        <v>171400.75</v>
      </c>
      <c r="H38" s="55">
        <f t="shared" si="1"/>
        <v>96.6</v>
      </c>
      <c r="I38" s="10">
        <f t="shared" si="1"/>
        <v>208511.72</v>
      </c>
      <c r="J38" s="10">
        <f t="shared" si="1"/>
        <v>289721.56</v>
      </c>
      <c r="K38" s="10">
        <f t="shared" si="1"/>
        <v>13477.84</v>
      </c>
      <c r="L38" s="55">
        <f t="shared" si="1"/>
        <v>4.6500000000000004</v>
      </c>
      <c r="M38" s="10">
        <f t="shared" si="1"/>
        <v>94</v>
      </c>
      <c r="N38" s="10">
        <f t="shared" si="1"/>
        <v>83</v>
      </c>
      <c r="O38" s="56">
        <f t="shared" si="1"/>
        <v>4.6500000000000004</v>
      </c>
      <c r="P38" s="57">
        <f t="shared" si="1"/>
        <v>88.297872340425528</v>
      </c>
      <c r="Q38" s="57">
        <f t="shared" si="1"/>
        <v>6.169999999999999</v>
      </c>
      <c r="R38" s="10">
        <f t="shared" si="1"/>
        <v>6.9877108433734927</v>
      </c>
    </row>
    <row r="39" spans="1:18" s="34" customFormat="1" ht="9.75">
      <c r="A39" s="34">
        <v>2</v>
      </c>
      <c r="B39" s="10" t="s">
        <v>16</v>
      </c>
      <c r="C39" s="10" t="str">
        <f t="shared" ref="C39:R39" si="2">C3</f>
        <v>ESCOBEDO DUANI</v>
      </c>
      <c r="D39" s="10">
        <f t="shared" si="2"/>
        <v>142725.16</v>
      </c>
      <c r="E39" s="10">
        <f t="shared" si="2"/>
        <v>2098.69</v>
      </c>
      <c r="F39" s="10">
        <f t="shared" si="2"/>
        <v>140626.47</v>
      </c>
      <c r="G39" s="10">
        <f t="shared" si="2"/>
        <v>160927.46</v>
      </c>
      <c r="H39" s="55">
        <f t="shared" si="2"/>
        <v>87.39</v>
      </c>
      <c r="I39" s="10">
        <f t="shared" si="2"/>
        <v>141097.16</v>
      </c>
      <c r="J39" s="10">
        <f t="shared" si="2"/>
        <v>307761.62</v>
      </c>
      <c r="K39" s="10">
        <f t="shared" si="2"/>
        <v>73480.81</v>
      </c>
      <c r="L39" s="55">
        <f t="shared" si="2"/>
        <v>23.87</v>
      </c>
      <c r="M39" s="10">
        <f t="shared" si="2"/>
        <v>105</v>
      </c>
      <c r="N39" s="10">
        <f t="shared" si="2"/>
        <v>57</v>
      </c>
      <c r="O39" s="56">
        <f t="shared" si="2"/>
        <v>23.87</v>
      </c>
      <c r="P39" s="57">
        <f t="shared" si="2"/>
        <v>54.285714285714285</v>
      </c>
      <c r="Q39" s="57">
        <f t="shared" si="2"/>
        <v>0</v>
      </c>
      <c r="R39" s="10">
        <f t="shared" si="2"/>
        <v>0</v>
      </c>
    </row>
    <row r="40" spans="1:18" s="34" customFormat="1" ht="9.75">
      <c r="A40" s="34">
        <v>3</v>
      </c>
      <c r="B40" s="10" t="s">
        <v>20</v>
      </c>
      <c r="C40" s="10" t="str">
        <f t="shared" ref="C40:R40" si="3">C4</f>
        <v>GARCIA GARCIA ROXANA</v>
      </c>
      <c r="D40" s="10">
        <f t="shared" si="3"/>
        <v>285165.05</v>
      </c>
      <c r="E40" s="10">
        <f t="shared" si="3"/>
        <v>4520.38</v>
      </c>
      <c r="F40" s="10">
        <f t="shared" si="3"/>
        <v>280644.67</v>
      </c>
      <c r="G40" s="10">
        <f t="shared" si="3"/>
        <v>443336.18</v>
      </c>
      <c r="H40" s="55">
        <f t="shared" si="3"/>
        <v>63.3</v>
      </c>
      <c r="I40" s="10">
        <f t="shared" si="3"/>
        <v>454604.1</v>
      </c>
      <c r="J40" s="10">
        <f t="shared" si="3"/>
        <v>696268.14</v>
      </c>
      <c r="K40" s="10">
        <f t="shared" si="3"/>
        <v>27826.86</v>
      </c>
      <c r="L40" s="55">
        <f t="shared" si="3"/>
        <v>4</v>
      </c>
      <c r="M40" s="10">
        <f t="shared" si="3"/>
        <v>15</v>
      </c>
      <c r="N40" s="10">
        <f t="shared" si="3"/>
        <v>14</v>
      </c>
      <c r="O40" s="56">
        <f t="shared" si="3"/>
        <v>4</v>
      </c>
      <c r="P40" s="57">
        <f t="shared" si="3"/>
        <v>93.333333333333329</v>
      </c>
      <c r="Q40" s="57">
        <f t="shared" si="3"/>
        <v>0</v>
      </c>
      <c r="R40" s="10">
        <f t="shared" si="3"/>
        <v>0</v>
      </c>
    </row>
    <row r="41" spans="1:18" s="34" customFormat="1" ht="9.75">
      <c r="A41" s="34">
        <v>4</v>
      </c>
      <c r="B41" s="10" t="s">
        <v>17</v>
      </c>
      <c r="C41" s="10" t="str">
        <f t="shared" ref="C41:R41" si="4">C5</f>
        <v>MIRANDA CCOILA PATRICIA</v>
      </c>
      <c r="D41" s="10">
        <f t="shared" si="4"/>
        <v>156585.19</v>
      </c>
      <c r="E41" s="10">
        <f t="shared" si="4"/>
        <v>1574.94</v>
      </c>
      <c r="F41" s="10">
        <f t="shared" si="4"/>
        <v>155010.25</v>
      </c>
      <c r="G41" s="10">
        <f t="shared" si="4"/>
        <v>206510.12</v>
      </c>
      <c r="H41" s="55">
        <f t="shared" si="4"/>
        <v>75.06</v>
      </c>
      <c r="I41" s="10">
        <f t="shared" si="4"/>
        <v>200686.73</v>
      </c>
      <c r="J41" s="10">
        <f t="shared" si="4"/>
        <v>368574.69</v>
      </c>
      <c r="K41" s="10">
        <f t="shared" si="4"/>
        <v>16341.22</v>
      </c>
      <c r="L41" s="55">
        <f t="shared" si="4"/>
        <v>4.4400000000000004</v>
      </c>
      <c r="M41" s="10">
        <f t="shared" si="4"/>
        <v>52</v>
      </c>
      <c r="N41" s="10">
        <f t="shared" si="4"/>
        <v>36</v>
      </c>
      <c r="O41" s="56">
        <f t="shared" si="4"/>
        <v>4.4400000000000004</v>
      </c>
      <c r="P41" s="57">
        <f t="shared" si="4"/>
        <v>69.230769230769226</v>
      </c>
      <c r="Q41" s="57">
        <f t="shared" si="4"/>
        <v>0</v>
      </c>
      <c r="R41" s="10">
        <f t="shared" si="4"/>
        <v>0</v>
      </c>
    </row>
    <row r="42" spans="1:18" s="34" customFormat="1" ht="9.75">
      <c r="A42" s="34">
        <v>5</v>
      </c>
      <c r="B42" s="10" t="s">
        <v>55</v>
      </c>
      <c r="C42" s="10" t="e">
        <f t="shared" ref="C42:R42" si="5">C6</f>
        <v>#N/A</v>
      </c>
      <c r="D42" s="10">
        <f t="shared" si="5"/>
        <v>0</v>
      </c>
      <c r="E42" s="10">
        <f t="shared" si="5"/>
        <v>0</v>
      </c>
      <c r="F42" s="10">
        <f t="shared" si="5"/>
        <v>0</v>
      </c>
      <c r="G42" s="10">
        <f t="shared" si="5"/>
        <v>0</v>
      </c>
      <c r="H42" s="55">
        <f t="shared" si="5"/>
        <v>0</v>
      </c>
      <c r="I42" s="10">
        <f t="shared" si="5"/>
        <v>0</v>
      </c>
      <c r="J42" s="10">
        <f t="shared" si="5"/>
        <v>0</v>
      </c>
      <c r="K42" s="10">
        <f t="shared" si="5"/>
        <v>0</v>
      </c>
      <c r="L42" s="55">
        <f t="shared" si="5"/>
        <v>0</v>
      </c>
      <c r="M42" s="10">
        <f t="shared" si="5"/>
        <v>0</v>
      </c>
      <c r="N42" s="10">
        <f t="shared" si="5"/>
        <v>0</v>
      </c>
      <c r="O42" s="56">
        <f t="shared" si="5"/>
        <v>0</v>
      </c>
      <c r="P42" s="57">
        <f t="shared" si="5"/>
        <v>0</v>
      </c>
      <c r="Q42" s="57">
        <f t="shared" si="5"/>
        <v>0</v>
      </c>
      <c r="R42" s="10" t="e">
        <f t="shared" si="5"/>
        <v>#DIV/0!</v>
      </c>
    </row>
    <row r="43" spans="1:18" s="34" customFormat="1" ht="9.75">
      <c r="A43" s="34">
        <v>6</v>
      </c>
      <c r="B43" s="10" t="s">
        <v>21</v>
      </c>
      <c r="C43" s="10" t="str">
        <f t="shared" ref="C43:R43" si="6">C7</f>
        <v>SANTOS TORRES OSCAR LUIS</v>
      </c>
      <c r="D43" s="10">
        <f t="shared" si="6"/>
        <v>173583.6</v>
      </c>
      <c r="E43" s="10">
        <f t="shared" si="6"/>
        <v>6318.89</v>
      </c>
      <c r="F43" s="10">
        <f t="shared" si="6"/>
        <v>167264.71</v>
      </c>
      <c r="G43" s="10">
        <f t="shared" si="6"/>
        <v>350211.82</v>
      </c>
      <c r="H43" s="55">
        <f t="shared" si="6"/>
        <v>47.76</v>
      </c>
      <c r="I43" s="10">
        <f t="shared" si="6"/>
        <v>451561.19</v>
      </c>
      <c r="J43" s="10">
        <f t="shared" si="6"/>
        <v>692118.64</v>
      </c>
      <c r="K43" s="10">
        <f t="shared" si="6"/>
        <v>12189.77</v>
      </c>
      <c r="L43" s="55">
        <f t="shared" si="6"/>
        <v>1.76</v>
      </c>
      <c r="M43" s="10">
        <f t="shared" si="6"/>
        <v>15</v>
      </c>
      <c r="N43" s="10">
        <f t="shared" si="6"/>
        <v>10</v>
      </c>
      <c r="O43" s="56">
        <f t="shared" si="6"/>
        <v>1.76</v>
      </c>
      <c r="P43" s="57">
        <f t="shared" si="6"/>
        <v>66.666666666666671</v>
      </c>
      <c r="Q43" s="57">
        <f t="shared" si="6"/>
        <v>0</v>
      </c>
      <c r="R43" s="10">
        <f t="shared" si="6"/>
        <v>0</v>
      </c>
    </row>
    <row r="44" spans="1:18" s="34" customFormat="1" ht="9.75">
      <c r="A44" s="34">
        <v>7</v>
      </c>
      <c r="B44" s="10" t="s">
        <v>22</v>
      </c>
      <c r="C44" s="10" t="str">
        <f t="shared" ref="C44:R44" si="7">C8</f>
        <v>QUISPE GARCIA JACKELINE</v>
      </c>
      <c r="D44" s="10">
        <f t="shared" si="7"/>
        <v>62516.959999999999</v>
      </c>
      <c r="E44" s="10">
        <f t="shared" si="7"/>
        <v>2930.83</v>
      </c>
      <c r="F44" s="10">
        <f t="shared" si="7"/>
        <v>59586.13</v>
      </c>
      <c r="G44" s="10">
        <f t="shared" si="7"/>
        <v>114356.74</v>
      </c>
      <c r="H44" s="55">
        <f t="shared" si="7"/>
        <v>52.11</v>
      </c>
      <c r="I44" s="10">
        <f t="shared" si="7"/>
        <v>117829.09</v>
      </c>
      <c r="J44" s="10">
        <f t="shared" si="7"/>
        <v>232096.39</v>
      </c>
      <c r="K44" s="10">
        <f t="shared" si="7"/>
        <v>33178.550000000003</v>
      </c>
      <c r="L44" s="55">
        <f t="shared" si="7"/>
        <v>14.29</v>
      </c>
      <c r="M44" s="10">
        <f t="shared" si="7"/>
        <v>108</v>
      </c>
      <c r="N44" s="10">
        <f t="shared" si="7"/>
        <v>54</v>
      </c>
      <c r="O44" s="56">
        <f t="shared" si="7"/>
        <v>14.29</v>
      </c>
      <c r="P44" s="57">
        <f t="shared" si="7"/>
        <v>50</v>
      </c>
      <c r="Q44" s="57">
        <f t="shared" si="7"/>
        <v>0</v>
      </c>
      <c r="R44" s="10">
        <f t="shared" si="7"/>
        <v>0</v>
      </c>
    </row>
    <row r="45" spans="1:18" s="34" customFormat="1" ht="9.75">
      <c r="A45" s="34">
        <v>8</v>
      </c>
      <c r="B45" s="10" t="s">
        <v>24</v>
      </c>
      <c r="C45" s="10" t="str">
        <f t="shared" ref="C45:R45" si="8">C9</f>
        <v>APAZA YANA SANDRA</v>
      </c>
      <c r="D45" s="10">
        <f t="shared" si="8"/>
        <v>239358.82</v>
      </c>
      <c r="E45" s="10">
        <f t="shared" si="8"/>
        <v>1697.2</v>
      </c>
      <c r="F45" s="10">
        <f t="shared" si="8"/>
        <v>237661.62</v>
      </c>
      <c r="G45" s="10">
        <f t="shared" si="8"/>
        <v>237721.73</v>
      </c>
      <c r="H45" s="55">
        <f t="shared" si="8"/>
        <v>99.97</v>
      </c>
      <c r="I45" s="10">
        <f t="shared" si="8"/>
        <v>286939.84999999998</v>
      </c>
      <c r="J45" s="10">
        <f t="shared" si="8"/>
        <v>702678.59</v>
      </c>
      <c r="K45" s="10">
        <f t="shared" si="8"/>
        <v>38295.089999999997</v>
      </c>
      <c r="L45" s="55">
        <f t="shared" si="8"/>
        <v>5.45</v>
      </c>
      <c r="M45" s="10">
        <f t="shared" si="8"/>
        <v>73</v>
      </c>
      <c r="N45" s="10">
        <f t="shared" si="8"/>
        <v>43</v>
      </c>
      <c r="O45" s="56">
        <f t="shared" si="8"/>
        <v>5.45</v>
      </c>
      <c r="P45" s="57">
        <f t="shared" si="8"/>
        <v>58.904109589041099</v>
      </c>
      <c r="Q45" s="57">
        <f t="shared" si="8"/>
        <v>0</v>
      </c>
      <c r="R45" s="10">
        <f t="shared" si="8"/>
        <v>0</v>
      </c>
    </row>
    <row r="46" spans="1:18" s="34" customFormat="1" ht="9.75">
      <c r="A46" s="34">
        <v>9</v>
      </c>
      <c r="B46" s="10" t="s">
        <v>27</v>
      </c>
      <c r="C46" s="10" t="str">
        <f t="shared" ref="C46:R46" si="9">C10</f>
        <v>ESPEJO RODRIGUEZ GABRIEL</v>
      </c>
      <c r="D46" s="10">
        <f t="shared" si="9"/>
        <v>130022.88</v>
      </c>
      <c r="E46" s="10">
        <f t="shared" si="9"/>
        <v>1553.61</v>
      </c>
      <c r="F46" s="10">
        <f t="shared" si="9"/>
        <v>128469.27</v>
      </c>
      <c r="G46" s="10">
        <f t="shared" si="9"/>
        <v>139609.21</v>
      </c>
      <c r="H46" s="55">
        <f t="shared" si="9"/>
        <v>92.02</v>
      </c>
      <c r="I46" s="10">
        <f t="shared" si="9"/>
        <v>147707.32</v>
      </c>
      <c r="J46" s="10">
        <f t="shared" si="9"/>
        <v>395290.44</v>
      </c>
      <c r="K46" s="10">
        <f t="shared" si="9"/>
        <v>55068.61</v>
      </c>
      <c r="L46" s="55">
        <f t="shared" si="9"/>
        <v>13.93</v>
      </c>
      <c r="M46" s="10">
        <f t="shared" si="9"/>
        <v>65</v>
      </c>
      <c r="N46" s="10">
        <f t="shared" si="9"/>
        <v>33</v>
      </c>
      <c r="O46" s="56">
        <f t="shared" si="9"/>
        <v>13.93</v>
      </c>
      <c r="P46" s="57">
        <f t="shared" si="9"/>
        <v>50.769230769230766</v>
      </c>
      <c r="Q46" s="57">
        <f t="shared" si="9"/>
        <v>0</v>
      </c>
      <c r="R46" s="10">
        <f t="shared" si="9"/>
        <v>0</v>
      </c>
    </row>
    <row r="47" spans="1:18" s="34" customFormat="1" ht="9.75">
      <c r="A47" s="34">
        <v>10</v>
      </c>
      <c r="B47" s="10" t="s">
        <v>25</v>
      </c>
      <c r="C47" s="10" t="str">
        <f t="shared" ref="C47:R47" si="10">C11</f>
        <v>FLORES GARCIA DIEGO</v>
      </c>
      <c r="D47" s="10">
        <f t="shared" si="10"/>
        <v>116305.54</v>
      </c>
      <c r="E47" s="10">
        <f t="shared" si="10"/>
        <v>1246.77</v>
      </c>
      <c r="F47" s="10">
        <f t="shared" si="10"/>
        <v>115058.77</v>
      </c>
      <c r="G47" s="10">
        <f t="shared" si="10"/>
        <v>133812.47</v>
      </c>
      <c r="H47" s="55">
        <f t="shared" si="10"/>
        <v>85.99</v>
      </c>
      <c r="I47" s="10">
        <f t="shared" si="10"/>
        <v>161610.26999999999</v>
      </c>
      <c r="J47" s="10">
        <f t="shared" si="10"/>
        <v>336089.79</v>
      </c>
      <c r="K47" s="10">
        <f t="shared" si="10"/>
        <v>35563.64</v>
      </c>
      <c r="L47" s="55">
        <f t="shared" si="10"/>
        <v>10.58</v>
      </c>
      <c r="M47" s="10">
        <f t="shared" si="10"/>
        <v>73</v>
      </c>
      <c r="N47" s="10">
        <f t="shared" si="10"/>
        <v>47</v>
      </c>
      <c r="O47" s="56">
        <f t="shared" si="10"/>
        <v>10.58</v>
      </c>
      <c r="P47" s="57">
        <f t="shared" si="10"/>
        <v>64.38356164383562</v>
      </c>
      <c r="Q47" s="57">
        <f t="shared" si="10"/>
        <v>0</v>
      </c>
      <c r="R47" s="10">
        <f t="shared" si="10"/>
        <v>0</v>
      </c>
    </row>
    <row r="48" spans="1:18" s="34" customFormat="1" ht="9.75">
      <c r="A48" s="34">
        <v>11</v>
      </c>
      <c r="B48" s="10" t="s">
        <v>28</v>
      </c>
      <c r="C48" s="10" t="str">
        <f t="shared" ref="C48:R48" si="11">C12</f>
        <v xml:space="preserve"> MILLA CHAMBI MARIA ELENA</v>
      </c>
      <c r="D48" s="10">
        <f t="shared" si="11"/>
        <v>282029.05</v>
      </c>
      <c r="E48" s="10">
        <f t="shared" si="11"/>
        <v>5570</v>
      </c>
      <c r="F48" s="10">
        <f t="shared" si="11"/>
        <v>276459.05</v>
      </c>
      <c r="G48" s="10">
        <f t="shared" si="11"/>
        <v>276233.59000000003</v>
      </c>
      <c r="H48" s="55">
        <f t="shared" si="11"/>
        <v>100.08</v>
      </c>
      <c r="I48" s="10">
        <f t="shared" si="11"/>
        <v>327057.65000000002</v>
      </c>
      <c r="J48" s="10">
        <f t="shared" si="11"/>
        <v>691894.11</v>
      </c>
      <c r="K48" s="10">
        <f t="shared" si="11"/>
        <v>31381.71</v>
      </c>
      <c r="L48" s="55">
        <f t="shared" si="11"/>
        <v>4.53</v>
      </c>
      <c r="M48" s="10">
        <f t="shared" si="11"/>
        <v>80</v>
      </c>
      <c r="N48" s="10">
        <f t="shared" si="11"/>
        <v>45</v>
      </c>
      <c r="O48" s="56">
        <f t="shared" si="11"/>
        <v>4.53</v>
      </c>
      <c r="P48" s="57">
        <f t="shared" si="11"/>
        <v>56.25</v>
      </c>
      <c r="Q48" s="57">
        <f t="shared" si="11"/>
        <v>0</v>
      </c>
      <c r="R48" s="10">
        <f t="shared" si="11"/>
        <v>0</v>
      </c>
    </row>
    <row r="49" spans="1:18" s="34" customFormat="1" ht="9.75">
      <c r="A49" s="34">
        <v>32</v>
      </c>
      <c r="B49" s="10" t="s">
        <v>78</v>
      </c>
      <c r="C49" s="10" t="str">
        <f t="shared" ref="C49:R49" si="12">C32</f>
        <v>MOLLO LLOQUE SAUL</v>
      </c>
      <c r="D49" s="10">
        <f t="shared" si="12"/>
        <v>0</v>
      </c>
      <c r="E49" s="10">
        <f t="shared" si="12"/>
        <v>0</v>
      </c>
      <c r="F49" s="10">
        <f t="shared" si="12"/>
        <v>0</v>
      </c>
      <c r="G49" s="10">
        <f t="shared" si="12"/>
        <v>0</v>
      </c>
      <c r="H49" s="55">
        <f t="shared" si="12"/>
        <v>0</v>
      </c>
      <c r="I49" s="10">
        <f t="shared" si="12"/>
        <v>0</v>
      </c>
      <c r="J49" s="10">
        <f t="shared" si="12"/>
        <v>0</v>
      </c>
      <c r="K49" s="10">
        <f t="shared" si="12"/>
        <v>0</v>
      </c>
      <c r="L49" s="55">
        <f t="shared" si="12"/>
        <v>0</v>
      </c>
      <c r="M49" s="10">
        <f t="shared" si="12"/>
        <v>0</v>
      </c>
      <c r="N49" s="10">
        <f t="shared" si="12"/>
        <v>0</v>
      </c>
      <c r="O49" s="56">
        <f t="shared" si="12"/>
        <v>0</v>
      </c>
      <c r="P49" s="57" t="e">
        <f t="shared" si="12"/>
        <v>#DIV/0!</v>
      </c>
      <c r="Q49" s="57">
        <f t="shared" si="12"/>
        <v>0</v>
      </c>
      <c r="R49" s="10" t="e">
        <f t="shared" si="12"/>
        <v>#DIV/0!</v>
      </c>
    </row>
    <row r="50" spans="1:18" s="34" customFormat="1" ht="9.75">
      <c r="A50" s="34">
        <v>22</v>
      </c>
      <c r="B50" s="10" t="s">
        <v>63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55">
        <v>0</v>
      </c>
      <c r="I50" s="10">
        <v>0</v>
      </c>
      <c r="J50" s="10">
        <v>0</v>
      </c>
      <c r="K50" s="10">
        <v>0</v>
      </c>
      <c r="L50" s="55">
        <v>0</v>
      </c>
      <c r="M50" s="10">
        <v>0</v>
      </c>
      <c r="N50" s="10">
        <v>0</v>
      </c>
      <c r="O50" s="58">
        <v>0</v>
      </c>
      <c r="P50" s="10">
        <v>0</v>
      </c>
      <c r="Q50" s="10">
        <v>0</v>
      </c>
      <c r="R50" s="10">
        <v>0</v>
      </c>
    </row>
    <row r="51" spans="1:18" s="34" customFormat="1" ht="9.75">
      <c r="A51" s="34">
        <v>23</v>
      </c>
      <c r="B51" s="10" t="s">
        <v>32</v>
      </c>
      <c r="C51" s="10" t="str">
        <f t="shared" ref="C51:R51" si="13">C24</f>
        <v>DOLMOS PACHECO CARMEN ROSA</v>
      </c>
      <c r="D51" s="10">
        <f t="shared" si="13"/>
        <v>145280.60999999999</v>
      </c>
      <c r="E51" s="10">
        <f t="shared" si="13"/>
        <v>2513.4499999999998</v>
      </c>
      <c r="F51" s="10">
        <f t="shared" si="13"/>
        <v>142767.16</v>
      </c>
      <c r="G51" s="10">
        <f t="shared" si="13"/>
        <v>228451.88</v>
      </c>
      <c r="H51" s="55">
        <f t="shared" si="13"/>
        <v>62.49</v>
      </c>
      <c r="I51" s="10">
        <f t="shared" si="13"/>
        <v>266571.09999999998</v>
      </c>
      <c r="J51" s="10">
        <f t="shared" si="13"/>
        <v>467883.11</v>
      </c>
      <c r="K51" s="10">
        <f t="shared" si="13"/>
        <v>54352.26</v>
      </c>
      <c r="L51" s="55">
        <f t="shared" si="13"/>
        <v>11.61</v>
      </c>
      <c r="M51" s="10">
        <f t="shared" si="13"/>
        <v>60</v>
      </c>
      <c r="N51" s="10">
        <f t="shared" si="13"/>
        <v>35</v>
      </c>
      <c r="O51" s="58">
        <f t="shared" si="13"/>
        <v>11.61</v>
      </c>
      <c r="P51" s="10">
        <f t="shared" si="13"/>
        <v>58.333333333333336</v>
      </c>
      <c r="Q51" s="10">
        <f t="shared" si="13"/>
        <v>0</v>
      </c>
      <c r="R51" s="10">
        <f t="shared" si="13"/>
        <v>0</v>
      </c>
    </row>
    <row r="52" spans="1:18" s="34" customFormat="1" ht="9.75">
      <c r="A52" s="34">
        <v>24</v>
      </c>
      <c r="B52" s="10" t="s">
        <v>30</v>
      </c>
      <c r="C52" s="10" t="str">
        <f t="shared" ref="C52:R52" si="14">C25</f>
        <v>FLORES PALOMINO JIM</v>
      </c>
      <c r="D52" s="10">
        <f t="shared" si="14"/>
        <v>82672.45</v>
      </c>
      <c r="E52" s="10">
        <f t="shared" si="14"/>
        <v>1753.98</v>
      </c>
      <c r="F52" s="10">
        <f t="shared" si="14"/>
        <v>80918.47</v>
      </c>
      <c r="G52" s="10">
        <f t="shared" si="14"/>
        <v>160698.41</v>
      </c>
      <c r="H52" s="55">
        <f t="shared" si="14"/>
        <v>50.35</v>
      </c>
      <c r="I52" s="10">
        <f t="shared" si="14"/>
        <v>128132.72</v>
      </c>
      <c r="J52" s="10">
        <f t="shared" si="14"/>
        <v>306158.3</v>
      </c>
      <c r="K52" s="10">
        <f t="shared" si="14"/>
        <v>86112.02</v>
      </c>
      <c r="L52" s="55">
        <f t="shared" si="14"/>
        <v>28.13</v>
      </c>
      <c r="M52" s="10">
        <f t="shared" si="14"/>
        <v>91</v>
      </c>
      <c r="N52" s="10">
        <f t="shared" si="14"/>
        <v>33</v>
      </c>
      <c r="O52" s="58">
        <f t="shared" si="14"/>
        <v>28.13</v>
      </c>
      <c r="P52" s="10">
        <f t="shared" si="14"/>
        <v>36.263736263736263</v>
      </c>
      <c r="Q52" s="10">
        <f t="shared" si="14"/>
        <v>0</v>
      </c>
      <c r="R52" s="10">
        <f t="shared" si="14"/>
        <v>0</v>
      </c>
    </row>
    <row r="53" spans="1:18" s="34" customFormat="1" ht="9.75">
      <c r="A53" s="34">
        <v>25</v>
      </c>
      <c r="B53" s="10" t="s">
        <v>31</v>
      </c>
      <c r="C53" s="10" t="str">
        <f t="shared" ref="C53:R53" si="15">C26</f>
        <v>OLAECHEA LOZANO DANNY MANUEL</v>
      </c>
      <c r="D53" s="10">
        <f t="shared" si="15"/>
        <v>125002.56</v>
      </c>
      <c r="E53" s="10">
        <f t="shared" si="15"/>
        <v>2527.87</v>
      </c>
      <c r="F53" s="10">
        <f t="shared" si="15"/>
        <v>122474.69</v>
      </c>
      <c r="G53" s="10">
        <f t="shared" si="15"/>
        <v>143512.35</v>
      </c>
      <c r="H53" s="55">
        <f t="shared" si="15"/>
        <v>85.34</v>
      </c>
      <c r="I53" s="10">
        <f t="shared" si="15"/>
        <v>118204.35</v>
      </c>
      <c r="J53" s="10">
        <f t="shared" si="15"/>
        <v>359891.08</v>
      </c>
      <c r="K53" s="10">
        <f t="shared" si="15"/>
        <v>94070.74</v>
      </c>
      <c r="L53" s="55">
        <f t="shared" si="15"/>
        <v>26.14</v>
      </c>
      <c r="M53" s="10">
        <f t="shared" si="15"/>
        <v>79</v>
      </c>
      <c r="N53" s="10">
        <f t="shared" si="15"/>
        <v>29</v>
      </c>
      <c r="O53" s="58">
        <f t="shared" si="15"/>
        <v>26.14</v>
      </c>
      <c r="P53" s="10">
        <f t="shared" si="15"/>
        <v>36.708860759493668</v>
      </c>
      <c r="Q53" s="10">
        <f t="shared" si="15"/>
        <v>0</v>
      </c>
      <c r="R53" s="10">
        <f t="shared" si="15"/>
        <v>0</v>
      </c>
    </row>
    <row r="54" spans="1:18" s="34" customFormat="1" ht="9.75">
      <c r="A54" s="34">
        <v>27</v>
      </c>
      <c r="B54" s="10" t="s">
        <v>35</v>
      </c>
      <c r="C54" s="10" t="str">
        <f t="shared" ref="C54:R54" si="16">C27</f>
        <v>LOPEZ WASHINGTON  - CUSCO</v>
      </c>
      <c r="D54" s="10">
        <f t="shared" si="16"/>
        <v>85413.39</v>
      </c>
      <c r="E54" s="10">
        <f t="shared" si="16"/>
        <v>2066.5</v>
      </c>
      <c r="F54" s="10">
        <f t="shared" si="16"/>
        <v>83346.89</v>
      </c>
      <c r="G54" s="10">
        <f t="shared" si="16"/>
        <v>152263.79</v>
      </c>
      <c r="H54" s="55">
        <f t="shared" si="16"/>
        <v>54.74</v>
      </c>
      <c r="I54" s="10">
        <f t="shared" si="16"/>
        <v>164301.71</v>
      </c>
      <c r="J54" s="10">
        <f t="shared" si="16"/>
        <v>272097.44</v>
      </c>
      <c r="K54" s="10">
        <f t="shared" si="16"/>
        <v>23014.65</v>
      </c>
      <c r="L54" s="55">
        <f t="shared" si="16"/>
        <v>8.4600000000000009</v>
      </c>
      <c r="M54" s="10">
        <f t="shared" si="16"/>
        <v>48</v>
      </c>
      <c r="N54" s="10">
        <f t="shared" si="16"/>
        <v>22</v>
      </c>
      <c r="O54" s="58">
        <f t="shared" si="16"/>
        <v>8.4600000000000009</v>
      </c>
      <c r="P54" s="10">
        <f t="shared" si="16"/>
        <v>45.833333333333336</v>
      </c>
      <c r="Q54" s="10">
        <f t="shared" si="16"/>
        <v>0</v>
      </c>
      <c r="R54" s="10">
        <f t="shared" si="16"/>
        <v>0</v>
      </c>
    </row>
    <row r="55" spans="1:18" s="34" customFormat="1" ht="9.75">
      <c r="A55" s="34">
        <v>28</v>
      </c>
      <c r="B55" s="10" t="s">
        <v>34</v>
      </c>
      <c r="C55" s="10" t="str">
        <f t="shared" ref="C55:R55" si="17">C28</f>
        <v>LOPEZ WASHINGTON - PUERTO MALDONADO</v>
      </c>
      <c r="D55" s="10">
        <f t="shared" si="17"/>
        <v>211653.09</v>
      </c>
      <c r="E55" s="10">
        <f t="shared" si="17"/>
        <v>28719.07</v>
      </c>
      <c r="F55" s="10">
        <f t="shared" si="17"/>
        <v>182934.02</v>
      </c>
      <c r="G55" s="10">
        <f t="shared" si="17"/>
        <v>237255.21</v>
      </c>
      <c r="H55" s="55">
        <f t="shared" si="17"/>
        <v>77.099999999999994</v>
      </c>
      <c r="I55" s="10">
        <f t="shared" si="17"/>
        <v>291110.31</v>
      </c>
      <c r="J55" s="10">
        <f t="shared" si="17"/>
        <v>712456.97</v>
      </c>
      <c r="K55" s="10">
        <f t="shared" si="17"/>
        <v>79929.37</v>
      </c>
      <c r="L55" s="55">
        <f t="shared" si="17"/>
        <v>11.22</v>
      </c>
      <c r="M55" s="10">
        <f t="shared" si="17"/>
        <v>105</v>
      </c>
      <c r="N55" s="10">
        <f t="shared" si="17"/>
        <v>35</v>
      </c>
      <c r="O55" s="58">
        <f t="shared" si="17"/>
        <v>11.22</v>
      </c>
      <c r="P55" s="10">
        <f t="shared" si="17"/>
        <v>33.333333333333336</v>
      </c>
      <c r="Q55" s="10">
        <f t="shared" si="17"/>
        <v>0</v>
      </c>
      <c r="R55" s="10">
        <f t="shared" si="17"/>
        <v>0</v>
      </c>
    </row>
    <row r="56" spans="1:18">
      <c r="D56" s="59">
        <f>SUM(D38:D55)</f>
        <v>2406023.4699999997</v>
      </c>
      <c r="E56" s="59">
        <f>SUM(E38:E55)</f>
        <v>67230.040000000008</v>
      </c>
      <c r="F56" s="59">
        <f>SUM(F38:F55)</f>
        <v>2338793.4299999997</v>
      </c>
      <c r="G56" s="59">
        <f>SUM(G38:G55)</f>
        <v>3156301.71</v>
      </c>
      <c r="H56" s="59">
        <f>F56*100/G56</f>
        <v>74.099171907111497</v>
      </c>
      <c r="I56" s="59">
        <f>SUM(I38:I55)</f>
        <v>3465925.27</v>
      </c>
      <c r="J56" s="59">
        <f>SUM(J38:J55)</f>
        <v>6830980.8700000001</v>
      </c>
      <c r="K56" s="59">
        <f>SUM(K38:K55)</f>
        <v>674283.14000000013</v>
      </c>
      <c r="L56" s="60">
        <f>K56*100/J56</f>
        <v>9.8709563506653488</v>
      </c>
      <c r="M56" s="59">
        <f>SUM(M38:M55)</f>
        <v>1063</v>
      </c>
      <c r="N56" s="59">
        <f>SUM(N37:N55)</f>
        <v>576</v>
      </c>
      <c r="O56" s="59"/>
      <c r="P56" s="59" t="e">
        <f>SUM(P37:P55)</f>
        <v>#DIV/0!</v>
      </c>
      <c r="Q56" s="59">
        <f>SUM(Q37:Q55)</f>
        <v>6.169999999999999</v>
      </c>
      <c r="R56" s="59" t="e">
        <f>SUM(R37:R55)</f>
        <v>#DIV/0!</v>
      </c>
    </row>
    <row r="59" spans="1:18" s="34" customFormat="1" ht="9.75">
      <c r="A59" s="34">
        <v>14</v>
      </c>
      <c r="B59" s="10" t="s">
        <v>37</v>
      </c>
      <c r="C59" s="10" t="str">
        <f t="shared" ref="C59:Q59" si="18">C15</f>
        <v>COTACALLAPA JOVE ROBERTO</v>
      </c>
      <c r="D59" s="10">
        <f t="shared" si="18"/>
        <v>82211.75</v>
      </c>
      <c r="E59" s="10">
        <f t="shared" si="18"/>
        <v>2000.41</v>
      </c>
      <c r="F59" s="10">
        <f t="shared" si="18"/>
        <v>80211.34</v>
      </c>
      <c r="G59" s="10">
        <f t="shared" si="18"/>
        <v>113350</v>
      </c>
      <c r="H59" s="10">
        <f t="shared" si="18"/>
        <v>70.760000000000005</v>
      </c>
      <c r="I59" s="10">
        <f t="shared" si="18"/>
        <v>93200.03</v>
      </c>
      <c r="J59" s="10">
        <f t="shared" si="18"/>
        <v>123805.2</v>
      </c>
      <c r="K59" s="10">
        <f t="shared" si="18"/>
        <v>30681.3</v>
      </c>
      <c r="L59" s="10">
        <f t="shared" si="18"/>
        <v>24.79</v>
      </c>
      <c r="M59" s="10">
        <f t="shared" si="18"/>
        <v>109</v>
      </c>
      <c r="N59" s="10">
        <f t="shared" si="18"/>
        <v>26</v>
      </c>
      <c r="O59" s="10">
        <f t="shared" si="18"/>
        <v>24.79</v>
      </c>
      <c r="P59" s="10">
        <f t="shared" si="18"/>
        <v>23.853211009174313</v>
      </c>
      <c r="Q59" s="10">
        <f t="shared" si="18"/>
        <v>0</v>
      </c>
      <c r="R59" s="39">
        <f t="shared" ref="R59:R67" si="19">Q59*100/P59</f>
        <v>0</v>
      </c>
    </row>
    <row r="60" spans="1:18">
      <c r="A60" s="41">
        <v>15</v>
      </c>
      <c r="B60" s="53" t="s">
        <v>58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 t="e">
        <f t="shared" ref="P60:Q66" si="20">P16</f>
        <v>#N/A</v>
      </c>
      <c r="Q60" s="10" t="e">
        <f t="shared" si="20"/>
        <v>#N/A</v>
      </c>
      <c r="R60" s="39" t="e">
        <f t="shared" si="19"/>
        <v>#N/A</v>
      </c>
    </row>
    <row r="61" spans="1:18">
      <c r="A61" s="10">
        <v>16</v>
      </c>
      <c r="B61" s="10" t="s">
        <v>59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f t="shared" si="20"/>
        <v>0</v>
      </c>
      <c r="Q61" s="10">
        <f t="shared" si="20"/>
        <v>0</v>
      </c>
      <c r="R61" s="39" t="e">
        <f t="shared" si="19"/>
        <v>#DIV/0!</v>
      </c>
    </row>
    <row r="62" spans="1:18" s="34" customFormat="1" ht="9.75">
      <c r="A62" s="34">
        <v>17</v>
      </c>
      <c r="B62" s="10" t="s">
        <v>60</v>
      </c>
      <c r="C62" s="10" t="str">
        <f t="shared" ref="C62:O62" si="21">C18</f>
        <v>INANCTIVO MAMANI LIPA CLEMENTE</v>
      </c>
      <c r="D62" s="10">
        <f t="shared" si="21"/>
        <v>0</v>
      </c>
      <c r="E62" s="10">
        <f t="shared" si="21"/>
        <v>0</v>
      </c>
      <c r="F62" s="10">
        <f t="shared" si="21"/>
        <v>0</v>
      </c>
      <c r="G62" s="10">
        <f t="shared" si="21"/>
        <v>0</v>
      </c>
      <c r="H62" s="10">
        <f t="shared" si="21"/>
        <v>0</v>
      </c>
      <c r="I62" s="10">
        <f t="shared" si="21"/>
        <v>0</v>
      </c>
      <c r="J62" s="10">
        <f t="shared" si="21"/>
        <v>0</v>
      </c>
      <c r="K62" s="10">
        <f t="shared" si="21"/>
        <v>0</v>
      </c>
      <c r="L62" s="10">
        <f t="shared" si="21"/>
        <v>0</v>
      </c>
      <c r="M62" s="10">
        <f t="shared" si="21"/>
        <v>283</v>
      </c>
      <c r="N62" s="10">
        <f t="shared" si="21"/>
        <v>0</v>
      </c>
      <c r="O62" s="10">
        <f t="shared" si="21"/>
        <v>0</v>
      </c>
      <c r="P62" s="10">
        <f t="shared" si="20"/>
        <v>0</v>
      </c>
      <c r="Q62" s="10">
        <f t="shared" si="20"/>
        <v>0</v>
      </c>
      <c r="R62" s="39" t="e">
        <f t="shared" si="19"/>
        <v>#DIV/0!</v>
      </c>
    </row>
    <row r="63" spans="1:18" s="34" customFormat="1" ht="9.75">
      <c r="A63" s="34">
        <v>18</v>
      </c>
      <c r="B63" s="10" t="s">
        <v>38</v>
      </c>
      <c r="C63" s="10" t="str">
        <f t="shared" ref="C63:O63" si="22">C19</f>
        <v>CHICATA APAZA JOSE LUIS</v>
      </c>
      <c r="D63" s="10">
        <f t="shared" si="22"/>
        <v>617.25</v>
      </c>
      <c r="E63" s="10">
        <f t="shared" si="22"/>
        <v>0</v>
      </c>
      <c r="F63" s="10">
        <f t="shared" si="22"/>
        <v>617.25</v>
      </c>
      <c r="G63" s="10">
        <f t="shared" si="22"/>
        <v>0</v>
      </c>
      <c r="H63" s="10">
        <f t="shared" si="22"/>
        <v>0</v>
      </c>
      <c r="I63" s="10">
        <f t="shared" si="22"/>
        <v>728.35</v>
      </c>
      <c r="J63" s="10">
        <f t="shared" si="22"/>
        <v>0</v>
      </c>
      <c r="K63" s="10">
        <f t="shared" si="22"/>
        <v>0</v>
      </c>
      <c r="L63" s="10">
        <f t="shared" si="22"/>
        <v>0</v>
      </c>
      <c r="M63" s="10">
        <f t="shared" si="22"/>
        <v>136</v>
      </c>
      <c r="N63" s="10">
        <f t="shared" si="22"/>
        <v>2</v>
      </c>
      <c r="O63" s="10">
        <f t="shared" si="22"/>
        <v>0</v>
      </c>
      <c r="P63" s="10">
        <f t="shared" si="20"/>
        <v>1.4705882352941178</v>
      </c>
      <c r="Q63" s="10">
        <f t="shared" si="20"/>
        <v>0</v>
      </c>
      <c r="R63" s="39">
        <f t="shared" si="19"/>
        <v>0</v>
      </c>
    </row>
    <row r="64" spans="1:18" s="34" customFormat="1" ht="9.75">
      <c r="A64" s="34">
        <v>19</v>
      </c>
      <c r="B64" s="10" t="s">
        <v>39</v>
      </c>
      <c r="C64" s="10" t="str">
        <f t="shared" ref="C64:O64" si="23">C20</f>
        <v>RAMOS CHACON CARMEN ROSA</v>
      </c>
      <c r="D64" s="10">
        <f t="shared" si="23"/>
        <v>74586.100000000006</v>
      </c>
      <c r="E64" s="10">
        <f t="shared" si="23"/>
        <v>1282.29</v>
      </c>
      <c r="F64" s="10">
        <f t="shared" si="23"/>
        <v>73303.81</v>
      </c>
      <c r="G64" s="10">
        <f t="shared" si="23"/>
        <v>83100</v>
      </c>
      <c r="H64" s="10">
        <f t="shared" si="23"/>
        <v>88.21</v>
      </c>
      <c r="I64" s="10">
        <f t="shared" si="23"/>
        <v>100616.91</v>
      </c>
      <c r="J64" s="10">
        <f t="shared" si="23"/>
        <v>18460.400000000001</v>
      </c>
      <c r="K64" s="10">
        <f t="shared" si="23"/>
        <v>303.12</v>
      </c>
      <c r="L64" s="10">
        <f t="shared" si="23"/>
        <v>1.64</v>
      </c>
      <c r="M64" s="10">
        <f t="shared" si="23"/>
        <v>204</v>
      </c>
      <c r="N64" s="10">
        <f t="shared" si="23"/>
        <v>117</v>
      </c>
      <c r="O64" s="10">
        <f t="shared" si="23"/>
        <v>1.64</v>
      </c>
      <c r="P64" s="10">
        <f t="shared" si="20"/>
        <v>57.352941176470587</v>
      </c>
      <c r="Q64" s="10">
        <f t="shared" si="20"/>
        <v>0</v>
      </c>
      <c r="R64" s="39">
        <f t="shared" si="19"/>
        <v>0</v>
      </c>
    </row>
    <row r="65" spans="1:18" s="34" customFormat="1" ht="9.75">
      <c r="A65" s="34">
        <v>20</v>
      </c>
      <c r="B65" s="10" t="s">
        <v>61</v>
      </c>
      <c r="C65" s="10" t="str">
        <f t="shared" ref="C65:O65" si="24">C21</f>
        <v>SUPERVISOR CONSUMO</v>
      </c>
      <c r="D65" s="10">
        <f t="shared" si="24"/>
        <v>0</v>
      </c>
      <c r="E65" s="10">
        <f t="shared" si="24"/>
        <v>0</v>
      </c>
      <c r="F65" s="10">
        <f t="shared" si="24"/>
        <v>0</v>
      </c>
      <c r="G65" s="10">
        <f t="shared" si="24"/>
        <v>0</v>
      </c>
      <c r="H65" s="10">
        <f t="shared" si="24"/>
        <v>0</v>
      </c>
      <c r="I65" s="10">
        <f t="shared" si="24"/>
        <v>0</v>
      </c>
      <c r="J65" s="10">
        <f t="shared" si="24"/>
        <v>24256.14</v>
      </c>
      <c r="K65" s="10">
        <f t="shared" si="24"/>
        <v>17675.810000000001</v>
      </c>
      <c r="L65" s="10">
        <f t="shared" si="24"/>
        <v>72.87</v>
      </c>
      <c r="M65" s="10">
        <f t="shared" si="24"/>
        <v>208</v>
      </c>
      <c r="N65" s="10">
        <f t="shared" si="24"/>
        <v>0</v>
      </c>
      <c r="O65" s="10">
        <f t="shared" si="24"/>
        <v>72.87</v>
      </c>
      <c r="P65" s="10">
        <f t="shared" si="20"/>
        <v>0</v>
      </c>
      <c r="Q65" s="10">
        <f t="shared" si="20"/>
        <v>0</v>
      </c>
      <c r="R65" s="39" t="e">
        <f t="shared" si="19"/>
        <v>#DIV/0!</v>
      </c>
    </row>
    <row r="66" spans="1:18" s="34" customFormat="1" ht="9.75">
      <c r="A66" s="34">
        <v>21</v>
      </c>
      <c r="B66" s="10" t="s">
        <v>62</v>
      </c>
      <c r="C66" s="10" t="str">
        <f t="shared" ref="C66:O66" si="25">C22</f>
        <v>OFICINA PERSONAL</v>
      </c>
      <c r="D66" s="10">
        <f t="shared" si="25"/>
        <v>2492.3000000000002</v>
      </c>
      <c r="E66" s="10">
        <f t="shared" si="25"/>
        <v>8830.09</v>
      </c>
      <c r="F66" s="10">
        <f t="shared" si="25"/>
        <v>-6337.79</v>
      </c>
      <c r="G66" s="10">
        <f t="shared" si="25"/>
        <v>0</v>
      </c>
      <c r="H66" s="10">
        <f t="shared" si="25"/>
        <v>0</v>
      </c>
      <c r="I66" s="10">
        <f t="shared" si="25"/>
        <v>360.16</v>
      </c>
      <c r="J66" s="10">
        <f t="shared" si="25"/>
        <v>9868.7099999999991</v>
      </c>
      <c r="K66" s="10">
        <f t="shared" si="25"/>
        <v>56.03</v>
      </c>
      <c r="L66" s="10">
        <f t="shared" si="25"/>
        <v>0.56999999999999995</v>
      </c>
      <c r="M66" s="10">
        <f t="shared" si="25"/>
        <v>270</v>
      </c>
      <c r="N66" s="10">
        <f t="shared" si="25"/>
        <v>35</v>
      </c>
      <c r="O66" s="10">
        <f t="shared" si="25"/>
        <v>0.56999999999999995</v>
      </c>
      <c r="P66" s="10">
        <f t="shared" si="20"/>
        <v>12.962962962962964</v>
      </c>
      <c r="Q66" s="10">
        <f t="shared" si="20"/>
        <v>0</v>
      </c>
      <c r="R66" s="39">
        <f t="shared" si="19"/>
        <v>0</v>
      </c>
    </row>
    <row r="67" spans="1:18">
      <c r="A67" s="34">
        <v>30</v>
      </c>
      <c r="B67" s="10" t="s">
        <v>67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36">
        <v>0</v>
      </c>
      <c r="I67" s="10">
        <v>0</v>
      </c>
      <c r="J67" s="10">
        <v>776.23</v>
      </c>
      <c r="K67" s="10">
        <v>776.23</v>
      </c>
      <c r="L67" s="10">
        <v>100</v>
      </c>
      <c r="M67" s="10">
        <v>340</v>
      </c>
      <c r="N67" s="10">
        <v>0</v>
      </c>
      <c r="O67" s="56">
        <f>N67*100/M67</f>
        <v>0</v>
      </c>
      <c r="P67" s="10"/>
      <c r="Q67" s="10"/>
      <c r="R67" s="54" t="e">
        <f t="shared" si="19"/>
        <v>#DIV/0!</v>
      </c>
    </row>
    <row r="68" spans="1:18">
      <c r="A68" s="34" t="s">
        <v>73</v>
      </c>
      <c r="B68" s="10" t="s">
        <v>75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36">
        <v>0</v>
      </c>
      <c r="I68" s="10">
        <v>0</v>
      </c>
      <c r="J68" s="10">
        <v>0</v>
      </c>
      <c r="K68" s="10">
        <v>0</v>
      </c>
      <c r="L68" s="61">
        <v>0</v>
      </c>
      <c r="M68" s="10">
        <v>0</v>
      </c>
      <c r="N68" s="10">
        <v>0</v>
      </c>
      <c r="O68" s="62" t="e">
        <f>#DIV/0!</f>
        <v>#DIV/0!</v>
      </c>
      <c r="P68" s="63"/>
      <c r="Q68" s="63"/>
      <c r="R68" s="64"/>
    </row>
    <row r="69" spans="1:18">
      <c r="A69" s="34" t="s">
        <v>73</v>
      </c>
      <c r="B69" s="53" t="s">
        <v>79</v>
      </c>
      <c r="C69" s="53">
        <v>0</v>
      </c>
      <c r="D69" s="10">
        <v>109605.72</v>
      </c>
      <c r="E69" s="10">
        <v>6320.33</v>
      </c>
      <c r="F69" s="10">
        <v>103285.39</v>
      </c>
      <c r="G69" s="10">
        <v>130000</v>
      </c>
      <c r="H69" s="36">
        <v>79.45</v>
      </c>
      <c r="I69" s="10">
        <v>173612.94</v>
      </c>
      <c r="J69" s="10">
        <v>409579.65</v>
      </c>
      <c r="K69" s="10">
        <v>18331.86</v>
      </c>
      <c r="L69" s="60">
        <f>K69*100/J69</f>
        <v>4.4757741259850183</v>
      </c>
      <c r="M69" s="10">
        <v>335</v>
      </c>
      <c r="N69" s="10">
        <v>5</v>
      </c>
      <c r="O69" s="54">
        <f>N69*100/M69</f>
        <v>1.4925373134328359</v>
      </c>
      <c r="P69" s="34">
        <v>0</v>
      </c>
      <c r="Q69" s="34">
        <v>0</v>
      </c>
      <c r="R69" s="64" t="e">
        <f>Q69*100/P69</f>
        <v>#DIV/0!</v>
      </c>
    </row>
    <row r="70" spans="1:18">
      <c r="D70" s="59">
        <f>SUM(D59:D69)</f>
        <v>269513.12</v>
      </c>
      <c r="E70" s="59">
        <f>SUM(E59:E69)</f>
        <v>18433.120000000003</v>
      </c>
      <c r="F70" s="59">
        <f>SUM(F59:F69)</f>
        <v>251080</v>
      </c>
      <c r="G70" s="59">
        <f>SUM(G59:G69)</f>
        <v>326450</v>
      </c>
      <c r="H70" s="59">
        <f>F70*100/G70</f>
        <v>76.91223770868433</v>
      </c>
      <c r="I70" s="59">
        <f>SUM(I59:I69)</f>
        <v>368518.39</v>
      </c>
      <c r="J70" s="59">
        <f>SUM(J59:J69)</f>
        <v>586746.33000000007</v>
      </c>
      <c r="K70" s="59">
        <f>SUM(K59:K69)</f>
        <v>67824.350000000006</v>
      </c>
      <c r="L70" s="60">
        <f>K70*100/J70</f>
        <v>11.5593991018231</v>
      </c>
      <c r="M70" s="59">
        <f>SUM(M59:M69)</f>
        <v>1885</v>
      </c>
      <c r="N70" s="59">
        <f>SUM(N59:N69)</f>
        <v>185</v>
      </c>
      <c r="O70" s="60">
        <f>N70*100/M70</f>
        <v>9.8143236074270561</v>
      </c>
      <c r="P70" s="59" t="e">
        <f>SUM(P59:P69)</f>
        <v>#N/A</v>
      </c>
      <c r="Q70" s="59" t="e">
        <f>SUM(Q59:Q69)</f>
        <v>#N/A</v>
      </c>
      <c r="R70" s="59"/>
    </row>
    <row r="75" spans="1:18">
      <c r="A75" s="49" t="s">
        <v>77</v>
      </c>
      <c r="B75" s="50" t="s">
        <v>4</v>
      </c>
      <c r="C75" s="50" t="s">
        <v>5</v>
      </c>
      <c r="D75" s="50" t="s">
        <v>46</v>
      </c>
      <c r="E75" s="50" t="s">
        <v>47</v>
      </c>
      <c r="F75" s="50" t="s">
        <v>7</v>
      </c>
      <c r="G75" s="50" t="s">
        <v>8</v>
      </c>
      <c r="H75" s="51" t="s">
        <v>48</v>
      </c>
      <c r="I75" s="50" t="s">
        <v>49</v>
      </c>
      <c r="J75" s="50" t="s">
        <v>50</v>
      </c>
      <c r="K75" s="50" t="s">
        <v>51</v>
      </c>
      <c r="L75" s="50" t="s">
        <v>10</v>
      </c>
      <c r="M75" s="50" t="s">
        <v>52</v>
      </c>
      <c r="N75" s="50" t="s">
        <v>11</v>
      </c>
      <c r="O75" s="52" t="s">
        <v>48</v>
      </c>
      <c r="P75" s="53"/>
      <c r="Q75" s="53"/>
      <c r="R75" s="54">
        <v>45.652173913043498</v>
      </c>
    </row>
    <row r="76" spans="1:18" s="34" customFormat="1" ht="9.75">
      <c r="A76" s="34">
        <v>1</v>
      </c>
      <c r="B76" s="10" t="s">
        <v>18</v>
      </c>
      <c r="C76" s="10" t="s">
        <v>80</v>
      </c>
      <c r="D76" s="10">
        <v>98886.83</v>
      </c>
      <c r="E76" s="10">
        <v>1340.48</v>
      </c>
      <c r="F76" s="10">
        <v>97546.35</v>
      </c>
      <c r="G76" s="10">
        <v>128427</v>
      </c>
      <c r="H76" s="55">
        <v>75.95</v>
      </c>
      <c r="I76" s="10">
        <v>131953.57999999999</v>
      </c>
      <c r="J76" s="10">
        <v>167732.20000000001</v>
      </c>
      <c r="K76" s="10">
        <v>2722.89</v>
      </c>
      <c r="L76" s="55">
        <v>1.62</v>
      </c>
      <c r="M76" s="10">
        <v>70</v>
      </c>
      <c r="N76" s="10">
        <v>61</v>
      </c>
      <c r="O76" s="56">
        <v>1.62</v>
      </c>
      <c r="P76" s="57">
        <v>4.8310197793217098</v>
      </c>
      <c r="Q76" s="57">
        <v>0</v>
      </c>
      <c r="R76" s="10">
        <v>0</v>
      </c>
    </row>
    <row r="77" spans="1:18" s="34" customFormat="1" ht="9.75">
      <c r="A77" s="34">
        <v>2</v>
      </c>
      <c r="B77" s="10" t="s">
        <v>16</v>
      </c>
      <c r="C77" s="10" t="s">
        <v>81</v>
      </c>
      <c r="D77" s="10">
        <v>142344.79</v>
      </c>
      <c r="E77" s="10">
        <v>2558.04</v>
      </c>
      <c r="F77" s="10">
        <v>139786.75</v>
      </c>
      <c r="G77" s="10">
        <v>181625</v>
      </c>
      <c r="H77" s="55">
        <v>76.959999999999994</v>
      </c>
      <c r="I77" s="10">
        <v>185855.24</v>
      </c>
      <c r="J77" s="10">
        <v>269057.27</v>
      </c>
      <c r="K77" s="10">
        <v>21164.93</v>
      </c>
      <c r="L77" s="55">
        <v>7.87</v>
      </c>
      <c r="M77" s="10">
        <v>76</v>
      </c>
      <c r="N77" s="10">
        <v>65</v>
      </c>
      <c r="O77" s="56">
        <v>7.87</v>
      </c>
      <c r="P77" s="57">
        <v>10.0145232580015</v>
      </c>
      <c r="Q77" s="57">
        <v>0</v>
      </c>
      <c r="R77" s="10">
        <v>0</v>
      </c>
    </row>
    <row r="78" spans="1:18" s="34" customFormat="1" ht="9.75">
      <c r="A78" s="34">
        <v>3</v>
      </c>
      <c r="B78" s="10" t="s">
        <v>20</v>
      </c>
      <c r="C78" s="10" t="s">
        <v>82</v>
      </c>
      <c r="D78" s="10">
        <v>304092.48</v>
      </c>
      <c r="E78" s="10">
        <v>17998.02</v>
      </c>
      <c r="F78" s="10">
        <v>286094.46000000002</v>
      </c>
      <c r="G78" s="10">
        <v>382845</v>
      </c>
      <c r="H78" s="55">
        <v>74.73</v>
      </c>
      <c r="I78" s="10">
        <v>353345.81</v>
      </c>
      <c r="J78" s="10">
        <v>690497.26</v>
      </c>
      <c r="K78" s="10">
        <v>1901.66</v>
      </c>
      <c r="L78" s="55">
        <v>0.28000000000000003</v>
      </c>
      <c r="M78" s="10">
        <v>16</v>
      </c>
      <c r="N78" s="10">
        <v>15</v>
      </c>
      <c r="O78" s="56">
        <v>0.28000000000000003</v>
      </c>
      <c r="P78" s="57">
        <v>1.01019384175233</v>
      </c>
      <c r="Q78" s="57">
        <v>0</v>
      </c>
      <c r="R78" s="10">
        <v>0</v>
      </c>
    </row>
    <row r="79" spans="1:18" s="34" customFormat="1" ht="9.75">
      <c r="A79" s="34">
        <v>4</v>
      </c>
      <c r="B79" s="10" t="s">
        <v>17</v>
      </c>
      <c r="C79" s="10" t="s">
        <v>83</v>
      </c>
      <c r="D79" s="10">
        <v>113186.13</v>
      </c>
      <c r="E79" s="10">
        <v>1129.58</v>
      </c>
      <c r="F79" s="10">
        <v>112056.55</v>
      </c>
      <c r="G79" s="10">
        <v>151692</v>
      </c>
      <c r="H79" s="55">
        <v>73.87</v>
      </c>
      <c r="I79" s="10">
        <v>145287.10999999999</v>
      </c>
      <c r="J79" s="10">
        <v>200610.03</v>
      </c>
      <c r="K79" s="10">
        <v>12767.13</v>
      </c>
      <c r="L79" s="55">
        <v>6.36</v>
      </c>
      <c r="M79" s="10">
        <v>44</v>
      </c>
      <c r="N79" s="10">
        <v>38</v>
      </c>
      <c r="O79" s="56">
        <v>6.36</v>
      </c>
      <c r="P79" s="57">
        <v>6.17</v>
      </c>
      <c r="Q79" s="57">
        <v>6.17</v>
      </c>
      <c r="R79" s="10">
        <v>100</v>
      </c>
    </row>
    <row r="80" spans="1:18" s="34" customFormat="1" ht="9.75">
      <c r="A80" s="34">
        <v>5</v>
      </c>
      <c r="B80" s="10" t="s">
        <v>55</v>
      </c>
      <c r="C80" s="10" t="s">
        <v>84</v>
      </c>
      <c r="D80" s="10">
        <v>82368.08</v>
      </c>
      <c r="E80" s="10">
        <v>598.37</v>
      </c>
      <c r="F80" s="10">
        <v>81769.710000000006</v>
      </c>
      <c r="G80" s="10">
        <v>83968</v>
      </c>
      <c r="H80" s="55">
        <v>97.38</v>
      </c>
      <c r="I80" s="10">
        <v>80196</v>
      </c>
      <c r="J80" s="10">
        <v>118907.27</v>
      </c>
      <c r="K80" s="10">
        <v>12217.42</v>
      </c>
      <c r="L80" s="55">
        <v>10.28</v>
      </c>
      <c r="M80" s="10">
        <v>99</v>
      </c>
      <c r="N80" s="10">
        <v>64</v>
      </c>
      <c r="O80" s="56">
        <v>10.28</v>
      </c>
      <c r="P80" s="57">
        <v>25.9650935194447</v>
      </c>
      <c r="Q80" s="57">
        <v>0</v>
      </c>
      <c r="R80" s="10">
        <v>0</v>
      </c>
    </row>
    <row r="81" spans="1:18" s="34" customFormat="1" ht="9.75">
      <c r="A81" s="34">
        <v>6</v>
      </c>
      <c r="B81" s="10" t="s">
        <v>21</v>
      </c>
      <c r="C81" s="10" t="s">
        <v>85</v>
      </c>
      <c r="D81" s="10">
        <v>363015.67999999999</v>
      </c>
      <c r="E81" s="10">
        <v>479.86</v>
      </c>
      <c r="F81" s="10">
        <v>362535.82</v>
      </c>
      <c r="G81" s="10">
        <v>382852</v>
      </c>
      <c r="H81" s="55">
        <v>94.69</v>
      </c>
      <c r="I81" s="10">
        <v>467429.05</v>
      </c>
      <c r="J81" s="10">
        <v>844755.39</v>
      </c>
      <c r="K81" s="10">
        <v>8406</v>
      </c>
      <c r="L81" s="55">
        <v>0.99</v>
      </c>
      <c r="M81" s="10">
        <v>16</v>
      </c>
      <c r="N81" s="10">
        <v>13</v>
      </c>
      <c r="O81" s="56">
        <v>0.99</v>
      </c>
      <c r="P81" s="57">
        <v>0.21667947357716699</v>
      </c>
      <c r="Q81" s="57">
        <v>0</v>
      </c>
      <c r="R81" s="10">
        <v>0</v>
      </c>
    </row>
    <row r="82" spans="1:18" s="34" customFormat="1" ht="9.75">
      <c r="A82" s="34">
        <v>7</v>
      </c>
      <c r="B82" s="10" t="s">
        <v>22</v>
      </c>
      <c r="C82" s="10" t="s">
        <v>86</v>
      </c>
      <c r="D82" s="10">
        <v>39553.54</v>
      </c>
      <c r="E82" s="10">
        <v>720.97</v>
      </c>
      <c r="F82" s="10">
        <v>38832.57</v>
      </c>
      <c r="G82" s="10">
        <v>80139</v>
      </c>
      <c r="H82" s="55">
        <v>48.46</v>
      </c>
      <c r="I82" s="10">
        <v>49473.08</v>
      </c>
      <c r="J82" s="10">
        <v>55832.72</v>
      </c>
      <c r="K82" s="10">
        <v>1338.12</v>
      </c>
      <c r="L82" s="55">
        <v>2.4</v>
      </c>
      <c r="M82" s="10">
        <v>86</v>
      </c>
      <c r="N82" s="10">
        <v>58</v>
      </c>
      <c r="O82" s="56">
        <v>2.4</v>
      </c>
      <c r="P82" s="57">
        <v>8.8279301159287407</v>
      </c>
      <c r="Q82" s="57">
        <v>0</v>
      </c>
      <c r="R82" s="10">
        <v>0</v>
      </c>
    </row>
    <row r="83" spans="1:18" s="34" customFormat="1" ht="9.75">
      <c r="A83" s="34">
        <v>8</v>
      </c>
      <c r="B83" s="10" t="s">
        <v>24</v>
      </c>
      <c r="C83" s="10" t="s">
        <v>87</v>
      </c>
      <c r="D83" s="10">
        <v>189049.84</v>
      </c>
      <c r="E83" s="10">
        <v>1867.98</v>
      </c>
      <c r="F83" s="10">
        <v>187181.86</v>
      </c>
      <c r="G83" s="10">
        <v>208952</v>
      </c>
      <c r="H83" s="55">
        <v>89.58</v>
      </c>
      <c r="I83" s="10">
        <v>222974.1</v>
      </c>
      <c r="J83" s="10">
        <v>571073.44999999995</v>
      </c>
      <c r="K83" s="10">
        <v>24490.59</v>
      </c>
      <c r="L83" s="55">
        <v>4.29</v>
      </c>
      <c r="M83" s="10">
        <v>58</v>
      </c>
      <c r="N83" s="10">
        <v>50</v>
      </c>
      <c r="O83" s="56">
        <v>4.29</v>
      </c>
      <c r="P83" s="57">
        <v>3.68539982856452</v>
      </c>
      <c r="Q83" s="57">
        <v>0</v>
      </c>
      <c r="R83" s="10">
        <v>0</v>
      </c>
    </row>
    <row r="84" spans="1:18" s="34" customFormat="1" ht="9.75">
      <c r="A84" s="34">
        <v>9</v>
      </c>
      <c r="B84" s="10" t="s">
        <v>27</v>
      </c>
      <c r="C84" s="10" t="s">
        <v>70</v>
      </c>
      <c r="D84" s="10">
        <v>133011.16</v>
      </c>
      <c r="E84" s="10">
        <v>671.87</v>
      </c>
      <c r="F84" s="10">
        <v>132339.29</v>
      </c>
      <c r="G84" s="10">
        <v>162388</v>
      </c>
      <c r="H84" s="55">
        <v>81.5</v>
      </c>
      <c r="I84" s="10">
        <v>170854.28</v>
      </c>
      <c r="J84" s="10">
        <v>346476.38</v>
      </c>
      <c r="K84" s="10">
        <v>28356.55</v>
      </c>
      <c r="L84" s="55">
        <v>8.18</v>
      </c>
      <c r="M84" s="10">
        <v>70</v>
      </c>
      <c r="N84" s="10">
        <v>42</v>
      </c>
      <c r="O84" s="56">
        <v>8.18</v>
      </c>
      <c r="P84" s="57">
        <v>16.532595002886001</v>
      </c>
      <c r="Q84" s="57">
        <v>0</v>
      </c>
      <c r="R84" s="10">
        <v>0</v>
      </c>
    </row>
    <row r="85" spans="1:18" s="34" customFormat="1" ht="9.75">
      <c r="A85" s="34">
        <v>10</v>
      </c>
      <c r="B85" s="10" t="s">
        <v>25</v>
      </c>
      <c r="C85" s="10" t="s">
        <v>88</v>
      </c>
      <c r="D85" s="10">
        <v>128852.74</v>
      </c>
      <c r="E85" s="10">
        <v>545.85</v>
      </c>
      <c r="F85" s="10">
        <v>128306.89</v>
      </c>
      <c r="G85" s="10">
        <v>142104</v>
      </c>
      <c r="H85" s="55">
        <v>90.29</v>
      </c>
      <c r="I85" s="10">
        <v>123911.64</v>
      </c>
      <c r="J85" s="10">
        <v>303416.2</v>
      </c>
      <c r="K85" s="10">
        <v>8369.51</v>
      </c>
      <c r="L85" s="55">
        <v>2.75</v>
      </c>
      <c r="M85" s="10">
        <v>62</v>
      </c>
      <c r="N85" s="10">
        <v>58</v>
      </c>
      <c r="O85" s="56">
        <v>2.75</v>
      </c>
      <c r="P85" s="57">
        <v>4.5709708491443601</v>
      </c>
      <c r="Q85" s="57">
        <v>0</v>
      </c>
      <c r="R85" s="10">
        <v>0</v>
      </c>
    </row>
    <row r="86" spans="1:18" s="34" customFormat="1" ht="9.75">
      <c r="A86" s="34">
        <v>11</v>
      </c>
      <c r="B86" s="10" t="s">
        <v>28</v>
      </c>
      <c r="C86" s="10" t="s">
        <v>89</v>
      </c>
      <c r="D86" s="10">
        <v>231092.37</v>
      </c>
      <c r="E86" s="10">
        <v>7267.85</v>
      </c>
      <c r="F86" s="10">
        <v>223824.52</v>
      </c>
      <c r="G86" s="10">
        <v>247058</v>
      </c>
      <c r="H86" s="55">
        <v>90.6</v>
      </c>
      <c r="I86" s="10">
        <v>234502.29</v>
      </c>
      <c r="J86" s="10">
        <v>465805.73</v>
      </c>
      <c r="K86" s="10">
        <v>8862.9</v>
      </c>
      <c r="L86" s="55">
        <v>1.9</v>
      </c>
      <c r="M86" s="10">
        <v>81</v>
      </c>
      <c r="N86" s="10">
        <v>38</v>
      </c>
      <c r="O86" s="56">
        <v>1.9</v>
      </c>
      <c r="P86" s="57">
        <v>6.0541270181592797</v>
      </c>
      <c r="Q86" s="57">
        <v>0</v>
      </c>
      <c r="R86" s="10">
        <v>0</v>
      </c>
    </row>
    <row r="87" spans="1:18">
      <c r="D87" s="29">
        <f>SUM(D76:D86)</f>
        <v>1825453.6400000001</v>
      </c>
      <c r="E87" s="29">
        <f>SUM(E76:E86)</f>
        <v>35178.870000000003</v>
      </c>
      <c r="F87" s="29">
        <f>SUM(F76:F86)</f>
        <v>1790274.7700000003</v>
      </c>
      <c r="G87" s="29">
        <f>SUM(G76:G86)</f>
        <v>2152050</v>
      </c>
      <c r="H87" s="29">
        <f>F87*100/G87</f>
        <v>83.189273948096016</v>
      </c>
      <c r="I87" s="29">
        <f>SUM(I76:I86)</f>
        <v>2165782.1799999997</v>
      </c>
      <c r="J87" s="29">
        <f>SUM(J76:J86)</f>
        <v>4034163.9</v>
      </c>
      <c r="K87" s="29">
        <f>SUM(K76:K86)</f>
        <v>130597.7</v>
      </c>
      <c r="L87" s="29">
        <f>J87*100/K87</f>
        <v>3089.0007251276247</v>
      </c>
      <c r="M87" s="29">
        <f>SUM(M76:M86)</f>
        <v>678</v>
      </c>
      <c r="N87" s="29">
        <f>SUM(N76:N86)</f>
        <v>502</v>
      </c>
      <c r="O87" s="29">
        <f>N87*100/M87</f>
        <v>74.041297935103245</v>
      </c>
    </row>
  </sheetData>
  <pageMargins left="0.15763888888888899" right="0.15972222222222199" top="0.15763888888888899" bottom="0.15763888888888899" header="0.51180555555555496" footer="0.51180555555555496"/>
  <pageSetup paperSize="9" scale="80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1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8" width="9.140625" customWidth="1"/>
    <col min="9" max="9" width="10.2851562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20142_14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14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42370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>COTACALLAPA JOVE ROBERTO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550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400</v>
      </c>
    </row>
    <row r="12" spans="1:9">
      <c r="A12" s="120" t="s">
        <v>124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70.764305249228059</v>
      </c>
      <c r="I12" s="181">
        <f>E24*F12%</f>
        <v>401.05669999999998</v>
      </c>
    </row>
    <row r="13" spans="1:9">
      <c r="A13" s="120" t="s">
        <v>125</v>
      </c>
      <c r="B13" s="120"/>
      <c r="C13" s="120"/>
      <c r="D13" s="120"/>
      <c r="E13" s="120"/>
      <c r="F13" s="182">
        <v>0.3</v>
      </c>
      <c r="G13" s="182">
        <f>IF(OR(I4=13,I4=7,I4=4,I4=8),10,5)</f>
        <v>5</v>
      </c>
      <c r="H13" s="182">
        <f>+H27</f>
        <v>24.781915460739938</v>
      </c>
      <c r="I13" s="181">
        <f>E24*F13%</f>
        <v>240.63401999999999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v>85</v>
      </c>
      <c r="H14" s="182">
        <f>+H31</f>
        <v>23.853211009174313</v>
      </c>
      <c r="I14" s="181">
        <f>E24*F14%</f>
        <v>160.42267999999999</v>
      </c>
    </row>
    <row r="15" spans="1:9">
      <c r="A15" s="120" t="s">
        <v>284</v>
      </c>
      <c r="B15" s="120"/>
      <c r="C15" s="120"/>
      <c r="D15" s="120"/>
      <c r="E15" s="120"/>
      <c r="F15" s="120">
        <f>VLOOKUP(I4,AVANCEVENDEDOR!A2:R34,16,0)</f>
        <v>23.853211009174313</v>
      </c>
      <c r="G15" s="120">
        <f>VLOOKUP(I4,AVANCEVENDEDOR!A2:R34,17,0)</f>
        <v>0</v>
      </c>
      <c r="H15" s="182">
        <f>VLOOKUP(I4,AVANCEVENDEDOR!A2:R34,18,0)</f>
        <v>0</v>
      </c>
      <c r="I15" s="181">
        <v>0</v>
      </c>
    </row>
    <row r="16" spans="1:9">
      <c r="A16" s="120" t="s">
        <v>285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9">
      <c r="A17" s="120" t="s">
        <v>128</v>
      </c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0"/>
      <c r="B18" s="81"/>
      <c r="C18" s="81"/>
      <c r="D18" s="81"/>
      <c r="E18" s="81"/>
      <c r="F18" s="81"/>
      <c r="G18" s="81"/>
      <c r="H18" s="81"/>
      <c r="I18" s="82"/>
    </row>
    <row r="19" spans="1:9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9" ht="15.75">
      <c r="A20" s="184" t="s">
        <v>129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1752.1134</v>
      </c>
    </row>
    <row r="21" spans="1:9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>
      <c r="A22" s="121" t="s">
        <v>130</v>
      </c>
      <c r="B22" s="121"/>
      <c r="C22" s="121"/>
      <c r="D22" s="121"/>
      <c r="E22" s="121"/>
      <c r="F22" s="121"/>
      <c r="G22" s="121"/>
      <c r="H22" s="121"/>
      <c r="I22" s="121"/>
    </row>
    <row r="23" spans="1:9">
      <c r="A23" s="121"/>
      <c r="B23" s="121" t="s">
        <v>131</v>
      </c>
      <c r="C23" s="121"/>
      <c r="D23" s="121"/>
      <c r="E23" s="187">
        <f>VLOOKUP(I4,AVANCEVENDEDOR!A2:R34,7,0)</f>
        <v>113350</v>
      </c>
      <c r="F23" s="187"/>
      <c r="G23" s="121"/>
      <c r="H23" s="121"/>
      <c r="I23" s="121"/>
    </row>
    <row r="24" spans="1:9">
      <c r="A24" s="121"/>
      <c r="B24" s="121" t="s">
        <v>132</v>
      </c>
      <c r="C24" s="121"/>
      <c r="D24" s="121"/>
      <c r="E24" s="187">
        <f>VLOOKUP(I4,AVANCEVENDEDOR!A2:R34,6,0)-L24</f>
        <v>80211.34</v>
      </c>
      <c r="F24" s="187"/>
      <c r="G24" s="188" t="s">
        <v>133</v>
      </c>
      <c r="H24" s="187">
        <f>E24*100/E23</f>
        <v>70.764305249228059</v>
      </c>
      <c r="I24" s="121"/>
    </row>
    <row r="25" spans="1:9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9">
      <c r="A26" s="121"/>
      <c r="B26" s="121" t="s">
        <v>134</v>
      </c>
      <c r="C26" s="121"/>
      <c r="D26" s="121"/>
      <c r="E26" s="187">
        <f>VLOOKUP(I4,AVANCEVENDEDOR!A2:R34,10,0)</f>
        <v>123805.2</v>
      </c>
      <c r="F26" s="187"/>
      <c r="G26" s="188"/>
      <c r="H26" s="121"/>
      <c r="I26" s="121"/>
    </row>
    <row r="27" spans="1:9">
      <c r="A27" s="121"/>
      <c r="B27" s="121" t="s">
        <v>135</v>
      </c>
      <c r="C27" s="121"/>
      <c r="D27" s="121"/>
      <c r="E27" s="187">
        <f>VLOOKUP(I4,AVANCEVENDEDOR!A2:R34,11,0)</f>
        <v>30681.3</v>
      </c>
      <c r="F27" s="187"/>
      <c r="G27" s="188" t="s">
        <v>136</v>
      </c>
      <c r="H27" s="187">
        <f>E27*100/E26</f>
        <v>24.781915460739938</v>
      </c>
      <c r="I27" s="121"/>
    </row>
    <row r="28" spans="1:9">
      <c r="A28" s="121"/>
      <c r="B28" s="121" t="s">
        <v>137</v>
      </c>
      <c r="C28" s="121"/>
      <c r="D28" s="121"/>
      <c r="E28" s="187">
        <f>VLOOKUP(I4,AVANCEVENDEDOR!A2:R34,9,0)</f>
        <v>93200.03</v>
      </c>
      <c r="F28" s="187"/>
      <c r="G28" s="188"/>
      <c r="H28" s="121"/>
      <c r="I28" s="121"/>
    </row>
    <row r="29" spans="1:9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9">
      <c r="A30" s="121"/>
      <c r="B30" s="121" t="s">
        <v>280</v>
      </c>
      <c r="C30" s="121"/>
      <c r="D30" s="121"/>
      <c r="E30" s="187">
        <f>VLOOKUP(I4,AVANCEVENDEDOR!A2:R34,13,0)</f>
        <v>109</v>
      </c>
      <c r="F30" s="187"/>
      <c r="G30" s="121"/>
      <c r="H30" s="187"/>
      <c r="I30" s="121"/>
    </row>
    <row r="31" spans="1:9">
      <c r="A31" s="121"/>
      <c r="B31" s="121" t="s">
        <v>281</v>
      </c>
      <c r="C31" s="121"/>
      <c r="D31" s="121"/>
      <c r="E31" s="187">
        <f>VLOOKUP(I4,AVANCEVENDEDOR!A2:R34,14,0)</f>
        <v>26</v>
      </c>
      <c r="F31" s="187"/>
      <c r="G31" s="188" t="s">
        <v>140</v>
      </c>
      <c r="H31" s="187">
        <f>+E31*100/E30</f>
        <v>23.853211009174313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MK69"/>
  <sheetViews>
    <sheetView topLeftCell="A34" zoomScale="120" zoomScaleNormal="120" workbookViewId="0">
      <selection activeCell="L71" sqref="L71"/>
    </sheetView>
  </sheetViews>
  <sheetFormatPr baseColWidth="10" defaultColWidth="8.85546875" defaultRowHeight="15"/>
  <cols>
    <col min="1" max="1" width="10.28515625" style="29" customWidth="1"/>
    <col min="2" max="2" width="5.5703125" style="29" customWidth="1"/>
    <col min="3" max="3" width="3.42578125" style="29" customWidth="1"/>
    <col min="4" max="4" width="5.42578125" style="29" customWidth="1"/>
    <col min="5" max="5" width="7" style="29" customWidth="1"/>
    <col min="6" max="6" width="6" style="29" customWidth="1"/>
    <col min="7" max="7" width="5.5703125" style="29" customWidth="1"/>
    <col min="8" max="8" width="9" style="29" customWidth="1"/>
    <col min="9" max="9" width="7.42578125" style="29" customWidth="1"/>
    <col min="10" max="10" width="7.5703125" style="29" customWidth="1"/>
    <col min="11" max="11" width="15.42578125" style="29" customWidth="1"/>
    <col min="12" max="1019" width="5.5703125" style="29" customWidth="1"/>
    <col min="1020" max="1025" width="9.140625" style="29" customWidth="1"/>
  </cols>
  <sheetData>
    <row r="2" spans="1:10">
      <c r="A2" s="202" t="str">
        <f t="shared" ref="A2:A33" si="0">+CONCATENATE(B2,C2,"_",E2,D2)</f>
        <v>20142_1645</v>
      </c>
      <c r="B2" s="202">
        <v>2014</v>
      </c>
      <c r="C2" s="202">
        <v>2</v>
      </c>
      <c r="D2" s="202" t="s">
        <v>295</v>
      </c>
      <c r="E2" s="202">
        <v>16</v>
      </c>
      <c r="F2" s="202" t="s">
        <v>296</v>
      </c>
      <c r="G2" s="202"/>
      <c r="H2" s="202">
        <v>13000</v>
      </c>
      <c r="I2" s="202">
        <v>7335.9</v>
      </c>
      <c r="J2" s="203">
        <f>+I2*100/H2</f>
        <v>56.43</v>
      </c>
    </row>
    <row r="3" spans="1:10">
      <c r="A3" s="202" t="str">
        <f t="shared" si="0"/>
        <v>20142_1683</v>
      </c>
      <c r="B3" s="202">
        <v>2014</v>
      </c>
      <c r="C3" s="202">
        <v>2</v>
      </c>
      <c r="D3" s="202" t="s">
        <v>297</v>
      </c>
      <c r="E3" s="202">
        <v>16</v>
      </c>
      <c r="F3" s="202" t="s">
        <v>296</v>
      </c>
      <c r="G3" s="202"/>
      <c r="H3" s="202">
        <v>5000</v>
      </c>
      <c r="I3" s="202">
        <v>5637.17</v>
      </c>
      <c r="J3" s="203">
        <f>+I3*100/H3</f>
        <v>112.74339999999999</v>
      </c>
    </row>
    <row r="4" spans="1:10">
      <c r="A4" s="202" t="str">
        <f t="shared" si="0"/>
        <v>20142_16ISA</v>
      </c>
      <c r="B4" s="202">
        <v>2014</v>
      </c>
      <c r="C4" s="202">
        <v>2</v>
      </c>
      <c r="D4" s="202" t="s">
        <v>298</v>
      </c>
      <c r="E4" s="202">
        <v>16</v>
      </c>
      <c r="F4" s="202" t="s">
        <v>296</v>
      </c>
      <c r="G4" s="202"/>
      <c r="H4" s="202">
        <v>0</v>
      </c>
      <c r="I4" s="202">
        <v>0</v>
      </c>
      <c r="J4" s="203">
        <v>0</v>
      </c>
    </row>
    <row r="5" spans="1:10">
      <c r="A5" s="202" t="str">
        <f t="shared" si="0"/>
        <v>20142_16ME</v>
      </c>
      <c r="B5" s="202">
        <v>2014</v>
      </c>
      <c r="C5" s="202">
        <v>2</v>
      </c>
      <c r="D5" s="202" t="s">
        <v>267</v>
      </c>
      <c r="E5" s="202">
        <v>16</v>
      </c>
      <c r="F5" s="202" t="s">
        <v>296</v>
      </c>
      <c r="G5" s="202"/>
      <c r="H5" s="202" t="e">
        <f>#REF!+#REF!+#REF!</f>
        <v>#REF!</v>
      </c>
      <c r="I5" s="202" t="e">
        <f>#REF!+#REF!+#REF!</f>
        <v>#REF!</v>
      </c>
      <c r="J5" s="203" t="e">
        <f>+I5*100/H5</f>
        <v>#REF!</v>
      </c>
    </row>
    <row r="6" spans="1:10">
      <c r="A6" s="204" t="str">
        <f t="shared" si="0"/>
        <v>20142_1745</v>
      </c>
      <c r="B6" s="204">
        <v>2014</v>
      </c>
      <c r="C6" s="204">
        <v>2</v>
      </c>
      <c r="D6" s="204" t="s">
        <v>295</v>
      </c>
      <c r="E6" s="204">
        <v>17</v>
      </c>
      <c r="F6" s="204" t="s">
        <v>299</v>
      </c>
      <c r="G6" s="204"/>
      <c r="H6" s="204">
        <v>6500</v>
      </c>
      <c r="I6" s="204">
        <v>1827.23</v>
      </c>
      <c r="J6" s="205">
        <f>+I6*100/H6</f>
        <v>28.111230769230769</v>
      </c>
    </row>
    <row r="7" spans="1:10">
      <c r="A7" s="204" t="str">
        <f t="shared" si="0"/>
        <v>20142_1783</v>
      </c>
      <c r="B7" s="204">
        <v>2014</v>
      </c>
      <c r="C7" s="204">
        <v>2</v>
      </c>
      <c r="D7" s="204" t="s">
        <v>297</v>
      </c>
      <c r="E7" s="204">
        <v>17</v>
      </c>
      <c r="F7" s="204" t="s">
        <v>299</v>
      </c>
      <c r="G7" s="204"/>
      <c r="H7" s="204">
        <v>5000</v>
      </c>
      <c r="I7" s="204">
        <v>46669.18</v>
      </c>
      <c r="J7" s="205">
        <f>+I7*100/H7</f>
        <v>933.3836</v>
      </c>
    </row>
    <row r="8" spans="1:10">
      <c r="A8" s="204" t="str">
        <f t="shared" si="0"/>
        <v>20142_17ISA</v>
      </c>
      <c r="B8" s="204">
        <v>2014</v>
      </c>
      <c r="C8" s="204">
        <v>2</v>
      </c>
      <c r="D8" s="204" t="s">
        <v>298</v>
      </c>
      <c r="E8" s="204">
        <v>17</v>
      </c>
      <c r="F8" s="204" t="s">
        <v>299</v>
      </c>
      <c r="G8" s="204"/>
      <c r="H8" s="204">
        <v>0</v>
      </c>
      <c r="I8" s="204">
        <v>0</v>
      </c>
      <c r="J8" s="205">
        <v>0</v>
      </c>
    </row>
    <row r="9" spans="1:10">
      <c r="A9" s="204" t="str">
        <f t="shared" si="0"/>
        <v>20142_17ME</v>
      </c>
      <c r="B9" s="204">
        <v>2014</v>
      </c>
      <c r="C9" s="204">
        <v>2</v>
      </c>
      <c r="D9" s="204" t="s">
        <v>267</v>
      </c>
      <c r="E9" s="204">
        <v>17</v>
      </c>
      <c r="F9" s="204" t="s">
        <v>299</v>
      </c>
      <c r="G9" s="204"/>
      <c r="H9" s="202" t="e">
        <f>#REF!+#REF!+#REF!</f>
        <v>#REF!</v>
      </c>
      <c r="I9" s="202" t="e">
        <f>#REF!+#REF!+#REF!</f>
        <v>#REF!</v>
      </c>
      <c r="J9" s="203" t="e">
        <f>+I9*100/H9</f>
        <v>#REF!</v>
      </c>
    </row>
    <row r="10" spans="1:10">
      <c r="A10" s="206" t="str">
        <f t="shared" si="0"/>
        <v>20142_1845</v>
      </c>
      <c r="B10" s="206">
        <v>2014</v>
      </c>
      <c r="C10" s="206">
        <v>2</v>
      </c>
      <c r="D10" s="206" t="s">
        <v>295</v>
      </c>
      <c r="E10" s="206">
        <v>18</v>
      </c>
      <c r="F10" s="206" t="s">
        <v>300</v>
      </c>
      <c r="G10" s="206"/>
      <c r="H10" s="206">
        <v>28000</v>
      </c>
      <c r="I10" s="206">
        <v>13117.52</v>
      </c>
      <c r="J10" s="207">
        <f>+I10*100/H10</f>
        <v>46.848285714285716</v>
      </c>
    </row>
    <row r="11" spans="1:10">
      <c r="A11" s="206" t="str">
        <f t="shared" si="0"/>
        <v>20142_1883</v>
      </c>
      <c r="B11" s="206">
        <v>2014</v>
      </c>
      <c r="C11" s="206">
        <v>2</v>
      </c>
      <c r="D11" s="206" t="s">
        <v>297</v>
      </c>
      <c r="E11" s="206">
        <v>18</v>
      </c>
      <c r="F11" s="206" t="s">
        <v>300</v>
      </c>
      <c r="G11" s="206"/>
      <c r="H11" s="206">
        <v>8000</v>
      </c>
      <c r="I11" s="206">
        <v>7513</v>
      </c>
      <c r="J11" s="207">
        <f>+I11*100/H11</f>
        <v>93.912499999999994</v>
      </c>
    </row>
    <row r="12" spans="1:10">
      <c r="A12" s="206" t="str">
        <f t="shared" si="0"/>
        <v>20142_18ISA</v>
      </c>
      <c r="B12" s="206">
        <v>2014</v>
      </c>
      <c r="C12" s="206">
        <v>2</v>
      </c>
      <c r="D12" s="206" t="s">
        <v>298</v>
      </c>
      <c r="E12" s="206">
        <v>18</v>
      </c>
      <c r="F12" s="206" t="s">
        <v>300</v>
      </c>
      <c r="G12" s="206"/>
      <c r="H12" s="206">
        <v>0</v>
      </c>
      <c r="I12" s="206">
        <v>0</v>
      </c>
      <c r="J12" s="207">
        <v>0</v>
      </c>
    </row>
    <row r="13" spans="1:10">
      <c r="A13" s="206" t="str">
        <f t="shared" si="0"/>
        <v>20142_18ME</v>
      </c>
      <c r="B13" s="206">
        <v>2014</v>
      </c>
      <c r="C13" s="206">
        <v>2</v>
      </c>
      <c r="D13" s="206" t="s">
        <v>267</v>
      </c>
      <c r="E13" s="206">
        <v>18</v>
      </c>
      <c r="F13" s="206" t="s">
        <v>300</v>
      </c>
      <c r="G13" s="206"/>
      <c r="H13" s="202" t="e">
        <f>#REF!+#REF!+#REF!</f>
        <v>#REF!</v>
      </c>
      <c r="I13" s="202" t="e">
        <f>#REF!+#REF!+#REF!</f>
        <v>#REF!</v>
      </c>
      <c r="J13" s="203" t="e">
        <f>+I13*100/H13</f>
        <v>#REF!</v>
      </c>
    </row>
    <row r="14" spans="1:10">
      <c r="A14" s="204" t="str">
        <f t="shared" si="0"/>
        <v>20142_1445</v>
      </c>
      <c r="B14" s="204">
        <v>2014</v>
      </c>
      <c r="C14" s="204">
        <v>2</v>
      </c>
      <c r="D14" s="204" t="s">
        <v>295</v>
      </c>
      <c r="E14" s="204">
        <v>14</v>
      </c>
      <c r="F14" s="204" t="s">
        <v>301</v>
      </c>
      <c r="G14" s="204"/>
      <c r="H14" s="204">
        <v>2000</v>
      </c>
      <c r="I14" s="204">
        <v>4685.41</v>
      </c>
      <c r="J14" s="205">
        <f>+I14*100/H14</f>
        <v>234.2705</v>
      </c>
    </row>
    <row r="15" spans="1:10">
      <c r="A15" s="204" t="str">
        <f t="shared" si="0"/>
        <v>20142_1483</v>
      </c>
      <c r="B15" s="204">
        <v>2014</v>
      </c>
      <c r="C15" s="204">
        <v>2</v>
      </c>
      <c r="D15" s="204" t="s">
        <v>297</v>
      </c>
      <c r="E15" s="204">
        <v>14</v>
      </c>
      <c r="F15" s="204" t="s">
        <v>301</v>
      </c>
      <c r="G15" s="204"/>
      <c r="H15" s="204">
        <v>2500</v>
      </c>
      <c r="I15" s="204">
        <v>7136.32</v>
      </c>
      <c r="J15" s="205">
        <f>+I15*100/H15</f>
        <v>285.45280000000002</v>
      </c>
    </row>
    <row r="16" spans="1:10">
      <c r="A16" s="204" t="str">
        <f t="shared" si="0"/>
        <v>20142_14ISA</v>
      </c>
      <c r="B16" s="204">
        <v>2014</v>
      </c>
      <c r="C16" s="204">
        <v>2</v>
      </c>
      <c r="D16" s="204" t="s">
        <v>298</v>
      </c>
      <c r="E16" s="204">
        <v>14</v>
      </c>
      <c r="F16" s="204" t="s">
        <v>301</v>
      </c>
      <c r="G16" s="204"/>
      <c r="H16" s="204">
        <v>0</v>
      </c>
      <c r="I16" s="204">
        <v>0</v>
      </c>
      <c r="J16" s="205">
        <v>0</v>
      </c>
    </row>
    <row r="17" spans="1:10">
      <c r="A17" s="204" t="str">
        <f t="shared" si="0"/>
        <v>20142_14ME</v>
      </c>
      <c r="B17" s="204">
        <v>2014</v>
      </c>
      <c r="C17" s="204">
        <v>2</v>
      </c>
      <c r="D17" s="204" t="s">
        <v>267</v>
      </c>
      <c r="E17" s="204">
        <v>14</v>
      </c>
      <c r="F17" s="204" t="s">
        <v>301</v>
      </c>
      <c r="G17" s="204"/>
      <c r="H17" s="202" t="e">
        <f>#REF!+#REF!+#REF!</f>
        <v>#REF!</v>
      </c>
      <c r="I17" s="202" t="e">
        <f>#REF!+#REF!+#REF!</f>
        <v>#REF!</v>
      </c>
      <c r="J17" s="203" t="e">
        <f>+I17*100/H17</f>
        <v>#REF!</v>
      </c>
    </row>
    <row r="18" spans="1:10">
      <c r="A18" s="163" t="str">
        <f t="shared" si="0"/>
        <v>20142_1945</v>
      </c>
      <c r="B18" s="163">
        <v>2014</v>
      </c>
      <c r="C18" s="163">
        <v>2</v>
      </c>
      <c r="D18" s="163" t="s">
        <v>295</v>
      </c>
      <c r="E18" s="163">
        <v>19</v>
      </c>
      <c r="F18" s="163" t="s">
        <v>302</v>
      </c>
      <c r="G18" s="163"/>
      <c r="H18" s="163">
        <v>12500</v>
      </c>
      <c r="I18" s="163">
        <v>6944.32</v>
      </c>
      <c r="J18" s="166">
        <f>+I18*100/H18</f>
        <v>55.554560000000002</v>
      </c>
    </row>
    <row r="19" spans="1:10">
      <c r="A19" s="163" t="str">
        <f t="shared" si="0"/>
        <v>20142_1983</v>
      </c>
      <c r="B19" s="163">
        <v>2014</v>
      </c>
      <c r="C19" s="163">
        <v>2</v>
      </c>
      <c r="D19" s="163" t="s">
        <v>297</v>
      </c>
      <c r="E19" s="163">
        <v>19</v>
      </c>
      <c r="F19" s="163" t="s">
        <v>302</v>
      </c>
      <c r="G19" s="163"/>
      <c r="H19" s="163">
        <v>5000</v>
      </c>
      <c r="I19" s="163">
        <v>1908.08</v>
      </c>
      <c r="J19" s="166">
        <f>+I19*100/H19</f>
        <v>38.1616</v>
      </c>
    </row>
    <row r="20" spans="1:10">
      <c r="A20" s="163" t="str">
        <f t="shared" si="0"/>
        <v>20142_19ISA</v>
      </c>
      <c r="B20" s="163">
        <v>2014</v>
      </c>
      <c r="C20" s="163">
        <v>2</v>
      </c>
      <c r="D20" s="163" t="s">
        <v>298</v>
      </c>
      <c r="E20" s="163">
        <v>19</v>
      </c>
      <c r="F20" s="163" t="s">
        <v>302</v>
      </c>
      <c r="G20" s="163"/>
      <c r="H20" s="163">
        <v>0</v>
      </c>
      <c r="I20" s="163">
        <v>0</v>
      </c>
      <c r="J20" s="166">
        <v>0</v>
      </c>
    </row>
    <row r="21" spans="1:10">
      <c r="A21" s="163" t="str">
        <f t="shared" si="0"/>
        <v>20142_19ME</v>
      </c>
      <c r="B21" s="163">
        <v>2014</v>
      </c>
      <c r="C21" s="163">
        <v>2</v>
      </c>
      <c r="D21" s="163" t="s">
        <v>267</v>
      </c>
      <c r="E21" s="163">
        <v>19</v>
      </c>
      <c r="F21" s="163" t="s">
        <v>302</v>
      </c>
      <c r="G21" s="163"/>
      <c r="H21" s="202" t="e">
        <f>#REF!+#REF!+#REF!</f>
        <v>#REF!</v>
      </c>
      <c r="I21" s="202" t="e">
        <f>#REF!+#REF!+#REF!</f>
        <v>#REF!</v>
      </c>
      <c r="J21" s="203" t="e">
        <f>+I21*100/H21</f>
        <v>#REF!</v>
      </c>
    </row>
    <row r="22" spans="1:10">
      <c r="A22" s="204" t="str">
        <f t="shared" si="0"/>
        <v>20142_1545</v>
      </c>
      <c r="B22" s="204">
        <v>2014</v>
      </c>
      <c r="C22" s="204">
        <v>2</v>
      </c>
      <c r="D22" s="204" t="s">
        <v>295</v>
      </c>
      <c r="E22" s="204">
        <v>15</v>
      </c>
      <c r="F22" s="204" t="s">
        <v>303</v>
      </c>
      <c r="G22" s="204"/>
      <c r="H22" s="204">
        <v>2000</v>
      </c>
      <c r="I22" s="204">
        <v>1980.32</v>
      </c>
      <c r="J22" s="205">
        <f>+I22*100/H22</f>
        <v>99.016000000000005</v>
      </c>
    </row>
    <row r="23" spans="1:10">
      <c r="A23" s="204" t="str">
        <f t="shared" si="0"/>
        <v>20142_1583</v>
      </c>
      <c r="B23" s="204">
        <v>2014</v>
      </c>
      <c r="C23" s="204">
        <v>2</v>
      </c>
      <c r="D23" s="204" t="s">
        <v>297</v>
      </c>
      <c r="E23" s="204">
        <v>15</v>
      </c>
      <c r="F23" s="204" t="s">
        <v>303</v>
      </c>
      <c r="G23" s="204"/>
      <c r="H23" s="204">
        <v>5000</v>
      </c>
      <c r="I23" s="204">
        <v>7067.07</v>
      </c>
      <c r="J23" s="205">
        <f>+I23*100/H23</f>
        <v>141.34139999999999</v>
      </c>
    </row>
    <row r="24" spans="1:10">
      <c r="A24" s="204" t="str">
        <f t="shared" si="0"/>
        <v>20142_15ISA</v>
      </c>
      <c r="B24" s="204">
        <v>2014</v>
      </c>
      <c r="C24" s="204">
        <v>2</v>
      </c>
      <c r="D24" s="204" t="s">
        <v>298</v>
      </c>
      <c r="E24" s="204">
        <v>15</v>
      </c>
      <c r="F24" s="204" t="s">
        <v>303</v>
      </c>
      <c r="G24" s="204"/>
      <c r="H24" s="204">
        <v>0</v>
      </c>
      <c r="I24" s="204">
        <v>0</v>
      </c>
      <c r="J24" s="205">
        <v>0</v>
      </c>
    </row>
    <row r="25" spans="1:10">
      <c r="A25" s="204" t="str">
        <f t="shared" si="0"/>
        <v>20142_15ME</v>
      </c>
      <c r="B25" s="204">
        <v>2014</v>
      </c>
      <c r="C25" s="204">
        <v>2</v>
      </c>
      <c r="D25" s="204" t="s">
        <v>267</v>
      </c>
      <c r="E25" s="204">
        <v>15</v>
      </c>
      <c r="F25" s="204" t="s">
        <v>303</v>
      </c>
      <c r="G25" s="204"/>
      <c r="H25" s="202" t="e">
        <f>#REF!+#REF!+#REF!</f>
        <v>#REF!</v>
      </c>
      <c r="I25" s="202" t="e">
        <f>#REF!+#REF!+#REF!</f>
        <v>#REF!</v>
      </c>
      <c r="J25" s="203" t="e">
        <f>+I25*100/H25</f>
        <v>#REF!</v>
      </c>
    </row>
    <row r="26" spans="1:10">
      <c r="A26" s="208" t="str">
        <f t="shared" si="0"/>
        <v>20143_1645</v>
      </c>
      <c r="B26" s="208">
        <v>2014</v>
      </c>
      <c r="C26" s="208">
        <v>3</v>
      </c>
      <c r="D26" s="208" t="s">
        <v>295</v>
      </c>
      <c r="E26" s="208">
        <v>16</v>
      </c>
      <c r="F26" s="208" t="s">
        <v>296</v>
      </c>
      <c r="G26" s="208"/>
      <c r="H26" s="208">
        <v>2000</v>
      </c>
      <c r="I26" s="208">
        <v>607.74</v>
      </c>
      <c r="J26" s="209">
        <f>+I26*100/H26</f>
        <v>30.387</v>
      </c>
    </row>
    <row r="27" spans="1:10">
      <c r="A27" s="208" t="str">
        <f t="shared" si="0"/>
        <v>20143_1683</v>
      </c>
      <c r="B27" s="208">
        <v>2014</v>
      </c>
      <c r="C27" s="208">
        <v>3</v>
      </c>
      <c r="D27" s="208" t="s">
        <v>297</v>
      </c>
      <c r="E27" s="208">
        <v>16</v>
      </c>
      <c r="F27" s="208" t="s">
        <v>296</v>
      </c>
      <c r="G27" s="208"/>
      <c r="H27" s="208">
        <v>3000</v>
      </c>
      <c r="I27" s="208">
        <v>19328.39</v>
      </c>
      <c r="J27" s="209">
        <f>+I27*100/H27</f>
        <v>644.27966666666669</v>
      </c>
    </row>
    <row r="28" spans="1:10">
      <c r="A28" s="208" t="str">
        <f t="shared" si="0"/>
        <v>20143_16ISA</v>
      </c>
      <c r="B28" s="208">
        <v>2014</v>
      </c>
      <c r="C28" s="208">
        <v>3</v>
      </c>
      <c r="D28" s="208" t="s">
        <v>298</v>
      </c>
      <c r="E28" s="208">
        <v>16</v>
      </c>
      <c r="F28" s="208" t="s">
        <v>296</v>
      </c>
      <c r="G28" s="208"/>
      <c r="H28" s="208">
        <v>0</v>
      </c>
      <c r="I28" s="208">
        <v>0</v>
      </c>
      <c r="J28" s="209">
        <v>0</v>
      </c>
    </row>
    <row r="29" spans="1:10">
      <c r="A29" s="208" t="str">
        <f t="shared" si="0"/>
        <v>20143_16ME</v>
      </c>
      <c r="B29" s="208">
        <v>2014</v>
      </c>
      <c r="C29" s="208">
        <v>3</v>
      </c>
      <c r="D29" s="208" t="s">
        <v>267</v>
      </c>
      <c r="E29" s="208">
        <v>16</v>
      </c>
      <c r="F29" s="208" t="s">
        <v>296</v>
      </c>
      <c r="G29" s="208"/>
      <c r="H29" s="208" t="e">
        <f>#REF!+#REF!+#REF!</f>
        <v>#REF!</v>
      </c>
      <c r="I29" s="208" t="e">
        <f>#REF!+#REF!+#REF!</f>
        <v>#REF!</v>
      </c>
      <c r="J29" s="209" t="e">
        <f>+I29*100/H29</f>
        <v>#REF!</v>
      </c>
    </row>
    <row r="30" spans="1:10">
      <c r="A30" s="210" t="str">
        <f t="shared" si="0"/>
        <v>20143_1745</v>
      </c>
      <c r="B30" s="210">
        <v>2014</v>
      </c>
      <c r="C30" s="210">
        <v>3</v>
      </c>
      <c r="D30" s="210" t="s">
        <v>295</v>
      </c>
      <c r="E30" s="210">
        <v>17</v>
      </c>
      <c r="F30" s="210" t="s">
        <v>299</v>
      </c>
      <c r="G30" s="210"/>
      <c r="H30" s="210">
        <v>2000</v>
      </c>
      <c r="I30" s="210">
        <v>176.33</v>
      </c>
      <c r="J30" s="211">
        <f>+I30*100/H30</f>
        <v>8.8164999999999996</v>
      </c>
    </row>
    <row r="31" spans="1:10">
      <c r="A31" s="210" t="str">
        <f t="shared" si="0"/>
        <v>20143_1783</v>
      </c>
      <c r="B31" s="210">
        <v>2014</v>
      </c>
      <c r="C31" s="210">
        <v>3</v>
      </c>
      <c r="D31" s="210" t="s">
        <v>297</v>
      </c>
      <c r="E31" s="210">
        <v>17</v>
      </c>
      <c r="F31" s="210" t="s">
        <v>299</v>
      </c>
      <c r="G31" s="210"/>
      <c r="H31" s="210">
        <v>3000</v>
      </c>
      <c r="I31" s="210">
        <v>7411.09</v>
      </c>
      <c r="J31" s="211">
        <f>+I31*100/H31</f>
        <v>247.03633333333335</v>
      </c>
    </row>
    <row r="32" spans="1:10">
      <c r="A32" s="210" t="str">
        <f t="shared" si="0"/>
        <v>20143_17ISA</v>
      </c>
      <c r="B32" s="210">
        <v>2014</v>
      </c>
      <c r="C32" s="210">
        <v>3</v>
      </c>
      <c r="D32" s="210" t="s">
        <v>298</v>
      </c>
      <c r="E32" s="210">
        <v>17</v>
      </c>
      <c r="F32" s="210" t="s">
        <v>299</v>
      </c>
      <c r="G32" s="210"/>
      <c r="H32" s="210">
        <v>0</v>
      </c>
      <c r="I32" s="210">
        <v>0</v>
      </c>
      <c r="J32" s="211">
        <v>0</v>
      </c>
    </row>
    <row r="33" spans="1:10">
      <c r="A33" s="210" t="str">
        <f t="shared" si="0"/>
        <v>20143_17ME</v>
      </c>
      <c r="B33" s="210">
        <v>2014</v>
      </c>
      <c r="C33" s="210">
        <v>3</v>
      </c>
      <c r="D33" s="210" t="s">
        <v>267</v>
      </c>
      <c r="E33" s="210">
        <v>17</v>
      </c>
      <c r="F33" s="210" t="s">
        <v>299</v>
      </c>
      <c r="G33" s="210"/>
      <c r="H33" s="210" t="e">
        <f>#REF!+#REF!+#REF!</f>
        <v>#REF!</v>
      </c>
      <c r="I33" s="210" t="e">
        <f>#REF!+#REF!+#REF!</f>
        <v>#REF!</v>
      </c>
      <c r="J33" s="211" t="e">
        <f>+I33*100/H33</f>
        <v>#REF!</v>
      </c>
    </row>
    <row r="34" spans="1:10">
      <c r="A34" s="208" t="str">
        <f t="shared" ref="A34:A65" si="1">+CONCATENATE(B34,C34,"_",E34,D34)</f>
        <v>20143_1845</v>
      </c>
      <c r="B34" s="208">
        <v>2014</v>
      </c>
      <c r="C34" s="208">
        <v>3</v>
      </c>
      <c r="D34" s="208" t="s">
        <v>295</v>
      </c>
      <c r="E34" s="208">
        <v>18</v>
      </c>
      <c r="F34" s="208" t="s">
        <v>300</v>
      </c>
      <c r="G34" s="208"/>
      <c r="H34" s="208">
        <v>10000</v>
      </c>
      <c r="I34" s="208">
        <v>1099.74</v>
      </c>
      <c r="J34" s="209">
        <f>+I34*100/H34</f>
        <v>10.997400000000001</v>
      </c>
    </row>
    <row r="35" spans="1:10">
      <c r="A35" s="208" t="str">
        <f t="shared" si="1"/>
        <v>20143_1883</v>
      </c>
      <c r="B35" s="208">
        <v>2014</v>
      </c>
      <c r="C35" s="208">
        <v>3</v>
      </c>
      <c r="D35" s="208" t="s">
        <v>297</v>
      </c>
      <c r="E35" s="208">
        <v>18</v>
      </c>
      <c r="F35" s="208" t="s">
        <v>300</v>
      </c>
      <c r="G35" s="208"/>
      <c r="H35" s="208">
        <v>10000</v>
      </c>
      <c r="I35" s="208">
        <v>35663.06</v>
      </c>
      <c r="J35" s="209">
        <f>+I35*100/H35</f>
        <v>356.63060000000002</v>
      </c>
    </row>
    <row r="36" spans="1:10">
      <c r="A36" s="208" t="str">
        <f t="shared" si="1"/>
        <v>20143_18ISA</v>
      </c>
      <c r="B36" s="208">
        <v>2014</v>
      </c>
      <c r="C36" s="208">
        <v>3</v>
      </c>
      <c r="D36" s="208" t="s">
        <v>298</v>
      </c>
      <c r="E36" s="208">
        <v>18</v>
      </c>
      <c r="F36" s="208" t="s">
        <v>300</v>
      </c>
      <c r="G36" s="208"/>
      <c r="H36" s="208">
        <v>0</v>
      </c>
      <c r="I36" s="208">
        <v>0</v>
      </c>
      <c r="J36" s="209">
        <v>0</v>
      </c>
    </row>
    <row r="37" spans="1:10">
      <c r="A37" s="208" t="str">
        <f t="shared" si="1"/>
        <v>20143_18ME</v>
      </c>
      <c r="B37" s="208">
        <v>2014</v>
      </c>
      <c r="C37" s="208">
        <v>3</v>
      </c>
      <c r="D37" s="208" t="s">
        <v>267</v>
      </c>
      <c r="E37" s="208">
        <v>18</v>
      </c>
      <c r="F37" s="208" t="s">
        <v>300</v>
      </c>
      <c r="G37" s="208"/>
      <c r="H37" s="208" t="e">
        <f>#REF!+#REF!+#REF!</f>
        <v>#REF!</v>
      </c>
      <c r="I37" s="208" t="e">
        <f>#REF!+#REF!+#REF!</f>
        <v>#REF!</v>
      </c>
      <c r="J37" s="209" t="e">
        <f>+I37*100/H37</f>
        <v>#REF!</v>
      </c>
    </row>
    <row r="38" spans="1:10">
      <c r="A38" s="210" t="str">
        <f t="shared" si="1"/>
        <v>20143_3045</v>
      </c>
      <c r="B38" s="210">
        <v>2014</v>
      </c>
      <c r="C38" s="210">
        <v>3</v>
      </c>
      <c r="D38" s="210" t="s">
        <v>295</v>
      </c>
      <c r="E38" s="210">
        <v>30</v>
      </c>
      <c r="F38" s="210" t="s">
        <v>301</v>
      </c>
      <c r="G38" s="210"/>
      <c r="H38" s="210">
        <v>3500</v>
      </c>
      <c r="I38" s="210">
        <v>0</v>
      </c>
      <c r="J38" s="211">
        <f>+I38*100/H38</f>
        <v>0</v>
      </c>
    </row>
    <row r="39" spans="1:10">
      <c r="A39" s="210" t="str">
        <f t="shared" si="1"/>
        <v>20143_3083</v>
      </c>
      <c r="B39" s="210">
        <v>2014</v>
      </c>
      <c r="C39" s="210">
        <v>3</v>
      </c>
      <c r="D39" s="210" t="s">
        <v>297</v>
      </c>
      <c r="E39" s="210">
        <v>30</v>
      </c>
      <c r="F39" s="210" t="s">
        <v>301</v>
      </c>
      <c r="G39" s="210"/>
      <c r="H39" s="210">
        <v>4000</v>
      </c>
      <c r="I39" s="210">
        <v>21987.91</v>
      </c>
      <c r="J39" s="211">
        <f>+I39*100/H39</f>
        <v>549.69775000000004</v>
      </c>
    </row>
    <row r="40" spans="1:10">
      <c r="A40" s="210" t="str">
        <f t="shared" si="1"/>
        <v>20143_30ISA</v>
      </c>
      <c r="B40" s="210">
        <v>2014</v>
      </c>
      <c r="C40" s="210">
        <v>3</v>
      </c>
      <c r="D40" s="210" t="s">
        <v>298</v>
      </c>
      <c r="E40" s="210">
        <v>30</v>
      </c>
      <c r="F40" s="210" t="s">
        <v>301</v>
      </c>
      <c r="G40" s="210"/>
      <c r="H40" s="210">
        <v>0</v>
      </c>
      <c r="I40" s="210">
        <v>0</v>
      </c>
      <c r="J40" s="211">
        <v>0</v>
      </c>
    </row>
    <row r="41" spans="1:10">
      <c r="A41" s="210" t="str">
        <f t="shared" si="1"/>
        <v>20143_30ME</v>
      </c>
      <c r="B41" s="210">
        <v>2014</v>
      </c>
      <c r="C41" s="210">
        <v>3</v>
      </c>
      <c r="D41" s="210" t="s">
        <v>267</v>
      </c>
      <c r="E41" s="210">
        <v>30</v>
      </c>
      <c r="F41" s="210" t="s">
        <v>301</v>
      </c>
      <c r="G41" s="210"/>
      <c r="H41" s="210" t="e">
        <f>#REF!+#REF!+#REF!</f>
        <v>#REF!</v>
      </c>
      <c r="I41" s="210" t="e">
        <f>#REF!+#REF!+#REF!</f>
        <v>#REF!</v>
      </c>
      <c r="J41" s="211" t="e">
        <f>+I41*100/H41</f>
        <v>#REF!</v>
      </c>
    </row>
    <row r="42" spans="1:10">
      <c r="A42" s="208" t="str">
        <f t="shared" si="1"/>
        <v>20143_1945</v>
      </c>
      <c r="B42" s="208">
        <v>2014</v>
      </c>
      <c r="C42" s="208">
        <v>3</v>
      </c>
      <c r="D42" s="208" t="s">
        <v>295</v>
      </c>
      <c r="E42" s="208">
        <v>19</v>
      </c>
      <c r="F42" s="208" t="s">
        <v>302</v>
      </c>
      <c r="G42" s="208"/>
      <c r="H42" s="208">
        <v>6500</v>
      </c>
      <c r="I42" s="208">
        <v>2868.93</v>
      </c>
      <c r="J42" s="209">
        <f>+I42*100/H42</f>
        <v>44.137384615384619</v>
      </c>
    </row>
    <row r="43" spans="1:10">
      <c r="A43" s="208" t="str">
        <f t="shared" si="1"/>
        <v>20143_1983</v>
      </c>
      <c r="B43" s="208">
        <v>2014</v>
      </c>
      <c r="C43" s="208">
        <v>3</v>
      </c>
      <c r="D43" s="208" t="s">
        <v>297</v>
      </c>
      <c r="E43" s="208">
        <v>19</v>
      </c>
      <c r="F43" s="208" t="s">
        <v>302</v>
      </c>
      <c r="G43" s="208"/>
      <c r="H43" s="208">
        <v>6500</v>
      </c>
      <c r="I43" s="208">
        <v>6862.07</v>
      </c>
      <c r="J43" s="209">
        <f>+I43*100/H43</f>
        <v>105.57030769230769</v>
      </c>
    </row>
    <row r="44" spans="1:10">
      <c r="A44" s="208" t="str">
        <f t="shared" si="1"/>
        <v>20143_19ISA</v>
      </c>
      <c r="B44" s="208">
        <v>2014</v>
      </c>
      <c r="C44" s="208">
        <v>3</v>
      </c>
      <c r="D44" s="208" t="s">
        <v>298</v>
      </c>
      <c r="E44" s="208">
        <v>19</v>
      </c>
      <c r="F44" s="208" t="s">
        <v>302</v>
      </c>
      <c r="G44" s="208"/>
      <c r="H44" s="208">
        <v>0</v>
      </c>
      <c r="I44" s="208">
        <v>0</v>
      </c>
      <c r="J44" s="209">
        <v>0</v>
      </c>
    </row>
    <row r="45" spans="1:10">
      <c r="A45" s="208" t="str">
        <f t="shared" si="1"/>
        <v>20143_19ME</v>
      </c>
      <c r="B45" s="208">
        <v>2014</v>
      </c>
      <c r="C45" s="208">
        <v>3</v>
      </c>
      <c r="D45" s="208" t="s">
        <v>267</v>
      </c>
      <c r="E45" s="208">
        <v>19</v>
      </c>
      <c r="F45" s="208" t="s">
        <v>302</v>
      </c>
      <c r="G45" s="208"/>
      <c r="H45" s="208" t="e">
        <f>#REF!+#REF!+#REF!</f>
        <v>#REF!</v>
      </c>
      <c r="I45" s="208" t="e">
        <f>#REF!+#REF!+#REF!</f>
        <v>#REF!</v>
      </c>
      <c r="J45" s="209" t="e">
        <f>+I45*100/H45</f>
        <v>#REF!</v>
      </c>
    </row>
    <row r="46" spans="1:10">
      <c r="A46" s="210" t="str">
        <f t="shared" si="1"/>
        <v>20143_1545</v>
      </c>
      <c r="B46" s="210">
        <v>2014</v>
      </c>
      <c r="C46" s="210">
        <v>3</v>
      </c>
      <c r="D46" s="210" t="s">
        <v>295</v>
      </c>
      <c r="E46" s="210">
        <v>15</v>
      </c>
      <c r="F46" s="210" t="s">
        <v>303</v>
      </c>
      <c r="G46" s="210"/>
      <c r="H46" s="210">
        <v>2000</v>
      </c>
      <c r="I46" s="210">
        <v>772.03</v>
      </c>
      <c r="J46" s="211">
        <f>+I46*100/H46</f>
        <v>38.601500000000001</v>
      </c>
    </row>
    <row r="47" spans="1:10">
      <c r="A47" s="210" t="str">
        <f t="shared" si="1"/>
        <v>20143_1583</v>
      </c>
      <c r="B47" s="210">
        <v>2014</v>
      </c>
      <c r="C47" s="210">
        <v>3</v>
      </c>
      <c r="D47" s="210" t="s">
        <v>297</v>
      </c>
      <c r="E47" s="210">
        <v>15</v>
      </c>
      <c r="F47" s="210" t="s">
        <v>303</v>
      </c>
      <c r="G47" s="210"/>
      <c r="H47" s="210">
        <v>6500</v>
      </c>
      <c r="I47" s="210">
        <v>7728.86</v>
      </c>
      <c r="J47" s="211">
        <f>+I47*100/H47</f>
        <v>118.90553846153846</v>
      </c>
    </row>
    <row r="48" spans="1:10">
      <c r="A48" s="210" t="str">
        <f t="shared" si="1"/>
        <v>20143_15ISA</v>
      </c>
      <c r="B48" s="210">
        <v>2014</v>
      </c>
      <c r="C48" s="210">
        <v>3</v>
      </c>
      <c r="D48" s="210" t="s">
        <v>298</v>
      </c>
      <c r="E48" s="210">
        <v>15</v>
      </c>
      <c r="F48" s="210" t="s">
        <v>303</v>
      </c>
      <c r="G48" s="210"/>
      <c r="H48" s="210">
        <v>0</v>
      </c>
      <c r="I48" s="210">
        <v>0</v>
      </c>
      <c r="J48" s="211">
        <v>0</v>
      </c>
    </row>
    <row r="49" spans="1:17">
      <c r="A49" s="210" t="str">
        <f t="shared" si="1"/>
        <v>20143_15ME</v>
      </c>
      <c r="B49" s="210">
        <v>2014</v>
      </c>
      <c r="C49" s="210">
        <v>3</v>
      </c>
      <c r="D49" s="210" t="s">
        <v>267</v>
      </c>
      <c r="E49" s="210">
        <v>15</v>
      </c>
      <c r="F49" s="210" t="s">
        <v>303</v>
      </c>
      <c r="G49" s="210"/>
      <c r="H49" s="210" t="e">
        <f>#REF!+#REF!+#REF!</f>
        <v>#REF!</v>
      </c>
      <c r="I49" s="210" t="e">
        <f>#REF!+#REF!+#REF!</f>
        <v>#REF!</v>
      </c>
      <c r="J49" s="211" t="e">
        <f>+I49*100/H49</f>
        <v>#REF!</v>
      </c>
    </row>
    <row r="50" spans="1:17">
      <c r="A50" s="202" t="str">
        <f t="shared" si="1"/>
        <v>20152_16ME</v>
      </c>
      <c r="B50" s="202">
        <v>2015</v>
      </c>
      <c r="C50" s="202">
        <v>2</v>
      </c>
      <c r="D50" s="81" t="s">
        <v>267</v>
      </c>
      <c r="E50" s="202">
        <v>16</v>
      </c>
      <c r="F50" s="202" t="s">
        <v>296</v>
      </c>
      <c r="G50" s="202"/>
      <c r="H50" s="212"/>
      <c r="I50" s="212"/>
      <c r="J50" s="203">
        <v>0</v>
      </c>
      <c r="L50" s="29">
        <v>702.96</v>
      </c>
      <c r="M50" s="29">
        <v>26.16</v>
      </c>
    </row>
    <row r="51" spans="1:17">
      <c r="A51" s="202" t="str">
        <f t="shared" si="1"/>
        <v>20152_1645</v>
      </c>
      <c r="B51" s="202">
        <v>2015</v>
      </c>
      <c r="C51" s="202">
        <v>2</v>
      </c>
      <c r="D51" s="81" t="s">
        <v>295</v>
      </c>
      <c r="E51" s="202">
        <v>16</v>
      </c>
      <c r="F51" s="202" t="s">
        <v>296</v>
      </c>
      <c r="G51" s="202"/>
      <c r="H51" s="212"/>
      <c r="I51" s="212"/>
      <c r="J51" s="203" t="e">
        <f>+I51*100/H51</f>
        <v>#DIV/0!</v>
      </c>
      <c r="K51" s="213" t="s">
        <v>304</v>
      </c>
      <c r="L51" s="29" t="s">
        <v>305</v>
      </c>
    </row>
    <row r="52" spans="1:17">
      <c r="A52" s="202" t="str">
        <f t="shared" si="1"/>
        <v>20152_16EGO</v>
      </c>
      <c r="B52" s="202">
        <v>2015</v>
      </c>
      <c r="C52" s="202">
        <v>2</v>
      </c>
      <c r="D52" s="81" t="s">
        <v>159</v>
      </c>
      <c r="E52" s="202">
        <v>16</v>
      </c>
      <c r="F52" s="202" t="s">
        <v>296</v>
      </c>
      <c r="G52" s="202"/>
      <c r="H52" s="212"/>
      <c r="I52" s="212"/>
      <c r="J52" s="203">
        <v>0</v>
      </c>
    </row>
    <row r="53" spans="1:17">
      <c r="A53" s="202" t="str">
        <f t="shared" si="1"/>
        <v>20152_1683</v>
      </c>
      <c r="B53" s="202">
        <v>2015</v>
      </c>
      <c r="C53" s="202">
        <v>2</v>
      </c>
      <c r="D53" s="81" t="s">
        <v>297</v>
      </c>
      <c r="E53" s="202">
        <v>16</v>
      </c>
      <c r="F53" s="202" t="s">
        <v>296</v>
      </c>
      <c r="G53" s="202"/>
      <c r="H53" s="212"/>
      <c r="I53" s="212"/>
      <c r="J53" s="203" t="e">
        <f>+I53*100/H53</f>
        <v>#DIV/0!</v>
      </c>
    </row>
    <row r="54" spans="1:17">
      <c r="A54" s="158" t="str">
        <f t="shared" si="1"/>
        <v>20154_17ME</v>
      </c>
      <c r="B54" s="202">
        <v>2015</v>
      </c>
      <c r="C54" s="202">
        <v>4</v>
      </c>
      <c r="D54" s="81" t="s">
        <v>267</v>
      </c>
      <c r="E54" s="158">
        <v>17</v>
      </c>
      <c r="F54" s="158" t="s">
        <v>299</v>
      </c>
      <c r="G54" s="158"/>
      <c r="H54" s="214">
        <v>3500</v>
      </c>
      <c r="I54" s="214">
        <v>1252.2</v>
      </c>
      <c r="J54" s="161">
        <v>0</v>
      </c>
    </row>
    <row r="55" spans="1:17">
      <c r="A55" s="158" t="str">
        <f t="shared" si="1"/>
        <v>20154_1745</v>
      </c>
      <c r="B55" s="202">
        <v>2015</v>
      </c>
      <c r="C55" s="202">
        <v>4</v>
      </c>
      <c r="D55" s="81" t="s">
        <v>295</v>
      </c>
      <c r="E55" s="158">
        <v>17</v>
      </c>
      <c r="F55" s="158" t="s">
        <v>299</v>
      </c>
      <c r="G55" s="158"/>
      <c r="H55" s="214">
        <v>0</v>
      </c>
      <c r="I55" s="214">
        <v>0</v>
      </c>
      <c r="J55" s="161" t="e">
        <f>+I55*100/H55</f>
        <v>#DIV/0!</v>
      </c>
      <c r="K55" s="213" t="s">
        <v>306</v>
      </c>
      <c r="L55" s="29" t="s">
        <v>307</v>
      </c>
    </row>
    <row r="56" spans="1:17">
      <c r="A56" s="158" t="str">
        <f t="shared" si="1"/>
        <v>20154_17EGO</v>
      </c>
      <c r="B56" s="202">
        <v>2015</v>
      </c>
      <c r="C56" s="202">
        <v>4</v>
      </c>
      <c r="D56" s="81" t="s">
        <v>159</v>
      </c>
      <c r="E56" s="158">
        <v>17</v>
      </c>
      <c r="F56" s="158" t="s">
        <v>299</v>
      </c>
      <c r="G56" s="158"/>
      <c r="H56" s="178">
        <v>4000</v>
      </c>
      <c r="I56" s="178">
        <v>316.94</v>
      </c>
      <c r="J56" s="161">
        <v>0</v>
      </c>
    </row>
    <row r="57" spans="1:17">
      <c r="A57" s="158" t="str">
        <f t="shared" si="1"/>
        <v>20154_1783</v>
      </c>
      <c r="B57" s="202">
        <v>2015</v>
      </c>
      <c r="C57" s="202">
        <v>4</v>
      </c>
      <c r="D57" s="81" t="s">
        <v>297</v>
      </c>
      <c r="E57" s="158">
        <v>17</v>
      </c>
      <c r="F57" s="158" t="s">
        <v>299</v>
      </c>
      <c r="G57" s="158"/>
      <c r="H57" s="178">
        <v>10800</v>
      </c>
      <c r="I57" s="178">
        <v>7955.43</v>
      </c>
      <c r="J57" s="161">
        <f>+I57*100/H57</f>
        <v>73.661388888888894</v>
      </c>
    </row>
    <row r="58" spans="1:17">
      <c r="A58" s="215" t="str">
        <f t="shared" si="1"/>
        <v>20154_18ME</v>
      </c>
      <c r="B58" s="202">
        <v>2015</v>
      </c>
      <c r="C58" s="202">
        <v>4</v>
      </c>
      <c r="D58" s="81" t="s">
        <v>267</v>
      </c>
      <c r="E58" s="215">
        <v>18</v>
      </c>
      <c r="F58" s="215" t="s">
        <v>300</v>
      </c>
      <c r="G58" s="215"/>
      <c r="H58" s="214">
        <v>4000</v>
      </c>
      <c r="I58" s="214">
        <v>6159.03</v>
      </c>
      <c r="J58" s="216">
        <v>0</v>
      </c>
      <c r="N58" s="217">
        <v>1048.82</v>
      </c>
      <c r="P58" s="212">
        <v>2732.95</v>
      </c>
      <c r="Q58" s="212">
        <v>3000</v>
      </c>
    </row>
    <row r="59" spans="1:17">
      <c r="A59" s="215" t="str">
        <f t="shared" si="1"/>
        <v>20154_1845</v>
      </c>
      <c r="B59" s="202">
        <v>2015</v>
      </c>
      <c r="C59" s="202">
        <v>4</v>
      </c>
      <c r="D59" s="81" t="s">
        <v>295</v>
      </c>
      <c r="E59" s="215">
        <v>18</v>
      </c>
      <c r="F59" s="215" t="s">
        <v>300</v>
      </c>
      <c r="G59" s="215"/>
      <c r="H59" s="214">
        <v>0</v>
      </c>
      <c r="I59" s="214">
        <v>0</v>
      </c>
      <c r="J59" s="216" t="e">
        <f>+I59*100/H59</f>
        <v>#DIV/0!</v>
      </c>
      <c r="K59" s="213" t="s">
        <v>308</v>
      </c>
      <c r="L59" s="29" t="s">
        <v>309</v>
      </c>
      <c r="N59" s="212">
        <v>0</v>
      </c>
      <c r="P59" s="134">
        <v>0</v>
      </c>
      <c r="Q59" s="134">
        <v>0</v>
      </c>
    </row>
    <row r="60" spans="1:17">
      <c r="A60" s="215" t="str">
        <f t="shared" si="1"/>
        <v>20154_18EGO</v>
      </c>
      <c r="B60" s="202">
        <v>2015</v>
      </c>
      <c r="C60" s="202">
        <v>4</v>
      </c>
      <c r="D60" s="81" t="s">
        <v>159</v>
      </c>
      <c r="E60" s="215">
        <v>18</v>
      </c>
      <c r="F60" s="215" t="s">
        <v>300</v>
      </c>
      <c r="G60" s="215"/>
      <c r="H60" s="178">
        <v>7000</v>
      </c>
      <c r="I60" s="178">
        <v>835.24</v>
      </c>
      <c r="J60" s="216">
        <v>0</v>
      </c>
      <c r="N60" s="212">
        <v>4145.82</v>
      </c>
      <c r="P60" s="212">
        <v>2654.24</v>
      </c>
      <c r="Q60" s="212">
        <v>5000</v>
      </c>
    </row>
    <row r="61" spans="1:17">
      <c r="A61" s="215" t="str">
        <f t="shared" si="1"/>
        <v>20154_1883</v>
      </c>
      <c r="B61" s="202">
        <v>2015</v>
      </c>
      <c r="C61" s="202">
        <v>4</v>
      </c>
      <c r="D61" s="81" t="s">
        <v>297</v>
      </c>
      <c r="E61" s="215">
        <v>18</v>
      </c>
      <c r="F61" s="215" t="s">
        <v>300</v>
      </c>
      <c r="G61" s="215"/>
      <c r="H61" s="178">
        <v>38400</v>
      </c>
      <c r="I61" s="178">
        <v>42355</v>
      </c>
      <c r="J61" s="216">
        <f>+I61*100/H61</f>
        <v>110.29947916666667</v>
      </c>
      <c r="N61" s="212">
        <v>64495.45</v>
      </c>
      <c r="P61" s="212">
        <v>26316.18</v>
      </c>
      <c r="Q61" s="212">
        <v>30000</v>
      </c>
    </row>
    <row r="62" spans="1:17">
      <c r="A62" s="158" t="str">
        <f t="shared" si="1"/>
        <v>20154_14ME</v>
      </c>
      <c r="B62" s="202">
        <v>2015</v>
      </c>
      <c r="C62" s="202">
        <v>4</v>
      </c>
      <c r="D62" s="81" t="s">
        <v>267</v>
      </c>
      <c r="E62" s="158">
        <v>14</v>
      </c>
      <c r="F62" s="158" t="s">
        <v>301</v>
      </c>
      <c r="G62" s="158"/>
      <c r="H62" s="214">
        <v>7000</v>
      </c>
      <c r="I62" s="214">
        <v>2508.38</v>
      </c>
      <c r="J62" s="161">
        <v>0</v>
      </c>
      <c r="P62" s="212">
        <v>3413.88</v>
      </c>
      <c r="Q62" s="212">
        <v>5000</v>
      </c>
    </row>
    <row r="63" spans="1:17">
      <c r="A63" s="158" t="str">
        <f t="shared" si="1"/>
        <v>20154_1445</v>
      </c>
      <c r="B63" s="202">
        <v>2015</v>
      </c>
      <c r="C63" s="202">
        <v>4</v>
      </c>
      <c r="D63" s="81" t="s">
        <v>295</v>
      </c>
      <c r="E63" s="158">
        <v>14</v>
      </c>
      <c r="F63" s="158" t="s">
        <v>301</v>
      </c>
      <c r="G63" s="158"/>
      <c r="H63" s="214">
        <v>0</v>
      </c>
      <c r="I63" s="214">
        <v>0</v>
      </c>
      <c r="J63" s="161">
        <v>0</v>
      </c>
      <c r="K63" s="213" t="s">
        <v>310</v>
      </c>
      <c r="L63" s="29" t="s">
        <v>311</v>
      </c>
      <c r="P63" s="134">
        <v>0</v>
      </c>
      <c r="Q63" s="134">
        <v>0</v>
      </c>
    </row>
    <row r="64" spans="1:17">
      <c r="A64" s="158" t="str">
        <f t="shared" si="1"/>
        <v>20154_14EGO</v>
      </c>
      <c r="B64" s="202">
        <v>2015</v>
      </c>
      <c r="C64" s="202">
        <v>4</v>
      </c>
      <c r="D64" s="81" t="s">
        <v>159</v>
      </c>
      <c r="E64" s="158">
        <v>14</v>
      </c>
      <c r="F64" s="158" t="s">
        <v>301</v>
      </c>
      <c r="G64" s="158"/>
      <c r="H64" s="178">
        <v>7000</v>
      </c>
      <c r="I64" s="178">
        <v>51.61</v>
      </c>
      <c r="J64" s="161">
        <v>0</v>
      </c>
      <c r="P64" s="212">
        <v>1284.69</v>
      </c>
      <c r="Q64" s="212">
        <v>5000</v>
      </c>
    </row>
    <row r="65" spans="1:17">
      <c r="A65" s="158" t="str">
        <f t="shared" si="1"/>
        <v>20154_1483</v>
      </c>
      <c r="B65" s="202">
        <v>2015</v>
      </c>
      <c r="C65" s="202">
        <v>4</v>
      </c>
      <c r="D65" s="81" t="s">
        <v>297</v>
      </c>
      <c r="E65" s="158">
        <v>14</v>
      </c>
      <c r="F65" s="158" t="s">
        <v>301</v>
      </c>
      <c r="G65" s="158"/>
      <c r="H65" s="178">
        <v>15500</v>
      </c>
      <c r="I65" s="178">
        <v>12753.12</v>
      </c>
      <c r="J65" s="161">
        <f>+I65*100/H65</f>
        <v>82.278193548387094</v>
      </c>
      <c r="P65" s="212">
        <v>10303.14</v>
      </c>
      <c r="Q65" s="212">
        <v>10000</v>
      </c>
    </row>
    <row r="66" spans="1:17">
      <c r="A66" s="170" t="str">
        <f t="shared" ref="A66:A69" si="2">+CONCATENATE(B66,C66,"_",E66,D66)</f>
        <v>20154_19ME</v>
      </c>
      <c r="B66" s="202">
        <v>2015</v>
      </c>
      <c r="C66" s="202">
        <v>4</v>
      </c>
      <c r="D66" s="81" t="s">
        <v>267</v>
      </c>
      <c r="E66" s="170">
        <v>19</v>
      </c>
      <c r="F66" s="170" t="s">
        <v>302</v>
      </c>
      <c r="G66" s="170"/>
      <c r="H66" s="214">
        <v>6500</v>
      </c>
      <c r="I66" s="214">
        <v>1638.32</v>
      </c>
      <c r="J66" s="172">
        <v>0</v>
      </c>
    </row>
    <row r="67" spans="1:17">
      <c r="A67" s="170" t="str">
        <f t="shared" si="2"/>
        <v>20154_1945</v>
      </c>
      <c r="B67" s="202">
        <v>2015</v>
      </c>
      <c r="C67" s="202">
        <v>4</v>
      </c>
      <c r="D67" s="81" t="s">
        <v>295</v>
      </c>
      <c r="E67" s="170">
        <v>19</v>
      </c>
      <c r="F67" s="170" t="s">
        <v>302</v>
      </c>
      <c r="G67" s="170"/>
      <c r="H67" s="214">
        <v>0</v>
      </c>
      <c r="I67" s="214">
        <v>0</v>
      </c>
      <c r="J67" s="172" t="e">
        <f>+I67*100/H67</f>
        <v>#DIV/0!</v>
      </c>
      <c r="K67" s="213" t="s">
        <v>312</v>
      </c>
      <c r="L67" s="29" t="s">
        <v>313</v>
      </c>
    </row>
    <row r="68" spans="1:17">
      <c r="A68" s="170" t="str">
        <f t="shared" si="2"/>
        <v>20154_19EGO</v>
      </c>
      <c r="B68" s="202">
        <v>2015</v>
      </c>
      <c r="C68" s="202">
        <v>4</v>
      </c>
      <c r="D68" s="81" t="s">
        <v>159</v>
      </c>
      <c r="E68" s="170">
        <v>19</v>
      </c>
      <c r="F68" s="170" t="s">
        <v>302</v>
      </c>
      <c r="G68" s="170"/>
      <c r="H68" s="178">
        <v>5000</v>
      </c>
      <c r="I68" s="178">
        <v>880.64</v>
      </c>
      <c r="J68" s="172">
        <v>0</v>
      </c>
    </row>
    <row r="69" spans="1:17">
      <c r="A69" s="170" t="str">
        <f t="shared" si="2"/>
        <v>20154_1983</v>
      </c>
      <c r="B69" s="202">
        <v>2015</v>
      </c>
      <c r="C69" s="202">
        <v>4</v>
      </c>
      <c r="D69" s="81" t="s">
        <v>297</v>
      </c>
      <c r="E69" s="170">
        <v>19</v>
      </c>
      <c r="F69" s="170" t="s">
        <v>302</v>
      </c>
      <c r="G69" s="170"/>
      <c r="H69" s="178">
        <v>13000</v>
      </c>
      <c r="I69" s="178">
        <v>21734.44</v>
      </c>
      <c r="J69" s="172">
        <f>+I69*100/H69</f>
        <v>167.18799999999999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K52"/>
  <sheetViews>
    <sheetView topLeftCell="A22" zoomScale="120" zoomScaleNormal="120" workbookViewId="0">
      <selection activeCell="C11" sqref="C11"/>
    </sheetView>
  </sheetViews>
  <sheetFormatPr baseColWidth="10" defaultColWidth="8.85546875" defaultRowHeight="15"/>
  <cols>
    <col min="1" max="1" width="11.42578125" style="29"/>
    <col min="2" max="2" width="38" style="29" customWidth="1"/>
    <col min="3" max="3" width="10.140625" style="29" customWidth="1"/>
    <col min="4" max="4" width="9.42578125" style="29" customWidth="1"/>
    <col min="5" max="5" width="9" style="29" customWidth="1"/>
    <col min="6" max="1025" width="11.42578125" style="29"/>
  </cols>
  <sheetData>
    <row r="1" spans="1:13">
      <c r="B1" s="68" t="s">
        <v>314</v>
      </c>
      <c r="C1" s="218" t="s">
        <v>315</v>
      </c>
      <c r="D1" s="218" t="s">
        <v>316</v>
      </c>
      <c r="E1" s="218" t="s">
        <v>317</v>
      </c>
      <c r="F1" s="218" t="s">
        <v>44</v>
      </c>
      <c r="G1" s="68"/>
    </row>
    <row r="2" spans="1:13">
      <c r="B2" s="10" t="s">
        <v>318</v>
      </c>
      <c r="C2" s="219">
        <v>124.57</v>
      </c>
      <c r="D2" s="219">
        <v>0</v>
      </c>
      <c r="E2" s="219">
        <v>147760.45000000001</v>
      </c>
      <c r="F2" s="219">
        <v>147885.01999999999</v>
      </c>
      <c r="G2" s="10"/>
    </row>
    <row r="3" spans="1:13">
      <c r="B3" s="10" t="s">
        <v>319</v>
      </c>
      <c r="C3" s="111"/>
      <c r="D3" s="111"/>
      <c r="E3" s="111"/>
      <c r="F3" s="219">
        <f>E3+D3+C3</f>
        <v>0</v>
      </c>
      <c r="G3" s="10"/>
    </row>
    <row r="4" spans="1:13">
      <c r="B4" s="10" t="s">
        <v>320</v>
      </c>
      <c r="C4" s="219"/>
      <c r="D4" s="219"/>
      <c r="E4" s="219"/>
      <c r="F4" s="219">
        <f>E4+D4+C4</f>
        <v>0</v>
      </c>
      <c r="G4" s="10"/>
    </row>
    <row r="5" spans="1:13">
      <c r="A5" s="29">
        <v>14</v>
      </c>
      <c r="B5" s="315" t="s">
        <v>321</v>
      </c>
      <c r="C5" s="317">
        <v>60133.919999999998</v>
      </c>
      <c r="D5" s="317">
        <v>1426.57</v>
      </c>
      <c r="E5" s="317">
        <v>20651.259999999998</v>
      </c>
      <c r="F5" s="317">
        <v>82211.75</v>
      </c>
      <c r="G5" s="10"/>
    </row>
    <row r="6" spans="1:13">
      <c r="A6" s="29">
        <v>18</v>
      </c>
      <c r="B6" s="315" t="s">
        <v>322</v>
      </c>
      <c r="C6" s="317">
        <v>617.25</v>
      </c>
      <c r="D6" s="317">
        <v>0</v>
      </c>
      <c r="E6" s="317">
        <v>0</v>
      </c>
      <c r="F6" s="317">
        <v>617.25</v>
      </c>
      <c r="G6" s="10"/>
    </row>
    <row r="7" spans="1:13">
      <c r="A7" s="29">
        <v>19</v>
      </c>
      <c r="B7" s="315" t="s">
        <v>323</v>
      </c>
      <c r="C7" s="317">
        <v>59221.39</v>
      </c>
      <c r="D7" s="317">
        <v>15364.71</v>
      </c>
      <c r="E7" s="317">
        <v>0</v>
      </c>
      <c r="F7" s="317">
        <v>74586.100000000006</v>
      </c>
      <c r="G7" s="10"/>
    </row>
    <row r="8" spans="1:13">
      <c r="A8" s="29">
        <v>17</v>
      </c>
      <c r="B8" s="10" t="s">
        <v>324</v>
      </c>
      <c r="C8" s="219">
        <v>0</v>
      </c>
      <c r="D8" s="219">
        <v>0</v>
      </c>
      <c r="E8" s="219">
        <v>0</v>
      </c>
      <c r="F8" s="219">
        <v>0</v>
      </c>
      <c r="G8" s="10"/>
    </row>
    <row r="9" spans="1:13">
      <c r="B9" s="10" t="s">
        <v>325</v>
      </c>
      <c r="C9" s="219">
        <v>1349.6</v>
      </c>
      <c r="D9" s="219">
        <v>0</v>
      </c>
      <c r="E9" s="219">
        <v>0</v>
      </c>
      <c r="F9" s="219">
        <v>1349.6</v>
      </c>
      <c r="G9" s="10"/>
    </row>
    <row r="10" spans="1:13">
      <c r="B10" s="10" t="s">
        <v>326</v>
      </c>
      <c r="C10" s="219"/>
      <c r="D10" s="219"/>
      <c r="E10" s="219"/>
      <c r="F10" s="219"/>
    </row>
    <row r="11" spans="1:13">
      <c r="C11" s="29">
        <f>SUM(C2:C10)</f>
        <v>121446.73000000001</v>
      </c>
      <c r="D11" s="29">
        <f>SUM(D2:D10)</f>
        <v>16791.28</v>
      </c>
      <c r="E11" s="29">
        <f>SUM(E2:E10)</f>
        <v>168411.71000000002</v>
      </c>
      <c r="F11" s="29">
        <f>SUM(F2:F10)</f>
        <v>306649.71999999997</v>
      </c>
    </row>
    <row r="12" spans="1:13">
      <c r="A12" s="68" t="s">
        <v>314</v>
      </c>
      <c r="B12" s="68" t="s">
        <v>327</v>
      </c>
      <c r="C12" s="218" t="s">
        <v>328</v>
      </c>
      <c r="D12" s="218" t="s">
        <v>329</v>
      </c>
      <c r="E12" s="218" t="s">
        <v>330</v>
      </c>
      <c r="F12" s="68"/>
      <c r="H12" s="68" t="s">
        <v>314</v>
      </c>
      <c r="I12" s="218" t="s">
        <v>315</v>
      </c>
      <c r="J12" s="218" t="s">
        <v>316</v>
      </c>
      <c r="K12" s="218" t="s">
        <v>317</v>
      </c>
      <c r="L12" s="218" t="s">
        <v>44</v>
      </c>
      <c r="M12" s="68"/>
    </row>
    <row r="13" spans="1:13">
      <c r="A13" s="10">
        <v>100</v>
      </c>
      <c r="B13" s="10" t="s">
        <v>331</v>
      </c>
      <c r="C13" s="219"/>
      <c r="D13" s="219">
        <v>73.39</v>
      </c>
      <c r="E13" s="219">
        <v>18</v>
      </c>
      <c r="F13" s="10"/>
      <c r="H13" s="10" t="s">
        <v>318</v>
      </c>
      <c r="I13" s="219">
        <v>72755.34</v>
      </c>
      <c r="J13" s="219">
        <v>0</v>
      </c>
      <c r="K13" s="219">
        <v>146603.51</v>
      </c>
      <c r="L13" s="219">
        <v>219358.85</v>
      </c>
      <c r="M13" s="10"/>
    </row>
    <row r="14" spans="1:13">
      <c r="A14" s="10">
        <v>18</v>
      </c>
      <c r="B14" s="10" t="s">
        <v>332</v>
      </c>
      <c r="C14" s="219"/>
      <c r="D14" s="219">
        <v>18.13</v>
      </c>
      <c r="E14" s="219">
        <v>43</v>
      </c>
      <c r="F14" s="10"/>
      <c r="H14" s="10" t="s">
        <v>320</v>
      </c>
      <c r="I14" s="219">
        <v>0</v>
      </c>
      <c r="J14" s="219">
        <v>0</v>
      </c>
      <c r="K14" s="219">
        <v>0</v>
      </c>
      <c r="L14" s="219">
        <v>0</v>
      </c>
      <c r="M14" s="10"/>
    </row>
    <row r="15" spans="1:13">
      <c r="A15" s="10">
        <v>17</v>
      </c>
      <c r="B15" s="10" t="s">
        <v>333</v>
      </c>
      <c r="C15" s="219"/>
      <c r="D15" s="219">
        <v>3.45</v>
      </c>
      <c r="E15" s="219">
        <v>17</v>
      </c>
      <c r="F15" s="10"/>
      <c r="H15" s="10" t="s">
        <v>321</v>
      </c>
      <c r="I15" s="219">
        <v>45948.93</v>
      </c>
      <c r="J15" s="219">
        <v>9277.15</v>
      </c>
      <c r="K15" s="219">
        <v>18266.97</v>
      </c>
      <c r="L15" s="219">
        <v>73493.05</v>
      </c>
      <c r="M15" s="10"/>
    </row>
    <row r="16" spans="1:13">
      <c r="A16" s="10">
        <v>14</v>
      </c>
      <c r="B16" s="10" t="s">
        <v>334</v>
      </c>
      <c r="C16" s="219"/>
      <c r="D16" s="219">
        <v>2.6</v>
      </c>
      <c r="E16" s="219">
        <v>12</v>
      </c>
      <c r="F16" s="10"/>
      <c r="H16" s="10" t="s">
        <v>322</v>
      </c>
      <c r="I16" s="219">
        <v>20742.72</v>
      </c>
      <c r="J16" s="219">
        <v>51915.7</v>
      </c>
      <c r="K16" s="219">
        <v>0</v>
      </c>
      <c r="L16" s="219">
        <v>72658.42</v>
      </c>
      <c r="M16" s="10"/>
    </row>
    <row r="17" spans="1:13">
      <c r="A17" s="10">
        <v>19</v>
      </c>
      <c r="B17" s="10" t="s">
        <v>323</v>
      </c>
      <c r="C17" s="221">
        <v>0</v>
      </c>
      <c r="D17" s="219">
        <v>2.4300000000000002</v>
      </c>
      <c r="E17" s="219">
        <v>9</v>
      </c>
      <c r="F17" s="10"/>
      <c r="H17" s="10" t="s">
        <v>323</v>
      </c>
      <c r="I17" s="219">
        <v>19386.28</v>
      </c>
      <c r="J17" s="219">
        <v>21428.799999999999</v>
      </c>
      <c r="K17" s="219">
        <v>0</v>
      </c>
      <c r="L17" s="219">
        <v>40815.08</v>
      </c>
      <c r="M17" s="10"/>
    </row>
    <row r="18" spans="1:13">
      <c r="H18" s="10" t="s">
        <v>324</v>
      </c>
      <c r="I18" s="219">
        <v>164.7</v>
      </c>
      <c r="J18" s="219">
        <v>0</v>
      </c>
      <c r="K18" s="219">
        <v>0</v>
      </c>
      <c r="L18" s="219">
        <v>164.7</v>
      </c>
      <c r="M18" s="10"/>
    </row>
    <row r="19" spans="1:13">
      <c r="H19" s="10" t="s">
        <v>335</v>
      </c>
      <c r="I19" s="219">
        <v>0</v>
      </c>
      <c r="J19" s="219">
        <v>0</v>
      </c>
      <c r="K19" s="219">
        <v>0</v>
      </c>
      <c r="L19" s="219">
        <v>0</v>
      </c>
      <c r="M19" s="10"/>
    </row>
    <row r="22" spans="1:13">
      <c r="A22" s="222">
        <v>50</v>
      </c>
      <c r="B22" s="10" t="s">
        <v>318</v>
      </c>
      <c r="C22" s="29">
        <v>35425.47</v>
      </c>
      <c r="D22" s="29">
        <v>10075.39</v>
      </c>
      <c r="E22" s="29">
        <v>149739.06</v>
      </c>
      <c r="F22" s="29">
        <v>195239.92</v>
      </c>
    </row>
    <row r="23" spans="1:13">
      <c r="A23" s="222">
        <v>52</v>
      </c>
      <c r="B23" s="10" t="s">
        <v>320</v>
      </c>
      <c r="C23" s="29">
        <v>0</v>
      </c>
      <c r="D23" s="29">
        <v>0</v>
      </c>
      <c r="E23" s="29">
        <v>0</v>
      </c>
      <c r="F23" s="29">
        <v>0</v>
      </c>
    </row>
    <row r="24" spans="1:13">
      <c r="A24" s="222">
        <v>53</v>
      </c>
      <c r="B24" s="10" t="s">
        <v>336</v>
      </c>
      <c r="C24" s="29">
        <v>29975.35</v>
      </c>
      <c r="D24" s="29">
        <v>29628.3</v>
      </c>
      <c r="E24" s="29">
        <v>27860.07</v>
      </c>
      <c r="F24" s="29">
        <v>87463.72</v>
      </c>
      <c r="H24" s="29" t="s">
        <v>337</v>
      </c>
    </row>
    <row r="25" spans="1:13">
      <c r="A25" s="222">
        <v>54</v>
      </c>
      <c r="B25" s="10" t="s">
        <v>322</v>
      </c>
      <c r="C25" s="29">
        <v>122411.89</v>
      </c>
      <c r="D25" s="29">
        <v>50785.2</v>
      </c>
      <c r="E25" s="29">
        <v>0</v>
      </c>
      <c r="F25" s="29">
        <v>173197.09</v>
      </c>
      <c r="H25" s="29" t="s">
        <v>338</v>
      </c>
    </row>
    <row r="26" spans="1:13">
      <c r="A26" s="222">
        <v>56</v>
      </c>
      <c r="B26" s="10" t="s">
        <v>323</v>
      </c>
      <c r="C26" s="29">
        <v>36057.339999999997</v>
      </c>
      <c r="D26" s="29">
        <v>31984.76</v>
      </c>
      <c r="E26" s="29">
        <v>0</v>
      </c>
      <c r="F26" s="29">
        <v>68042.100000000006</v>
      </c>
      <c r="H26" s="29" t="s">
        <v>339</v>
      </c>
    </row>
    <row r="27" spans="1:13">
      <c r="A27" s="222">
        <v>57</v>
      </c>
      <c r="B27" s="10" t="s">
        <v>324</v>
      </c>
      <c r="C27" s="29">
        <v>17450.240000000002</v>
      </c>
      <c r="D27" s="29">
        <v>10552.39</v>
      </c>
      <c r="E27" s="29">
        <v>0</v>
      </c>
      <c r="F27" s="29">
        <v>28002.63</v>
      </c>
      <c r="H27" s="29" t="s">
        <v>340</v>
      </c>
    </row>
    <row r="28" spans="1:13">
      <c r="A28" s="222">
        <v>58</v>
      </c>
      <c r="B28" s="10" t="s">
        <v>335</v>
      </c>
      <c r="C28" s="29">
        <v>0</v>
      </c>
      <c r="D28" s="29">
        <v>0</v>
      </c>
      <c r="E28" s="29">
        <v>0</v>
      </c>
      <c r="F28" s="29">
        <v>0</v>
      </c>
      <c r="H28" s="29" t="s">
        <v>341</v>
      </c>
    </row>
    <row r="29" spans="1:13">
      <c r="H29" s="29" t="s">
        <v>342</v>
      </c>
    </row>
    <row r="30" spans="1:13">
      <c r="H30" s="29" t="s">
        <v>343</v>
      </c>
    </row>
    <row r="31" spans="1:13">
      <c r="H31" s="29" t="s">
        <v>344</v>
      </c>
    </row>
    <row r="32" spans="1:13">
      <c r="C32" s="29" t="s">
        <v>345</v>
      </c>
      <c r="H32" s="29" t="s">
        <v>346</v>
      </c>
    </row>
    <row r="33" spans="1:7">
      <c r="C33" s="29" t="s">
        <v>338</v>
      </c>
    </row>
    <row r="34" spans="1:7">
      <c r="C34" s="29" t="s">
        <v>347</v>
      </c>
    </row>
    <row r="35" spans="1:7">
      <c r="C35" s="29" t="s">
        <v>348</v>
      </c>
    </row>
    <row r="36" spans="1:7">
      <c r="C36" s="29" t="s">
        <v>349</v>
      </c>
    </row>
    <row r="37" spans="1:7">
      <c r="C37" s="29" t="s">
        <v>350</v>
      </c>
    </row>
    <row r="38" spans="1:7">
      <c r="C38" s="29" t="s">
        <v>343</v>
      </c>
    </row>
    <row r="39" spans="1:7">
      <c r="C39" s="29" t="s">
        <v>351</v>
      </c>
    </row>
    <row r="42" spans="1:7">
      <c r="B42" s="68" t="s">
        <v>314</v>
      </c>
      <c r="C42" s="218" t="s">
        <v>315</v>
      </c>
      <c r="D42" s="218" t="s">
        <v>316</v>
      </c>
      <c r="E42" s="218" t="s">
        <v>317</v>
      </c>
      <c r="F42" s="218" t="s">
        <v>44</v>
      </c>
      <c r="G42" s="68"/>
    </row>
    <row r="43" spans="1:7">
      <c r="B43" s="10" t="s">
        <v>318</v>
      </c>
      <c r="C43" s="219">
        <v>124.57</v>
      </c>
      <c r="D43" s="219">
        <v>0</v>
      </c>
      <c r="E43" s="219">
        <v>147760.45000000001</v>
      </c>
      <c r="F43" s="219">
        <v>147885.01999999999</v>
      </c>
      <c r="G43" s="10"/>
    </row>
    <row r="44" spans="1:7">
      <c r="B44" s="10" t="s">
        <v>319</v>
      </c>
      <c r="C44" s="111"/>
      <c r="D44" s="111"/>
      <c r="E44" s="111"/>
      <c r="F44" s="219">
        <f>E44+D44+C44</f>
        <v>0</v>
      </c>
      <c r="G44" s="10"/>
    </row>
    <row r="45" spans="1:7">
      <c r="B45" s="10" t="s">
        <v>320</v>
      </c>
      <c r="C45" s="219"/>
      <c r="D45" s="219"/>
      <c r="E45" s="219"/>
      <c r="F45" s="219">
        <f>E45+D45+C45</f>
        <v>0</v>
      </c>
      <c r="G45" s="10"/>
    </row>
    <row r="46" spans="1:7">
      <c r="A46" s="29">
        <v>14</v>
      </c>
      <c r="B46" s="10" t="s">
        <v>321</v>
      </c>
      <c r="C46" s="219">
        <v>22291.71</v>
      </c>
      <c r="D46" s="219">
        <v>13634.95</v>
      </c>
      <c r="E46" s="219">
        <v>4504.71</v>
      </c>
      <c r="F46" s="219">
        <v>40431.370000000003</v>
      </c>
      <c r="G46" s="10"/>
    </row>
    <row r="47" spans="1:7">
      <c r="A47" s="29">
        <v>18</v>
      </c>
      <c r="B47" s="10" t="s">
        <v>322</v>
      </c>
      <c r="C47" s="219">
        <v>60794.67</v>
      </c>
      <c r="D47" s="219">
        <v>56279.64</v>
      </c>
      <c r="E47" s="219">
        <v>0</v>
      </c>
      <c r="F47" s="219">
        <v>117074.31</v>
      </c>
      <c r="G47" s="10"/>
    </row>
    <row r="48" spans="1:7">
      <c r="A48" s="29">
        <v>19</v>
      </c>
      <c r="B48" s="10" t="s">
        <v>323</v>
      </c>
      <c r="C48" s="219">
        <v>41166.46</v>
      </c>
      <c r="D48" s="219">
        <v>17921.46</v>
      </c>
      <c r="E48" s="219">
        <v>0</v>
      </c>
      <c r="F48" s="219">
        <v>59087.92</v>
      </c>
      <c r="G48" s="10"/>
    </row>
    <row r="49" spans="1:7">
      <c r="A49" s="29">
        <v>17</v>
      </c>
      <c r="B49" s="10" t="s">
        <v>324</v>
      </c>
      <c r="C49" s="219">
        <v>0</v>
      </c>
      <c r="D49" s="219">
        <v>0</v>
      </c>
      <c r="E49" s="219">
        <v>0</v>
      </c>
      <c r="F49" s="219">
        <v>0</v>
      </c>
      <c r="G49" s="10"/>
    </row>
    <row r="50" spans="1:7">
      <c r="B50" s="10" t="s">
        <v>325</v>
      </c>
      <c r="C50" s="219">
        <v>1349.6</v>
      </c>
      <c r="D50" s="219">
        <v>0</v>
      </c>
      <c r="E50" s="219">
        <v>0</v>
      </c>
      <c r="F50" s="219">
        <v>1349.6</v>
      </c>
      <c r="G50" s="10"/>
    </row>
    <row r="51" spans="1:7">
      <c r="B51" s="10" t="s">
        <v>326</v>
      </c>
      <c r="C51" s="219"/>
      <c r="D51" s="219"/>
      <c r="E51" s="219"/>
      <c r="F51" s="219"/>
    </row>
    <row r="52" spans="1:7">
      <c r="C52" s="29">
        <f>SUM(C43:C51)</f>
        <v>125727.01000000001</v>
      </c>
      <c r="D52" s="29">
        <f>SUM(D43:D51)</f>
        <v>87836.049999999988</v>
      </c>
      <c r="E52" s="29">
        <f>SUM(E43:E51)</f>
        <v>152265.16</v>
      </c>
      <c r="F52" s="29">
        <f>SUM(F43:F51)</f>
        <v>365828.21999999991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149"/>
  <sheetViews>
    <sheetView topLeftCell="A172" zoomScale="81" zoomScaleNormal="81" workbookViewId="0">
      <selection activeCell="K86" sqref="K86"/>
    </sheetView>
  </sheetViews>
  <sheetFormatPr baseColWidth="10" defaultColWidth="8.85546875" defaultRowHeight="15"/>
  <cols>
    <col min="1" max="1" width="10" customWidth="1"/>
    <col min="2" max="2" width="20.85546875" bestFit="1" customWidth="1"/>
    <col min="3" max="3" width="4.5703125" customWidth="1"/>
    <col min="4" max="4" width="4.85546875" customWidth="1"/>
    <col min="5" max="5" width="7.85546875" bestFit="1" customWidth="1"/>
    <col min="6" max="6" width="6.140625" bestFit="1" customWidth="1"/>
    <col min="7" max="7" width="11" bestFit="1" customWidth="1"/>
    <col min="8" max="8" width="9.85546875" customWidth="1"/>
    <col min="9" max="9" width="10" bestFit="1" customWidth="1"/>
    <col min="10" max="10" width="9.7109375" customWidth="1"/>
    <col min="11" max="1025" width="9.140625" customWidth="1"/>
  </cols>
  <sheetData>
    <row r="2" spans="1:9">
      <c r="A2" s="84" t="s">
        <v>112</v>
      </c>
      <c r="B2" s="120"/>
      <c r="C2" s="120"/>
      <c r="D2" s="120"/>
      <c r="E2" s="120"/>
      <c r="F2" s="120"/>
      <c r="G2" s="120"/>
      <c r="H2" s="120"/>
      <c r="I2" s="120"/>
    </row>
    <row r="3" spans="1:9">
      <c r="A3" s="84" t="s">
        <v>113</v>
      </c>
      <c r="B3" s="120"/>
      <c r="C3" s="120"/>
      <c r="D3" s="120"/>
      <c r="E3" s="120"/>
      <c r="F3" s="120"/>
      <c r="G3" s="120"/>
      <c r="H3" s="120"/>
      <c r="I3" s="179" t="str">
        <f>+CONCATENATE("20154_",I5)</f>
        <v>20154_14</v>
      </c>
    </row>
    <row r="4" spans="1:9">
      <c r="A4" s="84" t="s">
        <v>114</v>
      </c>
      <c r="B4" s="120"/>
      <c r="C4" s="120"/>
      <c r="D4" s="120"/>
      <c r="E4" s="120"/>
      <c r="F4" s="120"/>
      <c r="G4" s="120"/>
      <c r="H4" s="120"/>
      <c r="I4" s="120"/>
    </row>
    <row r="5" spans="1:9">
      <c r="A5" s="120"/>
      <c r="B5" s="120"/>
      <c r="C5" s="120"/>
      <c r="D5" s="120"/>
      <c r="E5" s="120"/>
      <c r="F5" s="120"/>
      <c r="G5" s="120"/>
      <c r="H5" s="120"/>
      <c r="I5" s="81">
        <v>14</v>
      </c>
    </row>
    <row r="6" spans="1:9">
      <c r="A6" s="120" t="s">
        <v>115</v>
      </c>
      <c r="B6" s="120"/>
      <c r="C6" s="120"/>
      <c r="D6" s="120"/>
      <c r="E6" s="120"/>
      <c r="F6" s="120"/>
      <c r="G6" s="120"/>
      <c r="H6" s="120"/>
      <c r="I6" s="83">
        <v>43739</v>
      </c>
    </row>
    <row r="7" spans="1:9">
      <c r="A7" s="120"/>
      <c r="B7" s="120"/>
      <c r="C7" s="120"/>
      <c r="D7" s="120"/>
      <c r="E7" s="120"/>
      <c r="F7" s="120"/>
      <c r="G7" s="120"/>
      <c r="H7" s="120"/>
      <c r="I7" s="120"/>
    </row>
    <row r="8" spans="1:9">
      <c r="A8" s="120" t="s">
        <v>116</v>
      </c>
      <c r="B8" s="120"/>
      <c r="C8" s="84" t="str">
        <f>VLOOKUP(I5,AVANCEVENDEDOR!$A$2:$R$35,3,0)</f>
        <v>COTACALLAPA JOVE ROBERTO</v>
      </c>
      <c r="D8" s="120"/>
      <c r="E8" s="120"/>
      <c r="F8" s="120"/>
      <c r="G8" s="120"/>
      <c r="H8" s="120"/>
      <c r="I8" s="120"/>
    </row>
    <row r="9" spans="1:9">
      <c r="A9" s="120"/>
      <c r="B9" s="120"/>
      <c r="C9" s="120"/>
      <c r="D9" s="120"/>
      <c r="E9" s="120"/>
      <c r="F9" s="120"/>
      <c r="G9" s="120"/>
      <c r="H9" s="120"/>
      <c r="I9" s="84" t="s">
        <v>118</v>
      </c>
    </row>
    <row r="10" spans="1:9">
      <c r="A10" s="120"/>
      <c r="B10" s="120"/>
      <c r="C10" s="120"/>
      <c r="D10" s="120"/>
      <c r="E10" s="120"/>
      <c r="F10" s="120"/>
      <c r="G10" s="120"/>
      <c r="H10" s="120"/>
      <c r="I10" s="120"/>
    </row>
    <row r="11" spans="1:9">
      <c r="A11" s="120" t="s">
        <v>119</v>
      </c>
      <c r="B11" s="120"/>
      <c r="C11" s="120"/>
      <c r="D11" s="120"/>
      <c r="E11" s="120"/>
      <c r="F11" s="120"/>
      <c r="G11" s="120"/>
      <c r="H11" s="120"/>
      <c r="I11" s="181">
        <v>650</v>
      </c>
    </row>
    <row r="12" spans="1:9">
      <c r="A12" s="120" t="s">
        <v>120</v>
      </c>
      <c r="B12" s="120"/>
      <c r="C12" s="120"/>
      <c r="D12" s="120"/>
      <c r="E12" s="120"/>
      <c r="F12" s="86" t="s">
        <v>272</v>
      </c>
      <c r="G12" s="86" t="s">
        <v>122</v>
      </c>
      <c r="H12" s="86" t="s">
        <v>123</v>
      </c>
      <c r="I12" s="181">
        <v>200</v>
      </c>
    </row>
    <row r="13" spans="1:9">
      <c r="A13" s="120" t="s">
        <v>124</v>
      </c>
      <c r="B13" s="120"/>
      <c r="C13" s="120"/>
      <c r="D13" s="120"/>
      <c r="E13" s="120"/>
      <c r="F13" s="181"/>
      <c r="G13" s="181">
        <f>IF(I5=13,80,85)</f>
        <v>85</v>
      </c>
      <c r="H13" s="181">
        <f>+H35</f>
        <v>70.764305249228059</v>
      </c>
      <c r="I13" s="181"/>
    </row>
    <row r="14" spans="1:9">
      <c r="A14" s="120"/>
      <c r="B14" s="120" t="s">
        <v>352</v>
      </c>
      <c r="C14" s="120"/>
      <c r="D14" s="120"/>
      <c r="E14" s="120"/>
      <c r="F14" s="182">
        <v>0.1</v>
      </c>
      <c r="H14" s="182">
        <f>H36</f>
        <v>1.7785141103489857</v>
      </c>
      <c r="I14" s="181">
        <f>IF($H$35&gt;=85,E36*F14%,0)</f>
        <v>0</v>
      </c>
    </row>
    <row r="15" spans="1:9">
      <c r="A15" s="120"/>
      <c r="B15" s="120" t="s">
        <v>353</v>
      </c>
      <c r="C15" s="120"/>
      <c r="D15" s="120"/>
      <c r="E15" s="120"/>
      <c r="F15" s="182">
        <v>0.4</v>
      </c>
      <c r="H15" s="182">
        <f>H37</f>
        <v>74.969349720376201</v>
      </c>
      <c r="I15" s="181">
        <f>IF($H$35&gt;=85,E37*F15%,0)</f>
        <v>0</v>
      </c>
    </row>
    <row r="16" spans="1:9">
      <c r="A16" s="120"/>
      <c r="B16" s="120" t="s">
        <v>354</v>
      </c>
      <c r="C16" s="120"/>
      <c r="D16" s="120"/>
      <c r="E16" s="120"/>
      <c r="F16" s="182">
        <v>0.3</v>
      </c>
      <c r="H16" s="182">
        <f>H38</f>
        <v>25.746060345083375</v>
      </c>
      <c r="I16" s="181">
        <f>IF($H$35&gt;=85,E38*F16%,0)</f>
        <v>0</v>
      </c>
    </row>
    <row r="17" spans="1:9">
      <c r="A17" s="120" t="s">
        <v>125</v>
      </c>
      <c r="B17" s="120"/>
      <c r="C17" s="120"/>
      <c r="D17" s="120"/>
      <c r="E17" s="120"/>
      <c r="F17" s="181">
        <v>0.5</v>
      </c>
      <c r="G17" s="181">
        <v>5</v>
      </c>
      <c r="H17" s="181">
        <f>+H41</f>
        <v>24.781915460739938</v>
      </c>
      <c r="I17" s="181">
        <f>+IF(H17&lt;=G17,E35*F17%,0)</f>
        <v>0</v>
      </c>
    </row>
    <row r="18" spans="1:9">
      <c r="A18" s="120" t="s">
        <v>273</v>
      </c>
      <c r="B18" s="120"/>
      <c r="C18" s="120"/>
      <c r="D18" s="120"/>
      <c r="E18" s="120"/>
      <c r="F18" s="181">
        <f>IF(I5=3,0.1,0.2)</f>
        <v>0.2</v>
      </c>
      <c r="G18" s="181">
        <v>85</v>
      </c>
      <c r="H18" s="181">
        <f>+H45</f>
        <v>23.853211009174313</v>
      </c>
      <c r="I18" s="181">
        <f>IF(H18&gt;=G18,E35*F18%,0)</f>
        <v>0</v>
      </c>
    </row>
    <row r="19" spans="1:9">
      <c r="A19" s="120" t="s">
        <v>127</v>
      </c>
      <c r="B19" s="120"/>
      <c r="C19" s="120"/>
      <c r="D19" s="120"/>
      <c r="E19" s="120"/>
      <c r="F19" s="120"/>
      <c r="G19" s="120"/>
      <c r="H19" s="120"/>
      <c r="I19" s="181">
        <v>0</v>
      </c>
    </row>
    <row r="20" spans="1:9">
      <c r="A20" s="120" t="s">
        <v>128</v>
      </c>
      <c r="B20" s="120"/>
      <c r="C20" s="120"/>
      <c r="D20" s="120"/>
      <c r="E20" s="120"/>
      <c r="F20" s="120"/>
      <c r="G20" s="120"/>
      <c r="H20" s="120"/>
      <c r="I20" s="181">
        <v>0</v>
      </c>
    </row>
    <row r="21" spans="1:9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ht="8.25" customHeight="1">
      <c r="A22" s="120"/>
      <c r="B22" s="120"/>
      <c r="C22" s="91"/>
      <c r="D22" s="91"/>
      <c r="E22" s="91"/>
      <c r="F22" s="223"/>
      <c r="G22" s="81"/>
      <c r="H22" s="120"/>
      <c r="I22" s="181"/>
    </row>
    <row r="23" spans="1:9" ht="9" customHeight="1">
      <c r="A23" s="121"/>
      <c r="B23" s="121"/>
      <c r="C23" s="187"/>
      <c r="D23" s="187"/>
      <c r="E23" s="187"/>
      <c r="F23" s="187"/>
      <c r="G23" s="81"/>
      <c r="H23" s="81"/>
      <c r="I23" s="124"/>
    </row>
    <row r="24" spans="1:9" ht="9" customHeight="1">
      <c r="A24" s="121"/>
      <c r="B24" s="121"/>
      <c r="C24" s="187"/>
      <c r="D24" s="187"/>
      <c r="E24" s="187"/>
      <c r="F24" s="187"/>
      <c r="G24" s="81"/>
      <c r="H24" s="81"/>
      <c r="I24" s="124"/>
    </row>
    <row r="25" spans="1:9" ht="9" customHeight="1">
      <c r="A25" s="121"/>
      <c r="B25" s="121"/>
      <c r="C25" s="187"/>
      <c r="D25" s="187"/>
      <c r="E25" s="187"/>
      <c r="F25" s="187"/>
      <c r="G25" s="81"/>
      <c r="H25" s="81"/>
      <c r="I25" s="124"/>
    </row>
    <row r="26" spans="1:9" ht="9" customHeight="1">
      <c r="A26" s="121"/>
      <c r="B26" s="121"/>
      <c r="C26" s="187"/>
      <c r="D26" s="187"/>
      <c r="E26" s="187"/>
      <c r="F26" s="187"/>
      <c r="G26" s="81"/>
      <c r="H26" s="81"/>
      <c r="I26" s="124"/>
    </row>
    <row r="27" spans="1:9" ht="9" customHeight="1">
      <c r="A27" s="121"/>
      <c r="B27" s="121"/>
      <c r="C27" s="187"/>
      <c r="D27" s="187"/>
      <c r="E27" s="187"/>
      <c r="F27" s="187"/>
      <c r="G27" s="81"/>
      <c r="H27" s="81"/>
      <c r="I27" s="124"/>
    </row>
    <row r="28" spans="1:9">
      <c r="A28" s="224"/>
      <c r="B28" s="225"/>
      <c r="C28" s="226"/>
      <c r="D28" s="226"/>
      <c r="E28" s="226"/>
      <c r="F28" s="226"/>
      <c r="G28" s="197"/>
      <c r="H28" s="197"/>
      <c r="I28" s="227"/>
    </row>
    <row r="29" spans="1:9">
      <c r="A29" s="189"/>
      <c r="B29" s="189"/>
      <c r="C29" s="189"/>
      <c r="D29" s="189"/>
      <c r="E29" s="189"/>
      <c r="F29" s="189"/>
      <c r="G29" s="189"/>
      <c r="H29" s="228"/>
      <c r="I29" s="192"/>
    </row>
    <row r="30" spans="1:9">
      <c r="A30" s="120"/>
      <c r="B30" s="84" t="str">
        <f>IF(I5=13,"Remuneracion Extra"," ")</f>
        <v xml:space="preserve"> </v>
      </c>
      <c r="C30" s="120"/>
      <c r="D30" s="120"/>
      <c r="E30" s="120"/>
      <c r="F30" s="120"/>
      <c r="G30" s="120"/>
      <c r="H30" s="120"/>
      <c r="I30" s="183"/>
    </row>
    <row r="31" spans="1:9" ht="15.75">
      <c r="A31" s="184" t="s">
        <v>129</v>
      </c>
      <c r="B31" s="185"/>
      <c r="C31" s="185"/>
      <c r="D31" s="185"/>
      <c r="E31" s="185"/>
      <c r="F31" s="185"/>
      <c r="G31" s="185"/>
      <c r="H31" s="185"/>
      <c r="I31" s="186">
        <f>SUM(I11:I30)</f>
        <v>850</v>
      </c>
    </row>
    <row r="32" spans="1:9">
      <c r="A32" s="120"/>
      <c r="B32" s="120"/>
      <c r="C32" s="120"/>
      <c r="D32" s="120"/>
      <c r="E32" s="120"/>
      <c r="F32" s="120"/>
      <c r="G32" s="120"/>
      <c r="H32" s="120"/>
      <c r="I32" s="120"/>
    </row>
    <row r="33" spans="1:10">
      <c r="A33" s="121" t="s">
        <v>130</v>
      </c>
      <c r="B33" s="121"/>
      <c r="C33" s="121"/>
      <c r="D33" s="121"/>
      <c r="E33" s="121"/>
      <c r="F33" s="121"/>
      <c r="G33" s="121"/>
      <c r="H33" s="121"/>
      <c r="I33" s="121"/>
    </row>
    <row r="34" spans="1:10">
      <c r="A34" s="121"/>
      <c r="B34" s="121" t="s">
        <v>131</v>
      </c>
      <c r="C34" s="121"/>
      <c r="D34" s="121"/>
      <c r="E34" s="229">
        <f>VLOOKUP(I5,AVANCEVENDEDOR!$A$2:$R$34,7,0)</f>
        <v>113350</v>
      </c>
      <c r="F34" s="229"/>
      <c r="G34" s="230"/>
      <c r="H34" s="230"/>
      <c r="I34" s="121"/>
    </row>
    <row r="35" spans="1:10">
      <c r="A35" s="121"/>
      <c r="B35" s="121" t="s">
        <v>132</v>
      </c>
      <c r="C35" s="121"/>
      <c r="D35" s="121"/>
      <c r="E35" s="229">
        <f>VLOOKUP(I5,AVANCEVENDEDOR!$A$2:$R$34,6,0)</f>
        <v>80211.34</v>
      </c>
      <c r="F35" s="229"/>
      <c r="G35" s="231" t="s">
        <v>355</v>
      </c>
      <c r="H35" s="229">
        <f>E35*100/E34</f>
        <v>70.764305249228059</v>
      </c>
      <c r="I35" s="121" t="s">
        <v>48</v>
      </c>
    </row>
    <row r="36" spans="1:10">
      <c r="A36" s="121"/>
      <c r="B36" s="121" t="s">
        <v>352</v>
      </c>
      <c r="C36" s="121"/>
      <c r="D36" s="121"/>
      <c r="E36" s="187">
        <f>VLOOKUP(I5,condicion!$A$5:$F$8,4,0)</f>
        <v>1426.57</v>
      </c>
      <c r="F36" s="187"/>
      <c r="G36" s="188"/>
      <c r="H36" s="187">
        <f>E36*100/E35</f>
        <v>1.7785141103489857</v>
      </c>
      <c r="I36" s="121" t="s">
        <v>48</v>
      </c>
    </row>
    <row r="37" spans="1:10">
      <c r="A37" s="121"/>
      <c r="B37" s="121" t="s">
        <v>353</v>
      </c>
      <c r="C37" s="121"/>
      <c r="D37" s="121"/>
      <c r="E37" s="187">
        <f>VLOOKUP(I5,condicion!$A$5:$F$8,3,0)</f>
        <v>60133.919999999998</v>
      </c>
      <c r="F37" s="187"/>
      <c r="G37" s="188"/>
      <c r="H37" s="187">
        <f>E37*100/E35</f>
        <v>74.969349720376201</v>
      </c>
      <c r="I37" s="121" t="s">
        <v>48</v>
      </c>
      <c r="J37" s="146"/>
    </row>
    <row r="38" spans="1:10">
      <c r="A38" s="121"/>
      <c r="B38" s="121" t="s">
        <v>354</v>
      </c>
      <c r="C38" s="121"/>
      <c r="D38" s="121"/>
      <c r="E38" s="187">
        <f>VLOOKUP(I5,condicion!$A$5:$F$8,5,0)</f>
        <v>20651.259999999998</v>
      </c>
      <c r="F38" s="187"/>
      <c r="G38" s="188"/>
      <c r="H38" s="187">
        <f>E38*100/E35</f>
        <v>25.746060345083375</v>
      </c>
      <c r="I38" s="121" t="s">
        <v>48</v>
      </c>
    </row>
    <row r="39" spans="1:10">
      <c r="A39" s="121"/>
      <c r="B39" s="121"/>
      <c r="C39" s="121"/>
      <c r="D39" s="121"/>
      <c r="E39" s="121"/>
      <c r="F39" s="121"/>
      <c r="G39" s="188"/>
      <c r="H39" s="121"/>
      <c r="I39" s="121"/>
    </row>
    <row r="40" spans="1:10">
      <c r="A40" s="121"/>
      <c r="B40" s="121" t="s">
        <v>134</v>
      </c>
      <c r="C40" s="121"/>
      <c r="D40" s="121"/>
      <c r="E40" s="187">
        <f>VLOOKUP(I5,AVANCEVENDEDOR!$A$2:$R$34,10,0)</f>
        <v>123805.2</v>
      </c>
      <c r="F40" s="187"/>
      <c r="G40" s="188"/>
      <c r="H40" s="121"/>
      <c r="I40" s="121"/>
    </row>
    <row r="41" spans="1:10">
      <c r="A41" s="121"/>
      <c r="B41" s="121" t="s">
        <v>135</v>
      </c>
      <c r="C41" s="121"/>
      <c r="D41" s="121"/>
      <c r="E41" s="187">
        <f>VLOOKUP(I5,AVANCEVENDEDOR!$A$2:$R$34,11,0)</f>
        <v>30681.3</v>
      </c>
      <c r="F41" s="187"/>
      <c r="G41" s="188" t="s">
        <v>136</v>
      </c>
      <c r="H41" s="187">
        <f>E41*100/E40</f>
        <v>24.781915460739938</v>
      </c>
      <c r="I41" s="121" t="s">
        <v>48</v>
      </c>
    </row>
    <row r="42" spans="1:10">
      <c r="A42" s="121"/>
      <c r="B42" s="121" t="s">
        <v>137</v>
      </c>
      <c r="C42" s="121"/>
      <c r="D42" s="121"/>
      <c r="E42" s="187">
        <f>VLOOKUP(I5,AVANCEVENDEDOR!$A$2:$R$34,9,0)</f>
        <v>93200.03</v>
      </c>
      <c r="F42" s="187"/>
      <c r="G42" s="188"/>
      <c r="H42" s="121"/>
      <c r="I42" s="121"/>
    </row>
    <row r="43" spans="1:10">
      <c r="A43" s="121"/>
      <c r="B43" s="121"/>
      <c r="C43" s="121"/>
      <c r="D43" s="121"/>
      <c r="E43" s="121"/>
      <c r="F43" s="121"/>
      <c r="G43" s="188"/>
      <c r="H43" s="121"/>
      <c r="I43" s="121"/>
    </row>
    <row r="44" spans="1:10">
      <c r="A44" s="121"/>
      <c r="B44" s="121" t="s">
        <v>280</v>
      </c>
      <c r="C44" s="121"/>
      <c r="D44" s="121"/>
      <c r="E44" s="187">
        <f>VLOOKUP(I5,AVANCEVENDEDOR!$A$2:$R$34,13,0)</f>
        <v>109</v>
      </c>
      <c r="F44" s="187"/>
      <c r="G44" s="121"/>
      <c r="H44" s="187"/>
      <c r="I44" s="121"/>
    </row>
    <row r="45" spans="1:10">
      <c r="A45" s="121"/>
      <c r="B45" s="121" t="s">
        <v>281</v>
      </c>
      <c r="C45" s="121"/>
      <c r="D45" s="121"/>
      <c r="E45" s="187">
        <f>VLOOKUP(I5,AVANCEVENDEDOR!$A$2:$R$34,14,0)</f>
        <v>26</v>
      </c>
      <c r="F45" s="187"/>
      <c r="G45" s="188" t="s">
        <v>140</v>
      </c>
      <c r="H45" s="187">
        <f>E45*100/E44</f>
        <v>23.853211009174313</v>
      </c>
      <c r="I45" s="121" t="s">
        <v>48</v>
      </c>
    </row>
    <row r="54" spans="1:9">
      <c r="A54" s="84" t="s">
        <v>112</v>
      </c>
      <c r="B54" s="120"/>
      <c r="C54" s="120"/>
      <c r="D54" s="120"/>
      <c r="E54" s="120"/>
      <c r="F54" s="120"/>
      <c r="G54" s="120"/>
      <c r="H54" s="120"/>
      <c r="I54" s="120"/>
    </row>
    <row r="55" spans="1:9">
      <c r="A55" s="84" t="s">
        <v>113</v>
      </c>
      <c r="B55" s="120"/>
      <c r="C55" s="120"/>
      <c r="D55" s="120"/>
      <c r="E55" s="120"/>
      <c r="F55" s="120"/>
      <c r="G55" s="120"/>
      <c r="H55" s="120"/>
      <c r="I55" s="179" t="str">
        <f>+CONCATENATE("20154_",I57)</f>
        <v>20154_18</v>
      </c>
    </row>
    <row r="56" spans="1:9">
      <c r="A56" s="84" t="s">
        <v>114</v>
      </c>
      <c r="B56" s="120"/>
      <c r="C56" s="120"/>
      <c r="D56" s="120"/>
      <c r="E56" s="120"/>
      <c r="F56" s="120"/>
      <c r="G56" s="120"/>
      <c r="H56" s="120"/>
      <c r="I56" s="120"/>
    </row>
    <row r="57" spans="1:9">
      <c r="A57" s="120"/>
      <c r="B57" s="120"/>
      <c r="C57" s="120"/>
      <c r="D57" s="120"/>
      <c r="E57" s="120"/>
      <c r="F57" s="120"/>
      <c r="G57" s="120"/>
      <c r="H57" s="120"/>
      <c r="I57" s="81">
        <v>18</v>
      </c>
    </row>
    <row r="58" spans="1:9">
      <c r="A58" s="120" t="s">
        <v>115</v>
      </c>
      <c r="B58" s="120"/>
      <c r="C58" s="120"/>
      <c r="D58" s="120"/>
      <c r="E58" s="120"/>
      <c r="F58" s="120"/>
      <c r="G58" s="120"/>
      <c r="H58" s="120"/>
      <c r="I58" s="83">
        <f>I6</f>
        <v>43739</v>
      </c>
    </row>
    <row r="59" spans="1:9">
      <c r="A59" s="120"/>
      <c r="B59" s="120"/>
      <c r="C59" s="120"/>
      <c r="D59" s="120"/>
      <c r="E59" s="120"/>
      <c r="F59" s="120"/>
      <c r="G59" s="120"/>
      <c r="H59" s="120"/>
      <c r="I59" s="120"/>
    </row>
    <row r="60" spans="1:9">
      <c r="A60" s="120" t="s">
        <v>116</v>
      </c>
      <c r="B60" s="120"/>
      <c r="C60" s="84" t="str">
        <f>VLOOKUP(I57,AVANCEVENDEDOR!$A$2:$R$35,3,0)</f>
        <v>CHICATA APAZA JOSE LUIS</v>
      </c>
      <c r="D60" s="120"/>
      <c r="E60" s="120"/>
      <c r="F60" s="120"/>
      <c r="G60" s="120"/>
      <c r="H60" s="120"/>
      <c r="I60" s="120" t="s">
        <v>825</v>
      </c>
    </row>
    <row r="61" spans="1:9">
      <c r="A61" s="120"/>
      <c r="B61" s="120"/>
      <c r="C61" s="120"/>
      <c r="D61" s="120"/>
      <c r="E61" s="120"/>
      <c r="F61" s="120"/>
      <c r="G61" s="120"/>
      <c r="H61" s="120"/>
      <c r="I61" s="84" t="s">
        <v>118</v>
      </c>
    </row>
    <row r="62" spans="1:9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>
      <c r="A63" s="120" t="s">
        <v>119</v>
      </c>
      <c r="B63" s="120"/>
      <c r="C63" s="120"/>
      <c r="D63" s="120"/>
      <c r="E63" s="120"/>
      <c r="F63" s="120"/>
      <c r="G63" s="120"/>
      <c r="H63" s="120"/>
      <c r="I63" s="181">
        <v>650</v>
      </c>
    </row>
    <row r="64" spans="1:9">
      <c r="A64" s="120" t="s">
        <v>120</v>
      </c>
      <c r="B64" s="120"/>
      <c r="C64" s="120"/>
      <c r="D64" s="120"/>
      <c r="E64" s="120"/>
      <c r="F64" s="86" t="s">
        <v>272</v>
      </c>
      <c r="G64" s="86" t="s">
        <v>122</v>
      </c>
      <c r="H64" s="86" t="s">
        <v>123</v>
      </c>
      <c r="I64" s="181">
        <v>200</v>
      </c>
    </row>
    <row r="65" spans="1:9">
      <c r="A65" s="120" t="s">
        <v>124</v>
      </c>
      <c r="B65" s="120"/>
      <c r="C65" s="120"/>
      <c r="D65" s="120"/>
      <c r="E65" s="120"/>
      <c r="F65" s="181"/>
      <c r="G65" s="181">
        <f>IF(I57=13,80,85)</f>
        <v>85</v>
      </c>
      <c r="H65" s="181">
        <f>+H87</f>
        <v>0</v>
      </c>
      <c r="I65" s="181"/>
    </row>
    <row r="66" spans="1:9">
      <c r="A66" s="120"/>
      <c r="B66" s="120" t="s">
        <v>352</v>
      </c>
      <c r="C66" s="120"/>
      <c r="D66" s="120"/>
      <c r="E66" s="120"/>
      <c r="F66" s="182">
        <v>0.1</v>
      </c>
      <c r="H66" s="182">
        <f>H88</f>
        <v>0</v>
      </c>
      <c r="I66" s="181">
        <f>IF($H$65&gt;=85,E88*F66%,0)</f>
        <v>0</v>
      </c>
    </row>
    <row r="67" spans="1:9">
      <c r="A67" s="120"/>
      <c r="B67" s="120" t="s">
        <v>353</v>
      </c>
      <c r="C67" s="120"/>
      <c r="D67" s="120"/>
      <c r="E67" s="120"/>
      <c r="F67" s="182">
        <v>0.4</v>
      </c>
      <c r="H67" s="182">
        <f>H89</f>
        <v>100</v>
      </c>
      <c r="I67" s="181">
        <f>IF($H$65&gt;=85,E89*F67%,0)</f>
        <v>0</v>
      </c>
    </row>
    <row r="68" spans="1:9">
      <c r="A68" s="120"/>
      <c r="B68" s="120" t="s">
        <v>354</v>
      </c>
      <c r="C68" s="120"/>
      <c r="D68" s="120"/>
      <c r="E68" s="120"/>
      <c r="F68" s="182">
        <v>0.3</v>
      </c>
      <c r="H68" s="182">
        <f>H90</f>
        <v>0</v>
      </c>
      <c r="I68" s="181">
        <f>IF($H$65&gt;=85,E90*F68%,0)</f>
        <v>0</v>
      </c>
    </row>
    <row r="69" spans="1:9">
      <c r="A69" s="120" t="s">
        <v>125</v>
      </c>
      <c r="B69" s="120"/>
      <c r="C69" s="120"/>
      <c r="D69" s="120"/>
      <c r="E69" s="120"/>
      <c r="F69" s="181">
        <v>0.5</v>
      </c>
      <c r="G69" s="181">
        <v>5</v>
      </c>
      <c r="H69" s="181" t="e">
        <f>+H93</f>
        <v>#DIV/0!</v>
      </c>
      <c r="I69" s="181" t="e">
        <f>+IF(H69&lt;=G69,E87*F69%,0)</f>
        <v>#DIV/0!</v>
      </c>
    </row>
    <row r="70" spans="1:9">
      <c r="A70" s="120" t="s">
        <v>273</v>
      </c>
      <c r="B70" s="120"/>
      <c r="C70" s="120"/>
      <c r="D70" s="120"/>
      <c r="E70" s="120"/>
      <c r="F70" s="181">
        <f>IF(I57=3,0.1,0.2)</f>
        <v>0.2</v>
      </c>
      <c r="G70" s="181">
        <v>85</v>
      </c>
      <c r="H70" s="181">
        <f>+H97</f>
        <v>1.4705882352941178</v>
      </c>
      <c r="I70" s="181">
        <f>IF(H70&gt;=G70,E87*F70%,0)</f>
        <v>0</v>
      </c>
    </row>
    <row r="71" spans="1:9">
      <c r="A71" s="120" t="s">
        <v>127</v>
      </c>
      <c r="B71" s="120"/>
      <c r="C71" s="120"/>
      <c r="D71" s="120"/>
      <c r="E71" s="120"/>
      <c r="F71" s="120"/>
      <c r="G71" s="120"/>
      <c r="H71" s="120"/>
      <c r="I71" s="181">
        <v>0</v>
      </c>
    </row>
    <row r="72" spans="1:9">
      <c r="A72" s="120" t="s">
        <v>128</v>
      </c>
      <c r="B72" s="120"/>
      <c r="C72" s="120"/>
      <c r="D72" s="120"/>
      <c r="E72" s="120"/>
      <c r="F72" s="120"/>
      <c r="G72" s="120"/>
      <c r="H72" s="120"/>
      <c r="I72" s="181">
        <v>0</v>
      </c>
    </row>
    <row r="73" spans="1:9">
      <c r="A73" s="120"/>
      <c r="B73" s="120"/>
      <c r="C73" s="120"/>
      <c r="D73" s="120"/>
      <c r="E73" s="120"/>
      <c r="F73" s="120"/>
      <c r="G73" s="120"/>
      <c r="H73" s="120"/>
      <c r="I73" s="120"/>
    </row>
    <row r="74" spans="1:9" ht="8.25" customHeight="1">
      <c r="A74" s="120"/>
      <c r="B74" s="120"/>
      <c r="C74" s="91"/>
      <c r="D74" s="91"/>
      <c r="E74" s="91"/>
      <c r="F74" s="223"/>
      <c r="G74" s="81"/>
      <c r="H74" s="120"/>
      <c r="I74" s="181"/>
    </row>
    <row r="75" spans="1:9" ht="9" customHeight="1">
      <c r="A75" s="121"/>
      <c r="B75" s="121"/>
      <c r="C75" s="187"/>
      <c r="D75" s="187"/>
      <c r="E75" s="187"/>
      <c r="F75" s="187"/>
      <c r="G75" s="81"/>
      <c r="H75" s="81"/>
      <c r="I75" s="124"/>
    </row>
    <row r="76" spans="1:9" ht="9" customHeight="1">
      <c r="A76" s="121"/>
      <c r="B76" s="121"/>
      <c r="C76" s="187"/>
      <c r="D76" s="187"/>
      <c r="E76" s="187"/>
      <c r="F76" s="187"/>
      <c r="G76" s="81"/>
      <c r="H76" s="81"/>
      <c r="I76" s="124"/>
    </row>
    <row r="77" spans="1:9" ht="9" customHeight="1">
      <c r="A77" s="121"/>
      <c r="B77" s="121"/>
      <c r="C77" s="187"/>
      <c r="D77" s="187"/>
      <c r="E77" s="187"/>
      <c r="F77" s="187"/>
      <c r="G77" s="81"/>
      <c r="H77" s="81"/>
      <c r="I77" s="124"/>
    </row>
    <row r="78" spans="1:9" ht="9" customHeight="1">
      <c r="A78" s="121"/>
      <c r="B78" s="121"/>
      <c r="C78" s="187"/>
      <c r="D78" s="187"/>
      <c r="E78" s="187"/>
      <c r="F78" s="187"/>
      <c r="G78" s="81"/>
      <c r="H78" s="81"/>
      <c r="I78" s="124"/>
    </row>
    <row r="79" spans="1:9" ht="9" customHeight="1">
      <c r="A79" s="121"/>
      <c r="B79" s="121"/>
      <c r="C79" s="187"/>
      <c r="D79" s="187"/>
      <c r="E79" s="187"/>
      <c r="F79" s="187"/>
      <c r="G79" s="81"/>
      <c r="H79" s="81"/>
      <c r="I79" s="124"/>
    </row>
    <row r="80" spans="1:9">
      <c r="A80" s="224"/>
      <c r="B80" s="225"/>
      <c r="C80" s="226"/>
      <c r="D80" s="226"/>
      <c r="E80" s="226"/>
      <c r="F80" s="226"/>
      <c r="G80" s="197"/>
      <c r="H80" s="197"/>
      <c r="I80" s="227"/>
    </row>
    <row r="81" spans="1:10">
      <c r="A81" s="189"/>
      <c r="B81" s="189"/>
      <c r="C81" s="189"/>
      <c r="D81" s="189"/>
      <c r="E81" s="189"/>
      <c r="F81" s="189"/>
      <c r="G81" s="189"/>
      <c r="H81" s="228"/>
      <c r="I81" s="192"/>
    </row>
    <row r="82" spans="1:10">
      <c r="A82" s="120"/>
      <c r="B82" s="84" t="str">
        <f>IF(I57=13,"Remuneracion Extra"," ")</f>
        <v xml:space="preserve"> </v>
      </c>
      <c r="C82" s="120"/>
      <c r="D82" s="120"/>
      <c r="E82" s="120"/>
      <c r="F82" s="120"/>
      <c r="G82" s="120"/>
      <c r="H82" s="120"/>
      <c r="I82" s="183"/>
    </row>
    <row r="83" spans="1:10" ht="15.75">
      <c r="A83" s="184" t="s">
        <v>129</v>
      </c>
      <c r="B83" s="185"/>
      <c r="C83" s="185"/>
      <c r="D83" s="185"/>
      <c r="E83" s="185"/>
      <c r="F83" s="185"/>
      <c r="G83" s="185"/>
      <c r="H83" s="185"/>
      <c r="I83" s="186" t="e">
        <f>SUM(I63:I82)</f>
        <v>#DIV/0!</v>
      </c>
    </row>
    <row r="84" spans="1:10">
      <c r="A84" s="120"/>
      <c r="B84" s="120"/>
      <c r="C84" s="120"/>
      <c r="D84" s="120"/>
      <c r="E84" s="120"/>
      <c r="F84" s="120"/>
      <c r="G84" s="120"/>
      <c r="H84" s="120"/>
      <c r="I84" s="120"/>
    </row>
    <row r="85" spans="1:10">
      <c r="A85" s="121" t="s">
        <v>130</v>
      </c>
      <c r="B85" s="121"/>
      <c r="C85" s="121"/>
      <c r="D85" s="121"/>
      <c r="E85" s="121"/>
      <c r="F85" s="121"/>
      <c r="G85" s="121"/>
      <c r="H85" s="121"/>
      <c r="I85" s="121"/>
    </row>
    <row r="86" spans="1:10">
      <c r="A86" s="121"/>
      <c r="B86" s="121" t="s">
        <v>131</v>
      </c>
      <c r="C86" s="121"/>
      <c r="D86" s="121"/>
      <c r="E86" s="229">
        <f>VLOOKUP(I57,AVANCEVENDEDOR!$A$2:$R$34,7,0)</f>
        <v>0</v>
      </c>
      <c r="F86" s="229"/>
      <c r="G86" s="230"/>
      <c r="H86" s="230"/>
      <c r="I86" s="121"/>
    </row>
    <row r="87" spans="1:10">
      <c r="A87" s="121"/>
      <c r="B87" s="121" t="s">
        <v>132</v>
      </c>
      <c r="C87" s="121"/>
      <c r="D87" s="121"/>
      <c r="E87" s="229">
        <f>VLOOKUP(I57,AVANCEVENDEDOR!$A$2:$R$34,6,0)</f>
        <v>617.25</v>
      </c>
      <c r="F87" s="229"/>
      <c r="G87" s="231" t="s">
        <v>355</v>
      </c>
      <c r="H87" s="229">
        <v>0</v>
      </c>
      <c r="I87" s="121" t="s">
        <v>48</v>
      </c>
    </row>
    <row r="88" spans="1:10">
      <c r="A88" s="121"/>
      <c r="B88" s="121" t="s">
        <v>352</v>
      </c>
      <c r="C88" s="121"/>
      <c r="D88" s="121"/>
      <c r="E88" s="187">
        <f>VLOOKUP(I57,condicion!$A$5:$F$8,4,0)</f>
        <v>0</v>
      </c>
      <c r="F88" s="187"/>
      <c r="G88" s="188"/>
      <c r="H88" s="187">
        <f>E88*100/E87</f>
        <v>0</v>
      </c>
      <c r="I88" s="121" t="s">
        <v>48</v>
      </c>
    </row>
    <row r="89" spans="1:10">
      <c r="A89" s="121"/>
      <c r="B89" s="121" t="s">
        <v>353</v>
      </c>
      <c r="C89" s="121"/>
      <c r="D89" s="121"/>
      <c r="E89" s="187">
        <f>VLOOKUP(I57,condicion!$A$5:$F$8,3,0)</f>
        <v>617.25</v>
      </c>
      <c r="F89" s="187"/>
      <c r="G89" s="188"/>
      <c r="H89" s="187">
        <f>E89*100/E87</f>
        <v>100</v>
      </c>
      <c r="I89" s="121" t="s">
        <v>48</v>
      </c>
      <c r="J89" s="146"/>
    </row>
    <row r="90" spans="1:10">
      <c r="A90" s="121"/>
      <c r="B90" s="121" t="s">
        <v>354</v>
      </c>
      <c r="C90" s="121"/>
      <c r="D90" s="121"/>
      <c r="E90" s="187">
        <f>VLOOKUP(I57,condicion!$A$5:$F$8,5,0)</f>
        <v>0</v>
      </c>
      <c r="F90" s="187"/>
      <c r="G90" s="188"/>
      <c r="H90" s="187">
        <f>E90*100/E87</f>
        <v>0</v>
      </c>
      <c r="I90" s="121" t="s">
        <v>48</v>
      </c>
    </row>
    <row r="91" spans="1:10">
      <c r="A91" s="121"/>
      <c r="B91" s="121"/>
      <c r="C91" s="121"/>
      <c r="D91" s="121"/>
      <c r="E91" s="121"/>
      <c r="F91" s="121"/>
      <c r="G91" s="188"/>
      <c r="H91" s="121"/>
      <c r="I91" s="121"/>
    </row>
    <row r="92" spans="1:10">
      <c r="A92" s="121"/>
      <c r="B92" s="121" t="s">
        <v>134</v>
      </c>
      <c r="C92" s="121"/>
      <c r="D92" s="121"/>
      <c r="E92" s="187">
        <f>VLOOKUP(I57,AVANCEVENDEDOR!$A$2:$R$34,10,0)</f>
        <v>0</v>
      </c>
      <c r="F92" s="187"/>
      <c r="G92" s="188"/>
      <c r="H92" s="121"/>
      <c r="I92" s="121"/>
    </row>
    <row r="93" spans="1:10">
      <c r="A93" s="121"/>
      <c r="B93" s="121" t="s">
        <v>135</v>
      </c>
      <c r="C93" s="121"/>
      <c r="D93" s="121"/>
      <c r="E93" s="187">
        <f>VLOOKUP(I57,AVANCEVENDEDOR!$A$2:$R$34,11,0)</f>
        <v>0</v>
      </c>
      <c r="F93" s="187"/>
      <c r="G93" s="188" t="s">
        <v>136</v>
      </c>
      <c r="H93" s="187" t="e">
        <f>E93*100/E92</f>
        <v>#DIV/0!</v>
      </c>
      <c r="I93" s="121" t="s">
        <v>48</v>
      </c>
    </row>
    <row r="94" spans="1:10">
      <c r="A94" s="121"/>
      <c r="B94" s="121" t="s">
        <v>137</v>
      </c>
      <c r="C94" s="121"/>
      <c r="D94" s="121"/>
      <c r="E94" s="187">
        <f>VLOOKUP(I57,AVANCEVENDEDOR!$A$2:$R$34,9,0)</f>
        <v>728.35</v>
      </c>
      <c r="F94" s="187"/>
      <c r="G94" s="188"/>
      <c r="H94" s="121"/>
      <c r="I94" s="121"/>
    </row>
    <row r="95" spans="1:10">
      <c r="A95" s="121"/>
      <c r="B95" s="121"/>
      <c r="C95" s="121"/>
      <c r="D95" s="121"/>
      <c r="E95" s="121"/>
      <c r="F95" s="121"/>
      <c r="G95" s="188"/>
      <c r="H95" s="121"/>
      <c r="I95" s="121"/>
    </row>
    <row r="96" spans="1:10">
      <c r="A96" s="121"/>
      <c r="B96" s="121" t="s">
        <v>280</v>
      </c>
      <c r="C96" s="121"/>
      <c r="D96" s="121"/>
      <c r="E96" s="187">
        <f>VLOOKUP(I57,AVANCEVENDEDOR!$A$2:$R$34,13,0)</f>
        <v>136</v>
      </c>
      <c r="F96" s="187"/>
      <c r="G96" s="121"/>
      <c r="H96" s="187"/>
      <c r="I96" s="121"/>
    </row>
    <row r="97" spans="1:9">
      <c r="A97" s="121"/>
      <c r="B97" s="121" t="s">
        <v>281</v>
      </c>
      <c r="C97" s="121"/>
      <c r="D97" s="121"/>
      <c r="E97" s="187">
        <f>VLOOKUP(I57,AVANCEVENDEDOR!$A$2:$R$34,14,0)</f>
        <v>2</v>
      </c>
      <c r="F97" s="187"/>
      <c r="G97" s="188" t="s">
        <v>140</v>
      </c>
      <c r="H97" s="187">
        <f>E97*100/E96</f>
        <v>1.4705882352941178</v>
      </c>
      <c r="I97" s="121" t="s">
        <v>48</v>
      </c>
    </row>
    <row r="106" spans="1:9">
      <c r="A106" s="84" t="s">
        <v>112</v>
      </c>
      <c r="B106" s="120"/>
      <c r="C106" s="120"/>
      <c r="D106" s="120"/>
      <c r="E106" s="120"/>
      <c r="F106" s="120"/>
      <c r="G106" s="120"/>
      <c r="H106" s="120"/>
      <c r="I106" s="120"/>
    </row>
    <row r="107" spans="1:9">
      <c r="A107" s="84" t="s">
        <v>113</v>
      </c>
      <c r="B107" s="120"/>
      <c r="C107" s="120"/>
      <c r="D107" s="120"/>
      <c r="E107" s="120"/>
      <c r="F107" s="120"/>
      <c r="G107" s="120"/>
      <c r="H107" s="120"/>
      <c r="I107" s="179" t="str">
        <f>+CONCATENATE("20154_",I109)</f>
        <v>20154_19</v>
      </c>
    </row>
    <row r="108" spans="1:9">
      <c r="A108" s="84" t="s">
        <v>114</v>
      </c>
      <c r="B108" s="120"/>
      <c r="C108" s="120"/>
      <c r="D108" s="120"/>
      <c r="E108" s="120"/>
      <c r="F108" s="120"/>
      <c r="G108" s="120"/>
      <c r="H108" s="120"/>
      <c r="I108" s="120"/>
    </row>
    <row r="109" spans="1:9">
      <c r="A109" s="120"/>
      <c r="B109" s="120"/>
      <c r="C109" s="120"/>
      <c r="D109" s="120"/>
      <c r="E109" s="120"/>
      <c r="F109" s="120"/>
      <c r="G109" s="120"/>
      <c r="H109" s="120"/>
      <c r="I109" s="81">
        <v>19</v>
      </c>
    </row>
    <row r="110" spans="1:9">
      <c r="A110" s="120" t="s">
        <v>115</v>
      </c>
      <c r="B110" s="120"/>
      <c r="C110" s="120"/>
      <c r="D110" s="120"/>
      <c r="E110" s="120"/>
      <c r="F110" s="120"/>
      <c r="G110" s="120"/>
      <c r="H110" s="120"/>
      <c r="I110" s="83">
        <f>I6</f>
        <v>43739</v>
      </c>
    </row>
    <row r="111" spans="1:9">
      <c r="A111" s="120"/>
      <c r="B111" s="120"/>
      <c r="C111" s="120"/>
      <c r="D111" s="120"/>
      <c r="E111" s="120"/>
      <c r="F111" s="120"/>
      <c r="G111" s="120"/>
      <c r="H111" s="120"/>
      <c r="I111" s="120"/>
    </row>
    <row r="112" spans="1:9">
      <c r="A112" s="120" t="s">
        <v>116</v>
      </c>
      <c r="B112" s="120"/>
      <c r="C112" s="84" t="str">
        <f>VLOOKUP(I109,AVANCEVENDEDOR!$A$2:$R$35,3,0)</f>
        <v>RAMOS CHACON CARMEN ROSA</v>
      </c>
      <c r="D112" s="120"/>
      <c r="E112" s="120"/>
      <c r="F112" s="120"/>
      <c r="G112" s="120"/>
      <c r="H112" s="120"/>
      <c r="I112" s="120"/>
    </row>
    <row r="113" spans="1:9">
      <c r="A113" s="120"/>
      <c r="B113" s="120"/>
      <c r="C113" s="120"/>
      <c r="D113" s="120"/>
      <c r="E113" s="120"/>
      <c r="F113" s="120"/>
      <c r="G113" s="120"/>
      <c r="H113" s="120"/>
      <c r="I113" s="84" t="s">
        <v>118</v>
      </c>
    </row>
    <row r="114" spans="1:9">
      <c r="A114" s="120"/>
      <c r="B114" s="120"/>
      <c r="C114" s="120"/>
      <c r="D114" s="120"/>
      <c r="E114" s="120"/>
      <c r="F114" s="120"/>
      <c r="G114" s="120"/>
      <c r="H114" s="120"/>
      <c r="I114" s="120"/>
    </row>
    <row r="115" spans="1:9">
      <c r="A115" s="120" t="s">
        <v>119</v>
      </c>
      <c r="B115" s="120"/>
      <c r="C115" s="120"/>
      <c r="D115" s="120"/>
      <c r="E115" s="120"/>
      <c r="F115" s="120"/>
      <c r="G115" s="120"/>
      <c r="H115" s="120"/>
      <c r="I115" s="181">
        <v>730</v>
      </c>
    </row>
    <row r="116" spans="1:9">
      <c r="A116" s="120" t="s">
        <v>120</v>
      </c>
      <c r="B116" s="120"/>
      <c r="C116" s="120"/>
      <c r="D116" s="120"/>
      <c r="E116" s="120"/>
      <c r="F116" s="86" t="s">
        <v>272</v>
      </c>
      <c r="G116" s="86" t="s">
        <v>122</v>
      </c>
      <c r="H116" s="86" t="s">
        <v>123</v>
      </c>
      <c r="I116" s="181">
        <v>200</v>
      </c>
    </row>
    <row r="117" spans="1:9">
      <c r="A117" s="120" t="s">
        <v>124</v>
      </c>
      <c r="B117" s="120"/>
      <c r="C117" s="120"/>
      <c r="D117" s="120"/>
      <c r="E117" s="120"/>
      <c r="F117" s="181"/>
      <c r="G117" s="181">
        <f>IF(I109=13,80,85)</f>
        <v>85</v>
      </c>
      <c r="H117" s="181">
        <f>+H139</f>
        <v>88.211564380264747</v>
      </c>
      <c r="I117" s="181"/>
    </row>
    <row r="118" spans="1:9">
      <c r="A118" s="120"/>
      <c r="B118" s="120" t="s">
        <v>352</v>
      </c>
      <c r="C118" s="120"/>
      <c r="D118" s="120"/>
      <c r="E118" s="120"/>
      <c r="F118" s="182">
        <v>0.1</v>
      </c>
      <c r="H118" s="182">
        <f>H140</f>
        <v>20.960315705281896</v>
      </c>
      <c r="I118" s="181">
        <f>IF($H$117&gt;=85,E140*F118%,0)</f>
        <v>15.364709999999999</v>
      </c>
    </row>
    <row r="119" spans="1:9">
      <c r="A119" s="120"/>
      <c r="B119" s="120" t="s">
        <v>353</v>
      </c>
      <c r="C119" s="120"/>
      <c r="D119" s="120"/>
      <c r="E119" s="120"/>
      <c r="F119" s="182">
        <v>0.4</v>
      </c>
      <c r="H119" s="182">
        <f>H141</f>
        <v>80.788965812281788</v>
      </c>
      <c r="I119" s="181">
        <f>IF($H$117&gt;=85,E141*F119%,0)</f>
        <v>236.88556</v>
      </c>
    </row>
    <row r="120" spans="1:9">
      <c r="A120" s="120"/>
      <c r="B120" s="120" t="s">
        <v>354</v>
      </c>
      <c r="C120" s="120"/>
      <c r="D120" s="120"/>
      <c r="E120" s="120"/>
      <c r="F120" s="182">
        <v>0.3</v>
      </c>
      <c r="H120" s="182">
        <f>H142</f>
        <v>0</v>
      </c>
      <c r="I120" s="181">
        <f>IF($H$35&gt;=85,E142*F120%,0)</f>
        <v>0</v>
      </c>
    </row>
    <row r="121" spans="1:9">
      <c r="A121" s="120" t="s">
        <v>125</v>
      </c>
      <c r="B121" s="120"/>
      <c r="C121" s="120"/>
      <c r="D121" s="120"/>
      <c r="E121" s="120"/>
      <c r="F121" s="181">
        <v>0.5</v>
      </c>
      <c r="G121" s="181">
        <v>5</v>
      </c>
      <c r="H121" s="181">
        <f>+H145</f>
        <v>1.6420012567441657</v>
      </c>
      <c r="I121" s="181">
        <f>+IF(H121&lt;=G121,E139*F121%,0)</f>
        <v>366.51904999999999</v>
      </c>
    </row>
    <row r="122" spans="1:9">
      <c r="A122" s="120" t="s">
        <v>273</v>
      </c>
      <c r="B122" s="120"/>
      <c r="C122" s="120"/>
      <c r="D122" s="120"/>
      <c r="E122" s="120"/>
      <c r="F122" s="181">
        <f>IF(I109=3,0.1,0.2)</f>
        <v>0.2</v>
      </c>
      <c r="G122" s="181">
        <v>85</v>
      </c>
      <c r="H122" s="181">
        <f>+H149</f>
        <v>57.352941176470587</v>
      </c>
      <c r="I122" s="181">
        <f>IF(H122&gt;=G122,E139*F122%,0)</f>
        <v>0</v>
      </c>
    </row>
    <row r="123" spans="1:9">
      <c r="A123" s="120" t="s">
        <v>127</v>
      </c>
      <c r="B123" s="120"/>
      <c r="C123" s="120"/>
      <c r="D123" s="120"/>
      <c r="E123" s="120"/>
      <c r="F123" s="120"/>
      <c r="G123" s="120"/>
      <c r="H123" s="120"/>
      <c r="I123" s="181">
        <v>0</v>
      </c>
    </row>
    <row r="124" spans="1:9">
      <c r="A124" s="120" t="s">
        <v>128</v>
      </c>
      <c r="B124" s="120"/>
      <c r="C124" s="120"/>
      <c r="D124" s="120"/>
      <c r="E124" s="120"/>
      <c r="F124" s="120"/>
      <c r="G124" s="120"/>
      <c r="H124" s="120"/>
      <c r="I124" s="181">
        <v>0</v>
      </c>
    </row>
    <row r="125" spans="1:9">
      <c r="A125" s="120"/>
      <c r="B125" s="120"/>
      <c r="C125" s="120"/>
      <c r="D125" s="120"/>
      <c r="E125" s="120"/>
      <c r="F125" s="120"/>
      <c r="G125" s="120"/>
      <c r="H125" s="120"/>
      <c r="I125" s="120"/>
    </row>
    <row r="126" spans="1:9" ht="8.25" customHeight="1">
      <c r="A126" s="120"/>
      <c r="B126" s="120"/>
      <c r="C126" s="91"/>
      <c r="D126" s="91"/>
      <c r="E126" s="91"/>
      <c r="F126" s="223"/>
      <c r="G126" s="81"/>
      <c r="H126" s="120"/>
      <c r="I126" s="181"/>
    </row>
    <row r="127" spans="1:9" ht="9" customHeight="1">
      <c r="A127" s="121"/>
      <c r="B127" s="121"/>
      <c r="C127" s="187"/>
      <c r="D127" s="187"/>
      <c r="E127" s="187"/>
      <c r="F127" s="187"/>
      <c r="G127" s="81"/>
      <c r="H127" s="81"/>
      <c r="I127" s="124"/>
    </row>
    <row r="128" spans="1:9" ht="9" customHeight="1">
      <c r="A128" s="121"/>
      <c r="B128" s="121"/>
      <c r="C128" s="187"/>
      <c r="D128" s="187"/>
      <c r="E128" s="187"/>
      <c r="F128" s="187"/>
      <c r="G128" s="81"/>
      <c r="H128" s="81"/>
      <c r="I128" s="124"/>
    </row>
    <row r="129" spans="1:10" ht="9" customHeight="1">
      <c r="A129" s="121"/>
      <c r="B129" s="121"/>
      <c r="C129" s="187"/>
      <c r="D129" s="187"/>
      <c r="E129" s="187"/>
      <c r="F129" s="187"/>
      <c r="G129" s="81"/>
      <c r="H129" s="81"/>
      <c r="I129" s="124"/>
    </row>
    <row r="130" spans="1:10" ht="9" customHeight="1">
      <c r="A130" s="121"/>
      <c r="B130" s="121"/>
      <c r="C130" s="187"/>
      <c r="D130" s="187"/>
      <c r="E130" s="187"/>
      <c r="F130" s="187"/>
      <c r="G130" s="81"/>
      <c r="H130" s="81"/>
      <c r="I130" s="124"/>
    </row>
    <row r="131" spans="1:10" ht="9" customHeight="1">
      <c r="A131" s="121"/>
      <c r="B131" s="121"/>
      <c r="C131" s="187"/>
      <c r="D131" s="187"/>
      <c r="E131" s="187"/>
      <c r="F131" s="187"/>
      <c r="G131" s="81"/>
      <c r="H131" s="81"/>
      <c r="I131" s="124"/>
    </row>
    <row r="132" spans="1:10">
      <c r="A132" s="224"/>
      <c r="B132" s="225"/>
      <c r="C132" s="226"/>
      <c r="D132" s="226"/>
      <c r="E132" s="226"/>
      <c r="F132" s="226"/>
      <c r="G132" s="197"/>
      <c r="H132" s="197"/>
      <c r="I132" s="227"/>
    </row>
    <row r="133" spans="1:10">
      <c r="A133" s="189"/>
      <c r="B133" s="189"/>
      <c r="C133" s="189"/>
      <c r="D133" s="189"/>
      <c r="E133" s="189"/>
      <c r="F133" s="189"/>
      <c r="G133" s="189"/>
      <c r="H133" s="228"/>
      <c r="I133" s="192"/>
    </row>
    <row r="134" spans="1:10">
      <c r="A134" s="120"/>
      <c r="B134" s="84" t="str">
        <f>IF(I109=13,"Remuneracion Extra"," ")</f>
        <v xml:space="preserve"> </v>
      </c>
      <c r="C134" s="120"/>
      <c r="D134" s="120"/>
      <c r="E134" s="120"/>
      <c r="F134" s="120"/>
      <c r="G134" s="120"/>
      <c r="H134" s="120"/>
      <c r="I134" s="183"/>
    </row>
    <row r="135" spans="1:10" ht="15.75">
      <c r="A135" s="184" t="s">
        <v>129</v>
      </c>
      <c r="B135" s="185"/>
      <c r="C135" s="185"/>
      <c r="D135" s="185"/>
      <c r="E135" s="185"/>
      <c r="F135" s="185"/>
      <c r="G135" s="185"/>
      <c r="H135" s="185"/>
      <c r="I135" s="186">
        <f>SUM(I115:I134)</f>
        <v>1548.7693199999999</v>
      </c>
    </row>
    <row r="136" spans="1:10">
      <c r="A136" s="120"/>
      <c r="B136" s="120"/>
      <c r="C136" s="120"/>
      <c r="D136" s="120"/>
      <c r="E136" s="120"/>
      <c r="F136" s="120"/>
      <c r="G136" s="120"/>
      <c r="H136" s="120"/>
      <c r="I136" s="120"/>
    </row>
    <row r="137" spans="1:10">
      <c r="A137" s="121" t="s">
        <v>130</v>
      </c>
      <c r="B137" s="121"/>
      <c r="C137" s="121"/>
      <c r="D137" s="121"/>
      <c r="E137" s="121"/>
      <c r="F137" s="121"/>
      <c r="G137" s="121"/>
      <c r="H137" s="121"/>
      <c r="I137" s="121"/>
    </row>
    <row r="138" spans="1:10">
      <c r="A138" s="121"/>
      <c r="B138" s="121" t="s">
        <v>131</v>
      </c>
      <c r="C138" s="121"/>
      <c r="D138" s="121"/>
      <c r="E138" s="229">
        <f>VLOOKUP(I109,AVANCEVENDEDOR!$A$2:$R$34,7,0)</f>
        <v>83100</v>
      </c>
      <c r="F138" s="229"/>
      <c r="G138" s="230"/>
      <c r="H138" s="230"/>
      <c r="I138" s="121"/>
    </row>
    <row r="139" spans="1:10">
      <c r="A139" s="121"/>
      <c r="B139" s="121" t="s">
        <v>132</v>
      </c>
      <c r="C139" s="121"/>
      <c r="D139" s="121"/>
      <c r="E139" s="229">
        <f>VLOOKUP(I109,AVANCEVENDEDOR!$A$2:$R$34,6,0)</f>
        <v>73303.81</v>
      </c>
      <c r="F139" s="229"/>
      <c r="G139" s="231" t="s">
        <v>355</v>
      </c>
      <c r="H139" s="229">
        <f>E139*100/E138</f>
        <v>88.211564380264747</v>
      </c>
      <c r="I139" s="121" t="s">
        <v>48</v>
      </c>
    </row>
    <row r="140" spans="1:10">
      <c r="A140" s="121"/>
      <c r="B140" s="121" t="s">
        <v>352</v>
      </c>
      <c r="C140" s="121"/>
      <c r="D140" s="121"/>
      <c r="E140" s="187">
        <f>VLOOKUP(I109,condicion!$A$5:$F$8,4,0)</f>
        <v>15364.71</v>
      </c>
      <c r="F140" s="187"/>
      <c r="G140" s="188"/>
      <c r="H140" s="187">
        <f>E140*100/E139</f>
        <v>20.960315705281896</v>
      </c>
      <c r="I140" s="121" t="s">
        <v>48</v>
      </c>
    </row>
    <row r="141" spans="1:10">
      <c r="A141" s="121"/>
      <c r="B141" s="121" t="s">
        <v>353</v>
      </c>
      <c r="C141" s="121"/>
      <c r="D141" s="121"/>
      <c r="E141" s="187">
        <f>VLOOKUP(I109,condicion!$A$5:$F$8,3,0)</f>
        <v>59221.39</v>
      </c>
      <c r="F141" s="187"/>
      <c r="G141" s="188"/>
      <c r="H141" s="187">
        <f>E141*100/E139</f>
        <v>80.788965812281788</v>
      </c>
      <c r="I141" s="121" t="s">
        <v>48</v>
      </c>
      <c r="J141" s="146"/>
    </row>
    <row r="142" spans="1:10">
      <c r="A142" s="121"/>
      <c r="B142" s="121" t="s">
        <v>354</v>
      </c>
      <c r="C142" s="121"/>
      <c r="D142" s="121"/>
      <c r="E142" s="187">
        <f>VLOOKUP(I109,condicion!$A$5:$F$8,5,0)</f>
        <v>0</v>
      </c>
      <c r="F142" s="187"/>
      <c r="G142" s="188"/>
      <c r="H142" s="187">
        <f>E142*100/E139</f>
        <v>0</v>
      </c>
      <c r="I142" s="121" t="s">
        <v>48</v>
      </c>
    </row>
    <row r="143" spans="1:10">
      <c r="A143" s="121"/>
      <c r="B143" s="121"/>
      <c r="C143" s="121"/>
      <c r="D143" s="121"/>
      <c r="E143" s="121"/>
      <c r="F143" s="121"/>
      <c r="G143" s="188"/>
      <c r="H143" s="121"/>
      <c r="I143" s="121"/>
    </row>
    <row r="144" spans="1:10">
      <c r="A144" s="121"/>
      <c r="B144" s="121" t="s">
        <v>134</v>
      </c>
      <c r="C144" s="121"/>
      <c r="D144" s="121"/>
      <c r="E144" s="187">
        <f>VLOOKUP(I109,AVANCEVENDEDOR!$A$2:$R$34,10,0)</f>
        <v>18460.400000000001</v>
      </c>
      <c r="F144" s="187"/>
      <c r="G144" s="188"/>
      <c r="H144" s="121"/>
      <c r="I144" s="121"/>
    </row>
    <row r="145" spans="1:9">
      <c r="A145" s="121"/>
      <c r="B145" s="121" t="s">
        <v>135</v>
      </c>
      <c r="C145" s="121"/>
      <c r="D145" s="121"/>
      <c r="E145" s="187">
        <f>VLOOKUP(I109,AVANCEVENDEDOR!$A$2:$R$34,11,0)</f>
        <v>303.12</v>
      </c>
      <c r="F145" s="187"/>
      <c r="G145" s="188" t="s">
        <v>136</v>
      </c>
      <c r="H145" s="187">
        <f>E145*100/E144</f>
        <v>1.6420012567441657</v>
      </c>
      <c r="I145" s="121" t="s">
        <v>48</v>
      </c>
    </row>
    <row r="146" spans="1:9">
      <c r="A146" s="121"/>
      <c r="B146" s="121" t="s">
        <v>137</v>
      </c>
      <c r="C146" s="121"/>
      <c r="D146" s="121"/>
      <c r="E146" s="187">
        <f>VLOOKUP(I109,AVANCEVENDEDOR!$A$2:$R$34,9,0)</f>
        <v>100616.91</v>
      </c>
      <c r="F146" s="187"/>
      <c r="G146" s="188"/>
      <c r="H146" s="121"/>
      <c r="I146" s="121"/>
    </row>
    <row r="147" spans="1:9">
      <c r="A147" s="121"/>
      <c r="B147" s="121"/>
      <c r="C147" s="121"/>
      <c r="D147" s="121"/>
      <c r="E147" s="121"/>
      <c r="F147" s="121"/>
      <c r="G147" s="188"/>
      <c r="H147" s="121"/>
      <c r="I147" s="121"/>
    </row>
    <row r="148" spans="1:9">
      <c r="A148" s="121"/>
      <c r="B148" s="121" t="s">
        <v>280</v>
      </c>
      <c r="C148" s="121"/>
      <c r="D148" s="121"/>
      <c r="E148" s="187">
        <f>VLOOKUP(I109,AVANCEVENDEDOR!$A$2:$R$34,13,0)</f>
        <v>204</v>
      </c>
      <c r="F148" s="187"/>
      <c r="G148" s="121"/>
      <c r="H148" s="187"/>
      <c r="I148" s="121"/>
    </row>
    <row r="149" spans="1:9">
      <c r="A149" s="121"/>
      <c r="B149" s="121" t="s">
        <v>281</v>
      </c>
      <c r="C149" s="121"/>
      <c r="D149" s="121"/>
      <c r="E149" s="187">
        <f>VLOOKUP(I109,AVANCEVENDEDOR!$A$2:$R$34,14,0)</f>
        <v>117</v>
      </c>
      <c r="F149" s="187"/>
      <c r="G149" s="188" t="s">
        <v>140</v>
      </c>
      <c r="H149" s="187">
        <f>E149*100/E148</f>
        <v>57.352941176470587</v>
      </c>
      <c r="I149" s="121" t="s">
        <v>48</v>
      </c>
    </row>
  </sheetData>
  <pageMargins left="0.70833333333333304" right="0.70833333333333304" top="0.74791666666666701" bottom="0.74791666666666701" header="0.51180555555555496" footer="0.51180555555555496"/>
  <pageSetup paperSize="9" firstPageNumber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4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1" width="10" customWidth="1"/>
    <col min="2" max="2" width="15" customWidth="1"/>
    <col min="3" max="3" width="9.140625" customWidth="1"/>
    <col min="4" max="4" width="5.7109375" customWidth="1"/>
    <col min="5" max="5" width="10" customWidth="1"/>
    <col min="6" max="8" width="9.140625" customWidth="1"/>
    <col min="9" max="9" width="11.140625" customWidth="1"/>
    <col min="10" max="10" width="9.7109375" customWidth="1"/>
    <col min="11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20154_19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81">
        <v>19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42705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>RAMOS CHACON CARMEN ROSA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650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v>200</v>
      </c>
    </row>
    <row r="12" spans="1:9">
      <c r="A12" s="120" t="s">
        <v>124</v>
      </c>
      <c r="B12" s="120"/>
      <c r="C12" s="120"/>
      <c r="D12" s="120"/>
      <c r="E12" s="120"/>
      <c r="F12" s="181"/>
      <c r="G12" s="181">
        <f>IF(I4=13,80,85)</f>
        <v>85</v>
      </c>
      <c r="H12" s="181">
        <f>+H34</f>
        <v>88.211564380264747</v>
      </c>
      <c r="I12" s="181"/>
    </row>
    <row r="13" spans="1:9">
      <c r="A13" s="120"/>
      <c r="B13" s="120" t="s">
        <v>352</v>
      </c>
      <c r="C13" s="120"/>
      <c r="D13" s="120"/>
      <c r="E13" s="120"/>
      <c r="F13" s="182">
        <v>0.1</v>
      </c>
      <c r="H13" s="182">
        <f>H35</f>
        <v>20.960315705281896</v>
      </c>
      <c r="I13" s="181">
        <f>IF($H$34&gt;=85,E35*F13%,0)</f>
        <v>15.364709999999999</v>
      </c>
    </row>
    <row r="14" spans="1:9">
      <c r="A14" s="120"/>
      <c r="B14" s="120" t="s">
        <v>353</v>
      </c>
      <c r="C14" s="120"/>
      <c r="D14" s="120"/>
      <c r="E14" s="120"/>
      <c r="F14" s="182">
        <v>0.4</v>
      </c>
      <c r="H14" s="182">
        <f>H36</f>
        <v>80.788965812281788</v>
      </c>
      <c r="I14" s="181">
        <f>IF($H$34&gt;=85,E36*F14%,0)</f>
        <v>236.88556</v>
      </c>
    </row>
    <row r="15" spans="1:9">
      <c r="A15" s="120"/>
      <c r="B15" s="120" t="s">
        <v>354</v>
      </c>
      <c r="C15" s="120"/>
      <c r="D15" s="120"/>
      <c r="E15" s="120"/>
      <c r="F15" s="182">
        <v>0.3</v>
      </c>
      <c r="H15" s="182">
        <f>H37</f>
        <v>0</v>
      </c>
      <c r="I15" s="181">
        <f>IF($H$34&gt;=85,E37*F15%,0)</f>
        <v>0</v>
      </c>
    </row>
    <row r="16" spans="1:9">
      <c r="A16" s="120" t="s">
        <v>356</v>
      </c>
      <c r="B16" s="120"/>
      <c r="C16" s="120"/>
      <c r="D16" s="120"/>
      <c r="E16" s="120"/>
      <c r="F16" s="181">
        <v>0.5</v>
      </c>
      <c r="G16" s="181">
        <v>8</v>
      </c>
      <c r="H16" s="181">
        <f>+H40</f>
        <v>1.6420012567441657</v>
      </c>
      <c r="I16" s="181">
        <f>+IF(H16&lt;=G16,E34*F16%,0)</f>
        <v>366.51904999999999</v>
      </c>
    </row>
    <row r="17" spans="1:9">
      <c r="A17" s="120" t="s">
        <v>273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+H44</f>
        <v>57.352941176470587</v>
      </c>
      <c r="I17" s="181">
        <f>IF(H17&gt;=G17,E34*F17%,0)</f>
        <v>0</v>
      </c>
    </row>
    <row r="18" spans="1:9">
      <c r="A18" s="120" t="s">
        <v>127</v>
      </c>
      <c r="B18" s="120"/>
      <c r="C18" s="120"/>
      <c r="D18" s="120"/>
      <c r="E18" s="120"/>
      <c r="F18" s="120"/>
      <c r="G18" s="120"/>
      <c r="H18" s="120"/>
      <c r="I18" s="181">
        <v>0</v>
      </c>
    </row>
    <row r="19" spans="1:9">
      <c r="A19" s="120" t="s">
        <v>128</v>
      </c>
      <c r="B19" s="120"/>
      <c r="C19" s="120"/>
      <c r="D19" s="120"/>
      <c r="E19" s="120"/>
      <c r="F19" s="120"/>
      <c r="G19" s="120"/>
      <c r="H19" s="120"/>
      <c r="I19" s="181">
        <v>0</v>
      </c>
    </row>
    <row r="20" spans="1:9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9" ht="8.25" customHeight="1">
      <c r="A21" s="120"/>
      <c r="B21" s="120"/>
      <c r="C21" s="91"/>
      <c r="D21" s="91"/>
      <c r="E21" s="91"/>
      <c r="F21" s="223"/>
      <c r="G21" s="81"/>
      <c r="H21" s="120"/>
      <c r="I21" s="181"/>
    </row>
    <row r="22" spans="1:9" ht="9" customHeight="1">
      <c r="A22" s="121"/>
      <c r="B22" s="121"/>
      <c r="C22" s="187"/>
      <c r="D22" s="187"/>
      <c r="E22" s="187"/>
      <c r="F22" s="187"/>
      <c r="G22" s="81"/>
      <c r="H22" s="81"/>
      <c r="I22" s="124"/>
    </row>
    <row r="23" spans="1:9" ht="9" customHeight="1">
      <c r="A23" s="121"/>
      <c r="B23" s="121"/>
      <c r="C23" s="187"/>
      <c r="D23" s="187"/>
      <c r="E23" s="187"/>
      <c r="F23" s="187"/>
      <c r="G23" s="81"/>
      <c r="H23" s="81"/>
      <c r="I23" s="124"/>
    </row>
    <row r="24" spans="1:9" ht="9" customHeight="1">
      <c r="A24" s="121"/>
      <c r="B24" s="121"/>
      <c r="C24" s="187"/>
      <c r="D24" s="187"/>
      <c r="E24" s="187"/>
      <c r="F24" s="187"/>
      <c r="G24" s="81"/>
      <c r="H24" s="81"/>
      <c r="I24" s="124"/>
    </row>
    <row r="25" spans="1:9" ht="9" customHeight="1">
      <c r="A25" s="121"/>
      <c r="B25" s="121"/>
      <c r="C25" s="187"/>
      <c r="D25" s="187"/>
      <c r="E25" s="187"/>
      <c r="F25" s="187"/>
      <c r="G25" s="81"/>
      <c r="H25" s="81"/>
      <c r="I25" s="124"/>
    </row>
    <row r="26" spans="1:9" ht="9" customHeight="1">
      <c r="A26" s="121"/>
      <c r="B26" s="121"/>
      <c r="C26" s="187"/>
      <c r="D26" s="187"/>
      <c r="E26" s="187"/>
      <c r="F26" s="187"/>
      <c r="G26" s="81"/>
      <c r="H26" s="81"/>
      <c r="I26" s="124"/>
    </row>
    <row r="27" spans="1:9">
      <c r="A27" s="121"/>
      <c r="B27" s="230" t="s">
        <v>208</v>
      </c>
      <c r="C27" s="187"/>
      <c r="D27" s="187"/>
      <c r="E27" s="187"/>
      <c r="F27" s="187"/>
      <c r="G27" s="81"/>
      <c r="H27" s="81"/>
      <c r="I27" s="124"/>
    </row>
    <row r="28" spans="1:9">
      <c r="A28" s="120" t="s">
        <v>357</v>
      </c>
      <c r="B28" s="120" t="s">
        <v>209</v>
      </c>
      <c r="C28" s="120"/>
      <c r="D28" s="120"/>
      <c r="E28" s="120">
        <f>VLOOKUP(I4,condicion!A13:F17,3,0)</f>
        <v>0</v>
      </c>
      <c r="F28" s="120"/>
      <c r="G28" s="120"/>
      <c r="H28" s="232">
        <v>0.01</v>
      </c>
      <c r="I28" s="182">
        <f>H28*E28</f>
        <v>0</v>
      </c>
    </row>
    <row r="29" spans="1:9">
      <c r="A29" s="120"/>
      <c r="B29" s="84" t="str">
        <f>IF(I4=13,"Remuneracion Extra"," ")</f>
        <v xml:space="preserve"> </v>
      </c>
      <c r="C29" s="120"/>
      <c r="D29" s="120"/>
      <c r="E29" s="120"/>
      <c r="F29" s="120"/>
      <c r="G29" s="120"/>
      <c r="H29" s="120"/>
      <c r="I29" s="183"/>
    </row>
    <row r="30" spans="1:9" ht="15.75">
      <c r="A30" s="184" t="s">
        <v>129</v>
      </c>
      <c r="B30" s="185"/>
      <c r="C30" s="185"/>
      <c r="D30" s="185"/>
      <c r="E30" s="185"/>
      <c r="F30" s="185"/>
      <c r="G30" s="185"/>
      <c r="H30" s="185"/>
      <c r="I30" s="186">
        <f>SUM(I10:I29)</f>
        <v>1468.7693199999999</v>
      </c>
    </row>
    <row r="31" spans="1:9">
      <c r="A31" s="120"/>
      <c r="B31" s="120"/>
      <c r="C31" s="120"/>
      <c r="D31" s="120"/>
      <c r="E31" s="120"/>
      <c r="F31" s="120"/>
      <c r="G31" s="120"/>
      <c r="H31" s="120"/>
      <c r="I31" s="120"/>
    </row>
    <row r="32" spans="1:9">
      <c r="A32" s="121" t="s">
        <v>130</v>
      </c>
      <c r="B32" s="121"/>
      <c r="C32" s="121"/>
      <c r="D32" s="121"/>
      <c r="E32" s="121"/>
      <c r="F32" s="121"/>
      <c r="G32" s="121"/>
      <c r="H32" s="121"/>
      <c r="I32" s="121"/>
    </row>
    <row r="33" spans="1:14">
      <c r="A33" s="121"/>
      <c r="B33" s="121" t="s">
        <v>131</v>
      </c>
      <c r="C33" s="121"/>
      <c r="D33" s="121"/>
      <c r="E33" s="229">
        <f>VLOOKUP(I4,AVANCEVENDEDOR!A2:R34,7,0)</f>
        <v>83100</v>
      </c>
      <c r="F33" s="229"/>
      <c r="G33" s="230"/>
      <c r="H33" s="230"/>
      <c r="I33" s="121"/>
      <c r="N33" s="150"/>
    </row>
    <row r="34" spans="1:14">
      <c r="A34" s="121"/>
      <c r="B34" s="121" t="s">
        <v>132</v>
      </c>
      <c r="C34" s="121"/>
      <c r="D34" s="121"/>
      <c r="E34" s="229">
        <f>VLOOKUP(I4,AVANCEVENDEDOR!A2:R34,6,0)</f>
        <v>73303.81</v>
      </c>
      <c r="F34" s="229"/>
      <c r="G34" s="231" t="s">
        <v>355</v>
      </c>
      <c r="H34" s="229">
        <f>E34*100/E33</f>
        <v>88.211564380264747</v>
      </c>
      <c r="I34" s="121" t="s">
        <v>48</v>
      </c>
    </row>
    <row r="35" spans="1:14">
      <c r="A35" s="121"/>
      <c r="B35" s="121" t="s">
        <v>352</v>
      </c>
      <c r="C35" s="121"/>
      <c r="D35" s="121"/>
      <c r="E35" s="187">
        <f>VLOOKUP(I4,condicion!$A$5:$F$8,4,0)</f>
        <v>15364.71</v>
      </c>
      <c r="F35" s="187"/>
      <c r="G35" s="188"/>
      <c r="H35" s="187">
        <f>E35*100/E34</f>
        <v>20.960315705281896</v>
      </c>
      <c r="I35" s="121" t="s">
        <v>48</v>
      </c>
    </row>
    <row r="36" spans="1:14">
      <c r="A36" s="121"/>
      <c r="B36" s="121" t="s">
        <v>353</v>
      </c>
      <c r="C36" s="121"/>
      <c r="D36" s="121"/>
      <c r="E36" s="187">
        <f>VLOOKUP(I4,condicion!$A$5:$F$8,3,0)-E28</f>
        <v>59221.39</v>
      </c>
      <c r="F36" s="187"/>
      <c r="G36" s="188"/>
      <c r="H36" s="187">
        <f>E36*100/E34</f>
        <v>80.788965812281788</v>
      </c>
      <c r="I36" s="121" t="s">
        <v>48</v>
      </c>
      <c r="J36" s="146"/>
    </row>
    <row r="37" spans="1:14">
      <c r="A37" s="121"/>
      <c r="B37" s="121" t="s">
        <v>354</v>
      </c>
      <c r="C37" s="121"/>
      <c r="D37" s="121"/>
      <c r="E37" s="187">
        <f>VLOOKUP(I4,condicion!$A$5:$F$8,5,0)</f>
        <v>0</v>
      </c>
      <c r="F37" s="187"/>
      <c r="G37" s="188"/>
      <c r="H37" s="187">
        <f>E37*100/E34</f>
        <v>0</v>
      </c>
      <c r="I37" s="121" t="s">
        <v>48</v>
      </c>
    </row>
    <row r="38" spans="1:14">
      <c r="A38" s="121"/>
      <c r="B38" s="121"/>
      <c r="C38" s="121"/>
      <c r="D38" s="121"/>
      <c r="E38" s="121"/>
      <c r="F38" s="121"/>
      <c r="G38" s="188"/>
      <c r="H38" s="121"/>
      <c r="I38" s="121"/>
    </row>
    <row r="39" spans="1:14">
      <c r="A39" s="121"/>
      <c r="B39" s="121" t="s">
        <v>134</v>
      </c>
      <c r="C39" s="121"/>
      <c r="D39" s="121"/>
      <c r="E39" s="187">
        <f>VLOOKUP(I4,AVANCEVENDEDOR!A2:R34,10,0)</f>
        <v>18460.400000000001</v>
      </c>
      <c r="F39" s="187"/>
      <c r="G39" s="188"/>
      <c r="H39" s="121"/>
      <c r="I39" s="121"/>
    </row>
    <row r="40" spans="1:14">
      <c r="A40" s="121"/>
      <c r="B40" s="121" t="s">
        <v>135</v>
      </c>
      <c r="C40" s="121"/>
      <c r="D40" s="121"/>
      <c r="E40" s="187">
        <f>VLOOKUP(I4,AVANCEVENDEDOR!A2:R34,11,0)</f>
        <v>303.12</v>
      </c>
      <c r="F40" s="187"/>
      <c r="G40" s="188" t="s">
        <v>136</v>
      </c>
      <c r="H40" s="187">
        <f>E40*100/E39</f>
        <v>1.6420012567441657</v>
      </c>
      <c r="I40" s="121" t="s">
        <v>48</v>
      </c>
    </row>
    <row r="41" spans="1:14">
      <c r="A41" s="121"/>
      <c r="B41" s="121" t="s">
        <v>137</v>
      </c>
      <c r="C41" s="121"/>
      <c r="D41" s="121"/>
      <c r="E41" s="187">
        <f>VLOOKUP(I4,AVANCEVENDEDOR!A2:R34,9,0)</f>
        <v>100616.91</v>
      </c>
      <c r="F41" s="187"/>
      <c r="G41" s="188"/>
      <c r="H41" s="121"/>
      <c r="I41" s="121"/>
    </row>
    <row r="42" spans="1:14">
      <c r="A42" s="121"/>
      <c r="B42" s="121"/>
      <c r="C42" s="121"/>
      <c r="D42" s="121"/>
      <c r="E42" s="121"/>
      <c r="F42" s="121"/>
      <c r="G42" s="188"/>
      <c r="H42" s="121"/>
      <c r="I42" s="121"/>
    </row>
    <row r="43" spans="1:14">
      <c r="A43" s="121"/>
      <c r="B43" s="121" t="s">
        <v>280</v>
      </c>
      <c r="C43" s="121"/>
      <c r="D43" s="121"/>
      <c r="E43" s="187">
        <f>VLOOKUP(I4,AVANCEVENDEDOR!A2:R34,13,0)</f>
        <v>204</v>
      </c>
      <c r="F43" s="187"/>
      <c r="G43" s="121"/>
      <c r="H43" s="187"/>
      <c r="I43" s="121"/>
    </row>
    <row r="44" spans="1:14">
      <c r="A44" s="121"/>
      <c r="B44" s="121" t="s">
        <v>281</v>
      </c>
      <c r="C44" s="121"/>
      <c r="D44" s="121"/>
      <c r="E44" s="187">
        <f>VLOOKUP(I4,AVANCEVENDEDOR!A2:R34,14,0)</f>
        <v>117</v>
      </c>
      <c r="F44" s="187"/>
      <c r="G44" s="188" t="s">
        <v>140</v>
      </c>
      <c r="H44" s="187">
        <f>E44*100/E43</f>
        <v>57.352941176470587</v>
      </c>
      <c r="I44" s="121" t="s">
        <v>48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44"/>
  <sheetViews>
    <sheetView zoomScale="120" zoomScaleNormal="120" workbookViewId="0">
      <selection activeCell="M33" sqref="M33"/>
    </sheetView>
  </sheetViews>
  <sheetFormatPr baseColWidth="10" defaultColWidth="8.85546875" defaultRowHeight="15"/>
  <cols>
    <col min="1" max="1" width="9.140625" customWidth="1"/>
    <col min="2" max="2" width="15" customWidth="1"/>
    <col min="3" max="3" width="9.140625" customWidth="1"/>
    <col min="4" max="4" width="5.7109375" customWidth="1"/>
    <col min="5" max="5" width="9.42578125" customWidth="1"/>
    <col min="6" max="8" width="9.140625" customWidth="1"/>
    <col min="9" max="9" width="11.140625" customWidth="1"/>
    <col min="10" max="10" width="9.7109375" customWidth="1"/>
    <col min="11" max="11" width="9.140625" customWidth="1"/>
    <col min="12" max="12" width="36.7109375" customWidth="1"/>
    <col min="13" max="13" width="10.42578125" customWidth="1"/>
    <col min="14" max="1025" width="9.140625" customWidth="1"/>
  </cols>
  <sheetData>
    <row r="1" spans="1:17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17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20154_14</v>
      </c>
    </row>
    <row r="3" spans="1:17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17">
      <c r="A4" s="120"/>
      <c r="B4" s="120"/>
      <c r="C4" s="120"/>
      <c r="D4" s="120"/>
      <c r="E4" s="120"/>
      <c r="F4" s="120"/>
      <c r="G4" s="120"/>
      <c r="H4" s="120"/>
      <c r="I4" s="81">
        <v>14</v>
      </c>
    </row>
    <row r="5" spans="1:17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42491</v>
      </c>
    </row>
    <row r="6" spans="1:17">
      <c r="A6" s="120"/>
      <c r="B6" s="120"/>
      <c r="C6" s="120"/>
      <c r="D6" s="120"/>
      <c r="E6" s="120"/>
      <c r="F6" s="120"/>
      <c r="G6" s="120"/>
      <c r="H6" s="120"/>
      <c r="I6" s="120"/>
    </row>
    <row r="7" spans="1:17">
      <c r="A7" s="120" t="s">
        <v>116</v>
      </c>
      <c r="B7" s="120"/>
      <c r="C7" s="84" t="str">
        <f>VLOOKUP(I4,AVANCEVENDEDOR!A2:R34,3,0)</f>
        <v>COTACALLAPA JOVE ROBERTO</v>
      </c>
      <c r="D7" s="120"/>
      <c r="E7" s="120"/>
      <c r="F7" s="120"/>
      <c r="G7" s="120"/>
      <c r="H7" s="120"/>
      <c r="I7" s="120"/>
    </row>
    <row r="8" spans="1:17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17">
      <c r="A9" s="120"/>
      <c r="B9" s="120"/>
      <c r="C9" s="120"/>
      <c r="D9" s="120"/>
      <c r="E9" s="120"/>
      <c r="F9" s="120"/>
      <c r="G9" s="120"/>
      <c r="H9" s="120"/>
      <c r="I9" s="120"/>
    </row>
    <row r="10" spans="1:17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17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f>200</f>
        <v>200</v>
      </c>
    </row>
    <row r="12" spans="1:17">
      <c r="A12" s="120" t="s">
        <v>124</v>
      </c>
      <c r="B12" s="120"/>
      <c r="C12" s="120"/>
      <c r="D12" s="120"/>
      <c r="E12" s="120"/>
      <c r="F12" s="181">
        <v>0.3</v>
      </c>
      <c r="G12" s="181">
        <f>IF(I4=13,80,85)</f>
        <v>85</v>
      </c>
      <c r="H12" s="181">
        <f>+H34</f>
        <v>70.764305249228059</v>
      </c>
      <c r="I12" s="181">
        <v>0</v>
      </c>
    </row>
    <row r="13" spans="1:17">
      <c r="A13" s="120"/>
      <c r="B13" s="120" t="s">
        <v>352</v>
      </c>
      <c r="C13" s="120"/>
      <c r="D13" s="120"/>
      <c r="E13" s="120"/>
      <c r="F13" s="182">
        <v>0.1</v>
      </c>
      <c r="H13" s="182">
        <f>H35</f>
        <v>1.7785141103489857</v>
      </c>
      <c r="I13" s="181">
        <f>IF($H$34&gt;=85,E35*F13%,0)</f>
        <v>0</v>
      </c>
    </row>
    <row r="14" spans="1:17">
      <c r="A14" s="120"/>
      <c r="B14" s="120" t="s">
        <v>353</v>
      </c>
      <c r="C14" s="120"/>
      <c r="D14" s="120"/>
      <c r="E14" s="120"/>
      <c r="F14" s="182">
        <v>0.4</v>
      </c>
      <c r="H14" s="182">
        <f>H36</f>
        <v>67.029636956569988</v>
      </c>
      <c r="I14" s="181">
        <f>IF($H$34&gt;=85,E36*F14%,0)</f>
        <v>0</v>
      </c>
    </row>
    <row r="15" spans="1:17">
      <c r="A15" s="120"/>
      <c r="B15" s="120" t="s">
        <v>354</v>
      </c>
      <c r="C15" s="120"/>
      <c r="D15" s="120"/>
      <c r="E15" s="120"/>
      <c r="F15" s="182">
        <v>0.3</v>
      </c>
      <c r="H15" s="182">
        <f>H37</f>
        <v>25.746060345083375</v>
      </c>
      <c r="I15" s="181">
        <f>IF($H$34&gt;=85,E37*F15%,0)</f>
        <v>0</v>
      </c>
    </row>
    <row r="16" spans="1:17">
      <c r="A16" s="120" t="s">
        <v>356</v>
      </c>
      <c r="B16" s="120"/>
      <c r="C16" s="120"/>
      <c r="D16" s="120"/>
      <c r="E16" s="120"/>
      <c r="F16" s="181">
        <v>0.5</v>
      </c>
      <c r="G16" s="181">
        <v>8</v>
      </c>
      <c r="H16" s="181">
        <f>+H40</f>
        <v>24.781915460739938</v>
      </c>
      <c r="I16" s="181">
        <f>+IF(H16&lt;=G16,E34*F16%,0)</f>
        <v>0</v>
      </c>
      <c r="L16" s="68" t="s">
        <v>314</v>
      </c>
      <c r="M16" s="218" t="s">
        <v>315</v>
      </c>
      <c r="N16" s="218" t="s">
        <v>316</v>
      </c>
      <c r="O16" s="218" t="s">
        <v>317</v>
      </c>
      <c r="P16" s="218" t="s">
        <v>44</v>
      </c>
      <c r="Q16" s="68"/>
    </row>
    <row r="17" spans="1:17">
      <c r="A17" s="120" t="s">
        <v>273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+H44</f>
        <v>23.853211009174313</v>
      </c>
      <c r="I17" s="181">
        <f>IF(H17&gt;=G17,E34*F17%,0)</f>
        <v>0</v>
      </c>
      <c r="L17" s="10" t="s">
        <v>318</v>
      </c>
      <c r="M17" s="233">
        <v>12305.85</v>
      </c>
      <c r="N17" s="219">
        <v>0</v>
      </c>
      <c r="O17" s="233">
        <v>95727.93</v>
      </c>
      <c r="P17" s="219">
        <f t="shared" ref="P17:P25" si="0">O17+M17</f>
        <v>108033.78</v>
      </c>
      <c r="Q17" s="10"/>
    </row>
    <row r="18" spans="1:17">
      <c r="A18" s="120" t="s">
        <v>127</v>
      </c>
      <c r="B18" s="120"/>
      <c r="C18" s="120"/>
      <c r="D18" s="120"/>
      <c r="E18" s="120"/>
      <c r="F18" s="120"/>
      <c r="G18" s="120"/>
      <c r="H18" s="120"/>
      <c r="I18" s="181">
        <v>0</v>
      </c>
      <c r="L18" s="10" t="s">
        <v>319</v>
      </c>
      <c r="M18" s="219">
        <v>0</v>
      </c>
      <c r="N18" s="219">
        <v>0</v>
      </c>
      <c r="O18" s="219">
        <v>0</v>
      </c>
      <c r="P18" s="219">
        <f t="shared" si="0"/>
        <v>0</v>
      </c>
      <c r="Q18" s="10"/>
    </row>
    <row r="19" spans="1:17">
      <c r="A19" s="120" t="s">
        <v>128</v>
      </c>
      <c r="B19" s="120"/>
      <c r="C19" s="120"/>
      <c r="D19" s="120"/>
      <c r="E19" s="120"/>
      <c r="F19" s="120"/>
      <c r="G19" s="120"/>
      <c r="H19" s="120"/>
      <c r="I19" s="181">
        <v>0</v>
      </c>
      <c r="L19" s="10" t="s">
        <v>320</v>
      </c>
      <c r="M19" s="219">
        <v>0</v>
      </c>
      <c r="N19" s="219">
        <v>0</v>
      </c>
      <c r="O19" s="219">
        <v>0</v>
      </c>
      <c r="P19" s="219">
        <f t="shared" si="0"/>
        <v>0</v>
      </c>
      <c r="Q19" s="10"/>
    </row>
    <row r="20" spans="1:17">
      <c r="A20" s="120"/>
      <c r="B20" s="120"/>
      <c r="C20" s="120"/>
      <c r="D20" s="120"/>
      <c r="E20" s="120"/>
      <c r="F20" s="120"/>
      <c r="G20" s="120"/>
      <c r="H20" s="120"/>
      <c r="I20" s="120"/>
      <c r="K20">
        <v>14</v>
      </c>
      <c r="L20" s="10" t="s">
        <v>336</v>
      </c>
      <c r="M20" s="233">
        <v>15643.92</v>
      </c>
      <c r="N20" s="233">
        <v>11892.13</v>
      </c>
      <c r="O20" s="233">
        <v>9617.1</v>
      </c>
      <c r="P20" s="219">
        <f t="shared" si="0"/>
        <v>25261.02</v>
      </c>
      <c r="Q20" s="10"/>
    </row>
    <row r="21" spans="1:17">
      <c r="A21" s="120"/>
      <c r="B21" s="120"/>
      <c r="C21" s="91" t="s">
        <v>8</v>
      </c>
      <c r="D21" s="91"/>
      <c r="E21" s="91" t="s">
        <v>358</v>
      </c>
      <c r="F21" s="223" t="s">
        <v>359</v>
      </c>
      <c r="G21" s="81"/>
      <c r="H21" s="120"/>
      <c r="I21" s="181">
        <f>IF(SUM(I22:I25)=1,0,IF(SUM(I22:I25)=2,50,IF(SUM(I22:I25)=3,100,IF(SUM(I22:I25)=4,200,0))))</f>
        <v>0</v>
      </c>
      <c r="K21">
        <v>18</v>
      </c>
      <c r="L21" s="10" t="s">
        <v>322</v>
      </c>
      <c r="M21" s="233">
        <v>60413.33</v>
      </c>
      <c r="N21" s="233">
        <v>46905.84</v>
      </c>
      <c r="O21" s="219">
        <v>0</v>
      </c>
      <c r="P21" s="219">
        <f t="shared" si="0"/>
        <v>60413.33</v>
      </c>
      <c r="Q21" s="10"/>
    </row>
    <row r="22" spans="1:17">
      <c r="A22" s="121" t="s">
        <v>267</v>
      </c>
      <c r="B22" s="121" t="s">
        <v>360</v>
      </c>
      <c r="C22" s="187">
        <f>VLOOKUP(CONCATENATE(I2,A22),lineac!A50:J69,8,0)</f>
        <v>7000</v>
      </c>
      <c r="D22" s="187"/>
      <c r="E22" s="187">
        <f>VLOOKUP(CONCATENATE(I2,A22),lineac!A50:J69,9,0)</f>
        <v>2508.38</v>
      </c>
      <c r="F22" s="187">
        <f>E22*100/C22</f>
        <v>35.834000000000003</v>
      </c>
      <c r="G22" s="81"/>
      <c r="H22" s="81"/>
      <c r="I22" s="124">
        <f>+IF(F22&gt;=100,1,0)</f>
        <v>0</v>
      </c>
      <c r="K22">
        <v>19</v>
      </c>
      <c r="L22" s="10" t="s">
        <v>361</v>
      </c>
      <c r="M22" s="233">
        <v>76036.87</v>
      </c>
      <c r="N22" s="233">
        <v>20743.48</v>
      </c>
      <c r="O22" s="219">
        <v>0</v>
      </c>
      <c r="P22" s="219">
        <f t="shared" si="0"/>
        <v>76036.87</v>
      </c>
      <c r="Q22" s="10"/>
    </row>
    <row r="23" spans="1:17">
      <c r="A23" s="121" t="s">
        <v>295</v>
      </c>
      <c r="B23" s="121" t="s">
        <v>362</v>
      </c>
      <c r="C23" s="187">
        <f>VLOOKUP(CONCATENATE(I2,A23),lineac!A50:J69,8,0)</f>
        <v>0</v>
      </c>
      <c r="D23" s="187"/>
      <c r="E23" s="187">
        <f>VLOOKUP(CONCATENATE(I2,A23),lineac!A50:J69,9,0)</f>
        <v>0</v>
      </c>
      <c r="F23" s="187">
        <v>0</v>
      </c>
      <c r="G23" s="81"/>
      <c r="H23" s="81"/>
      <c r="I23" s="124">
        <f>+IF(F23&gt;=100,1,0)</f>
        <v>0</v>
      </c>
      <c r="K23">
        <v>17</v>
      </c>
      <c r="L23" s="10" t="s">
        <v>324</v>
      </c>
      <c r="M23" s="233">
        <v>17932.259999999998</v>
      </c>
      <c r="N23" s="233">
        <v>11829.99</v>
      </c>
      <c r="O23" s="219">
        <v>0</v>
      </c>
      <c r="P23" s="219">
        <f t="shared" si="0"/>
        <v>17932.259999999998</v>
      </c>
      <c r="Q23" s="10"/>
    </row>
    <row r="24" spans="1:17">
      <c r="A24" s="121" t="s">
        <v>159</v>
      </c>
      <c r="B24" s="121" t="s">
        <v>363</v>
      </c>
      <c r="C24" s="187">
        <f>VLOOKUP(CONCATENATE(I2,A24),lineac!A50:J69,8,0)</f>
        <v>7000</v>
      </c>
      <c r="D24" s="187"/>
      <c r="E24" s="187">
        <f>VLOOKUP(CONCATENATE(I2,A24),lineac!A50:J69,9,0)</f>
        <v>51.61</v>
      </c>
      <c r="F24" s="187">
        <f>E24*100/C24</f>
        <v>0.73728571428571432</v>
      </c>
      <c r="G24" s="81"/>
      <c r="H24" s="81"/>
      <c r="I24" s="124">
        <f>+IF(F24&gt;=100,1,0)</f>
        <v>0</v>
      </c>
      <c r="L24" s="10" t="s">
        <v>335</v>
      </c>
      <c r="M24" s="219">
        <v>0</v>
      </c>
      <c r="N24" s="219">
        <v>0</v>
      </c>
      <c r="O24" s="219">
        <v>0</v>
      </c>
      <c r="P24" s="219">
        <f t="shared" si="0"/>
        <v>0</v>
      </c>
      <c r="Q24" s="10"/>
    </row>
    <row r="25" spans="1:17">
      <c r="A25" s="121" t="s">
        <v>297</v>
      </c>
      <c r="B25" s="121" t="s">
        <v>364</v>
      </c>
      <c r="C25" s="187">
        <f>VLOOKUP(CONCATENATE(I2,A25),lineac!A50:J69,8,0)</f>
        <v>15500</v>
      </c>
      <c r="D25" s="187"/>
      <c r="E25" s="187">
        <f>VLOOKUP(CONCATENATE(I2,A25),lineac!A50:J69,9,0)</f>
        <v>12753.12</v>
      </c>
      <c r="F25" s="187">
        <f>E25*100/C25</f>
        <v>82.278193548387094</v>
      </c>
      <c r="G25" s="81"/>
      <c r="H25" s="81"/>
      <c r="I25" s="124">
        <f>+IF(F25&gt;=100,1,0)</f>
        <v>0</v>
      </c>
      <c r="L25" s="10" t="s">
        <v>326</v>
      </c>
      <c r="M25" s="219">
        <v>0</v>
      </c>
      <c r="N25" s="219">
        <v>0</v>
      </c>
      <c r="O25" s="219">
        <v>0</v>
      </c>
      <c r="P25" s="219">
        <f t="shared" si="0"/>
        <v>0</v>
      </c>
    </row>
    <row r="26" spans="1:17">
      <c r="A26" s="121"/>
      <c r="B26" s="121"/>
      <c r="C26" s="187"/>
      <c r="D26" s="187"/>
      <c r="E26" s="187"/>
      <c r="F26" s="187"/>
      <c r="G26" s="81"/>
      <c r="H26" s="81"/>
      <c r="I26" s="124"/>
      <c r="L26" s="76"/>
      <c r="M26" s="234"/>
      <c r="N26" s="234"/>
      <c r="O26" s="234"/>
      <c r="P26" s="234"/>
    </row>
    <row r="27" spans="1:17">
      <c r="A27" s="121"/>
      <c r="B27" s="230" t="s">
        <v>208</v>
      </c>
      <c r="C27" s="187"/>
      <c r="D27" s="187"/>
      <c r="E27" s="187"/>
      <c r="F27" s="187"/>
      <c r="G27" s="81"/>
      <c r="H27" s="81"/>
      <c r="I27" s="124"/>
      <c r="L27" s="76"/>
      <c r="M27" s="234"/>
      <c r="N27" s="234"/>
      <c r="O27" s="234"/>
      <c r="P27" s="234"/>
    </row>
    <row r="28" spans="1:17">
      <c r="A28" s="120" t="s">
        <v>357</v>
      </c>
      <c r="B28" s="121" t="s">
        <v>209</v>
      </c>
      <c r="C28" s="81"/>
      <c r="D28" s="81"/>
      <c r="E28" s="235">
        <f>VLOOKUP(I4,K33:P37,3,0)</f>
        <v>6368.55</v>
      </c>
      <c r="F28" s="81"/>
      <c r="G28" s="81"/>
      <c r="H28" s="123">
        <v>0.01</v>
      </c>
      <c r="I28" s="82">
        <f>H28*E28</f>
        <v>63.685500000000005</v>
      </c>
      <c r="M28">
        <f>SUM(M17:M25)</f>
        <v>182332.23</v>
      </c>
      <c r="N28">
        <f>SUM(N17:N25)</f>
        <v>91371.44</v>
      </c>
      <c r="O28">
        <f>SUM(O17:O25)</f>
        <v>105345.03</v>
      </c>
      <c r="P28">
        <f>SUM(P17:P25)</f>
        <v>287677.26</v>
      </c>
    </row>
    <row r="29" spans="1:17">
      <c r="A29" s="120"/>
      <c r="B29" s="84" t="str">
        <f>IF(I4=13,"Remuneracion Extra"," ")</f>
        <v xml:space="preserve"> </v>
      </c>
      <c r="C29" s="120"/>
      <c r="D29" s="120"/>
      <c r="E29" s="120"/>
      <c r="F29" s="120"/>
      <c r="G29" s="120"/>
      <c r="H29" s="120"/>
      <c r="I29" s="183"/>
    </row>
    <row r="30" spans="1:17" ht="15.75">
      <c r="A30" s="184" t="s">
        <v>129</v>
      </c>
      <c r="B30" s="185"/>
      <c r="C30" s="185"/>
      <c r="D30" s="185"/>
      <c r="E30" s="185"/>
      <c r="F30" s="185"/>
      <c r="G30" s="185"/>
      <c r="H30" s="185"/>
      <c r="I30" s="186">
        <f>IF(I4=13,+I10+I11+I12+I16+I17+I18-I19+I21+I29,+I10+I11+I12+I16+I17+I18-I19+I21+I13+I14+I15+I28)-I12</f>
        <v>813.68550000000005</v>
      </c>
    </row>
    <row r="31" spans="1:17">
      <c r="A31" s="120"/>
      <c r="B31" s="120"/>
      <c r="C31" s="120"/>
      <c r="D31" s="120"/>
      <c r="E31" s="120"/>
      <c r="F31" s="120"/>
      <c r="G31" s="120"/>
      <c r="H31" s="120"/>
      <c r="I31" s="120"/>
      <c r="L31" s="138"/>
    </row>
    <row r="32" spans="1:17">
      <c r="A32" s="121" t="s">
        <v>130</v>
      </c>
      <c r="B32" s="121"/>
      <c r="C32" s="121"/>
      <c r="D32" s="121"/>
      <c r="E32" s="121"/>
      <c r="F32" s="121"/>
      <c r="G32" s="121"/>
      <c r="H32" s="121"/>
      <c r="I32" s="121"/>
      <c r="K32" s="236" t="s">
        <v>314</v>
      </c>
      <c r="L32" s="236" t="s">
        <v>327</v>
      </c>
      <c r="M32" s="237" t="s">
        <v>328</v>
      </c>
      <c r="N32" s="237" t="s">
        <v>329</v>
      </c>
      <c r="O32" s="237" t="s">
        <v>330</v>
      </c>
      <c r="P32" s="236"/>
    </row>
    <row r="33" spans="1:16">
      <c r="A33" s="121"/>
      <c r="B33" s="121" t="s">
        <v>131</v>
      </c>
      <c r="C33" s="121"/>
      <c r="D33" s="121"/>
      <c r="E33" s="229">
        <f>VLOOKUP(I4,AVANCEVENDEDOR!A2:R34,7,0)</f>
        <v>113350</v>
      </c>
      <c r="F33" s="229"/>
      <c r="G33" s="230"/>
      <c r="H33" s="230"/>
      <c r="I33" s="121"/>
      <c r="K33" s="69">
        <v>100</v>
      </c>
      <c r="L33" s="69" t="s">
        <v>331</v>
      </c>
      <c r="M33" s="140">
        <v>25516.48</v>
      </c>
      <c r="N33" s="220">
        <v>73.39</v>
      </c>
      <c r="O33" s="220">
        <v>18</v>
      </c>
      <c r="P33" s="69"/>
    </row>
    <row r="34" spans="1:16">
      <c r="A34" s="121"/>
      <c r="B34" s="121" t="s">
        <v>132</v>
      </c>
      <c r="C34" s="121"/>
      <c r="D34" s="121"/>
      <c r="E34" s="229">
        <f>VLOOKUP(I4,AVANCEVENDEDOR!A2:R34,6,0)</f>
        <v>80211.34</v>
      </c>
      <c r="F34" s="229"/>
      <c r="G34" s="231" t="s">
        <v>355</v>
      </c>
      <c r="H34" s="229">
        <f>E34*100/E33</f>
        <v>70.764305249228059</v>
      </c>
      <c r="I34" s="121"/>
      <c r="K34" s="69">
        <v>18</v>
      </c>
      <c r="L34" s="69" t="s">
        <v>332</v>
      </c>
      <c r="M34" s="140">
        <v>3889.79</v>
      </c>
      <c r="N34" s="220">
        <v>18.13</v>
      </c>
      <c r="O34" s="220">
        <v>43</v>
      </c>
      <c r="P34" s="69"/>
    </row>
    <row r="35" spans="1:16">
      <c r="A35" s="121"/>
      <c r="B35" s="121" t="s">
        <v>352</v>
      </c>
      <c r="C35" s="121"/>
      <c r="D35" s="121"/>
      <c r="E35" s="187">
        <f>VLOOKUP(I4,condicion!$A$5:$F$8,4,0)</f>
        <v>1426.57</v>
      </c>
      <c r="F35" s="187"/>
      <c r="G35" s="188"/>
      <c r="H35" s="187">
        <f>E35*100/E34</f>
        <v>1.7785141103489857</v>
      </c>
      <c r="I35" s="121"/>
      <c r="K35" s="69">
        <v>17</v>
      </c>
      <c r="L35" s="69" t="s">
        <v>333</v>
      </c>
      <c r="M35" s="140">
        <v>1769.48</v>
      </c>
      <c r="N35" s="220">
        <v>3.45</v>
      </c>
      <c r="O35" s="220">
        <v>17</v>
      </c>
      <c r="P35" s="69"/>
    </row>
    <row r="36" spans="1:16">
      <c r="A36" s="121"/>
      <c r="B36" s="121" t="s">
        <v>353</v>
      </c>
      <c r="C36" s="121"/>
      <c r="D36" s="121"/>
      <c r="E36" s="187">
        <f>VLOOKUP(I4,condicion!$A$5:$F$8,3,0)-E28</f>
        <v>53765.369999999995</v>
      </c>
      <c r="F36" s="187"/>
      <c r="G36" s="188"/>
      <c r="H36" s="187">
        <f>E36*100/E34</f>
        <v>67.029636956569988</v>
      </c>
      <c r="I36" s="121"/>
      <c r="J36" s="146"/>
      <c r="K36" s="69">
        <v>14</v>
      </c>
      <c r="L36" s="69" t="s">
        <v>334</v>
      </c>
      <c r="M36" s="140">
        <v>6368.55</v>
      </c>
      <c r="N36" s="220">
        <v>2.6</v>
      </c>
      <c r="O36" s="220">
        <v>12</v>
      </c>
      <c r="P36" s="69"/>
    </row>
    <row r="37" spans="1:16">
      <c r="A37" s="121"/>
      <c r="B37" s="121" t="s">
        <v>354</v>
      </c>
      <c r="C37" s="121"/>
      <c r="D37" s="121"/>
      <c r="E37" s="187">
        <f>VLOOKUP(I4,condicion!$A$5:$F$8,5,0)</f>
        <v>20651.259999999998</v>
      </c>
      <c r="F37" s="187"/>
      <c r="G37" s="188"/>
      <c r="H37" s="187">
        <f>E37*100/E34</f>
        <v>25.746060345083375</v>
      </c>
      <c r="I37" s="121"/>
      <c r="K37" s="69">
        <v>19</v>
      </c>
      <c r="L37" s="69" t="s">
        <v>365</v>
      </c>
      <c r="M37" s="177">
        <v>0</v>
      </c>
      <c r="N37" s="220">
        <v>2.4300000000000002</v>
      </c>
      <c r="O37" s="220">
        <v>9</v>
      </c>
      <c r="P37" s="69"/>
    </row>
    <row r="38" spans="1:16">
      <c r="A38" s="121"/>
      <c r="B38" s="121"/>
      <c r="C38" s="121"/>
      <c r="D38" s="121"/>
      <c r="E38" s="121"/>
      <c r="F38" s="121"/>
      <c r="G38" s="188"/>
      <c r="H38" s="121"/>
      <c r="I38" s="121"/>
      <c r="L38" s="238"/>
    </row>
    <row r="39" spans="1:16">
      <c r="A39" s="121"/>
      <c r="B39" s="121" t="s">
        <v>134</v>
      </c>
      <c r="C39" s="121"/>
      <c r="D39" s="121"/>
      <c r="E39" s="187">
        <f>VLOOKUP(I4,AVANCEVENDEDOR!A2:R34,10,0)</f>
        <v>123805.2</v>
      </c>
      <c r="F39" s="187"/>
      <c r="G39" s="188"/>
      <c r="H39" s="121"/>
      <c r="I39" s="121"/>
      <c r="L39" s="238"/>
    </row>
    <row r="40" spans="1:16">
      <c r="A40" s="121"/>
      <c r="B40" s="121" t="s">
        <v>135</v>
      </c>
      <c r="C40" s="121"/>
      <c r="D40" s="121"/>
      <c r="E40" s="187">
        <f>VLOOKUP(I4,AVANCEVENDEDOR!A2:R34,11,0)</f>
        <v>30681.3</v>
      </c>
      <c r="F40" s="187"/>
      <c r="G40" s="188" t="s">
        <v>136</v>
      </c>
      <c r="H40" s="187">
        <f>E40*100/E39</f>
        <v>24.781915460739938</v>
      </c>
      <c r="I40" s="121"/>
      <c r="L40" s="238" t="str">
        <f>CONCATENATE(K33," - ", L33)</f>
        <v>100 - 050  - OFICINA CONSUMO</v>
      </c>
    </row>
    <row r="41" spans="1:16">
      <c r="A41" s="121"/>
      <c r="B41" s="121" t="s">
        <v>137</v>
      </c>
      <c r="C41" s="121"/>
      <c r="D41" s="121"/>
      <c r="E41" s="187">
        <f>VLOOKUP(I4,AVANCEVENDEDOR!A2:R34,9,0)</f>
        <v>93200.03</v>
      </c>
      <c r="F41" s="187"/>
      <c r="G41" s="188"/>
      <c r="H41" s="121"/>
      <c r="I41" s="121"/>
      <c r="L41" s="238" t="str">
        <f>CONCATENATE(K34," - ", L34)</f>
        <v>18 - 054  - CHICATA APAZA JOSE LUIS</v>
      </c>
    </row>
    <row r="42" spans="1:16">
      <c r="A42" s="121"/>
      <c r="B42" s="121"/>
      <c r="C42" s="121"/>
      <c r="D42" s="121"/>
      <c r="E42" s="121"/>
      <c r="F42" s="121"/>
      <c r="G42" s="188"/>
      <c r="H42" s="121"/>
      <c r="I42" s="121"/>
      <c r="L42" s="238" t="str">
        <f>CONCATENATE(K35," - ", L35)</f>
        <v>17 - 057  - MAMANI LIPA CLEMENTE</v>
      </c>
    </row>
    <row r="43" spans="1:16">
      <c r="A43" s="121"/>
      <c r="B43" s="121" t="s">
        <v>280</v>
      </c>
      <c r="C43" s="121"/>
      <c r="D43" s="121"/>
      <c r="E43" s="187">
        <f>VLOOKUP(I4,AVANCEVENDEDOR!A2:R34,13,0)</f>
        <v>109</v>
      </c>
      <c r="F43" s="187"/>
      <c r="G43" s="121"/>
      <c r="H43" s="187"/>
      <c r="I43" s="121"/>
      <c r="L43" s="238" t="str">
        <f>CONCATENATE(K36," - ", L36)</f>
        <v>14 - 053  - RAMOS MEZA DANIEL</v>
      </c>
    </row>
    <row r="44" spans="1:16">
      <c r="A44" s="121"/>
      <c r="B44" s="121" t="s">
        <v>281</v>
      </c>
      <c r="C44" s="121"/>
      <c r="D44" s="121"/>
      <c r="E44" s="187">
        <f>VLOOKUP(I4,AVANCEVENDEDOR!A2:R34,14,0)</f>
        <v>26</v>
      </c>
      <c r="F44" s="187"/>
      <c r="G44" s="188" t="s">
        <v>140</v>
      </c>
      <c r="H44" s="187">
        <f>E44*100/E43</f>
        <v>23.853211009174313</v>
      </c>
      <c r="I44" s="121"/>
      <c r="L44" s="238" t="str">
        <f>CONCATENATE(K37," - ", L37)</f>
        <v>19 - 056  - COTACALLAPA JOVE ROBERTO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44"/>
  <sheetViews>
    <sheetView topLeftCell="A4" zoomScale="120" zoomScaleNormal="120" workbookViewId="0">
      <selection activeCell="I6" sqref="I6"/>
    </sheetView>
  </sheetViews>
  <sheetFormatPr baseColWidth="10" defaultColWidth="8.85546875" defaultRowHeight="15"/>
  <cols>
    <col min="1" max="1" width="9.140625" customWidth="1"/>
    <col min="2" max="2" width="15" customWidth="1"/>
    <col min="3" max="3" width="9.140625" customWidth="1"/>
    <col min="4" max="4" width="5.7109375" customWidth="1"/>
    <col min="5" max="5" width="9.42578125" customWidth="1"/>
    <col min="6" max="8" width="9.140625" customWidth="1"/>
    <col min="9" max="9" width="11.140625" customWidth="1"/>
    <col min="10" max="10" width="9.7109375" customWidth="1"/>
    <col min="11" max="11" width="9.140625" customWidth="1"/>
    <col min="12" max="12" width="36.7109375" customWidth="1"/>
    <col min="13" max="13" width="10.42578125" customWidth="1"/>
    <col min="14" max="1025" width="9.140625" customWidth="1"/>
  </cols>
  <sheetData>
    <row r="1" spans="1:17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17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20154_18</v>
      </c>
    </row>
    <row r="3" spans="1:17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17">
      <c r="A4" s="120"/>
      <c r="B4" s="120"/>
      <c r="C4" s="120"/>
      <c r="D4" s="120"/>
      <c r="E4" s="120"/>
      <c r="F4" s="120"/>
      <c r="G4" s="120"/>
      <c r="H4" s="120"/>
      <c r="I4" s="81">
        <v>18</v>
      </c>
    </row>
    <row r="5" spans="1:17">
      <c r="A5" s="120" t="s">
        <v>115</v>
      </c>
      <c r="B5" s="120"/>
      <c r="C5" s="120"/>
      <c r="D5" s="120"/>
      <c r="E5" s="120"/>
      <c r="F5" s="120"/>
      <c r="G5" s="120"/>
      <c r="H5" s="120"/>
      <c r="I5" s="83" t="s">
        <v>366</v>
      </c>
    </row>
    <row r="6" spans="1:17">
      <c r="A6" s="120"/>
      <c r="B6" s="120"/>
      <c r="C6" s="120"/>
      <c r="D6" s="120"/>
      <c r="E6" s="120"/>
      <c r="F6" s="120"/>
      <c r="G6" s="120"/>
      <c r="H6" s="120"/>
      <c r="I6" s="120"/>
    </row>
    <row r="7" spans="1:17">
      <c r="A7" s="120" t="s">
        <v>116</v>
      </c>
      <c r="B7" s="120"/>
      <c r="C7" s="84" t="str">
        <f>VLOOKUP(I4,AVANCEVENDEDOR!A2:R34,3,0)</f>
        <v>CHICATA APAZA JOSE LUIS</v>
      </c>
      <c r="D7" s="120"/>
      <c r="E7" s="120"/>
      <c r="F7" s="120"/>
      <c r="G7" s="120"/>
      <c r="H7" s="120"/>
      <c r="I7" s="120"/>
    </row>
    <row r="8" spans="1:17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17">
      <c r="A9" s="120"/>
      <c r="B9" s="120"/>
      <c r="C9" s="120"/>
      <c r="D9" s="120"/>
      <c r="E9" s="120"/>
      <c r="F9" s="120"/>
      <c r="G9" s="120"/>
      <c r="H9" s="120"/>
      <c r="I9" s="120"/>
    </row>
    <row r="10" spans="1:17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17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f>200</f>
        <v>200</v>
      </c>
    </row>
    <row r="12" spans="1:17">
      <c r="A12" s="120" t="s">
        <v>124</v>
      </c>
      <c r="B12" s="120"/>
      <c r="C12" s="120"/>
      <c r="D12" s="120"/>
      <c r="E12" s="120"/>
      <c r="F12" s="181">
        <v>0.3</v>
      </c>
      <c r="G12" s="181">
        <f>IF(I4=13,80,85)</f>
        <v>85</v>
      </c>
      <c r="H12" s="181" t="e">
        <f>+H34</f>
        <v>#DIV/0!</v>
      </c>
      <c r="I12" s="181">
        <v>0</v>
      </c>
    </row>
    <row r="13" spans="1:17">
      <c r="A13" s="120"/>
      <c r="B13" s="120" t="s">
        <v>352</v>
      </c>
      <c r="C13" s="120"/>
      <c r="D13" s="120"/>
      <c r="E13" s="120"/>
      <c r="F13" s="182">
        <v>0.1</v>
      </c>
      <c r="H13" s="182">
        <f>H35</f>
        <v>0</v>
      </c>
      <c r="I13" s="181" t="e">
        <f>IF($H$34&gt;=85,E35*F13%,0)</f>
        <v>#DIV/0!</v>
      </c>
    </row>
    <row r="14" spans="1:17">
      <c r="A14" s="120"/>
      <c r="B14" s="120" t="s">
        <v>353</v>
      </c>
      <c r="C14" s="120"/>
      <c r="D14" s="120"/>
      <c r="E14" s="120"/>
      <c r="F14" s="182">
        <v>0.4</v>
      </c>
      <c r="H14" s="182">
        <f>H36</f>
        <v>-509.45808019441068</v>
      </c>
      <c r="I14" s="181" t="e">
        <f>IF($H$34&gt;=85,E36*F14%,0)</f>
        <v>#DIV/0!</v>
      </c>
    </row>
    <row r="15" spans="1:17">
      <c r="A15" s="120"/>
      <c r="B15" s="120" t="s">
        <v>354</v>
      </c>
      <c r="C15" s="120"/>
      <c r="D15" s="120"/>
      <c r="E15" s="120"/>
      <c r="F15" s="182">
        <v>0.3</v>
      </c>
      <c r="H15" s="182">
        <f>H37</f>
        <v>0</v>
      </c>
      <c r="I15" s="181" t="e">
        <f>IF($H$34&gt;=85,E37*F15%,0)</f>
        <v>#DIV/0!</v>
      </c>
    </row>
    <row r="16" spans="1:17">
      <c r="A16" s="120" t="s">
        <v>356</v>
      </c>
      <c r="B16" s="120"/>
      <c r="C16" s="120"/>
      <c r="D16" s="120"/>
      <c r="E16" s="120"/>
      <c r="F16" s="181">
        <v>0.5</v>
      </c>
      <c r="G16" s="181">
        <v>8</v>
      </c>
      <c r="H16" s="181" t="e">
        <f>+H40</f>
        <v>#DIV/0!</v>
      </c>
      <c r="I16" s="181" t="e">
        <f>+IF(H16&lt;=G16,E34*F16%,0)</f>
        <v>#DIV/0!</v>
      </c>
      <c r="L16" s="68" t="s">
        <v>314</v>
      </c>
      <c r="M16" s="218" t="s">
        <v>315</v>
      </c>
      <c r="N16" s="218" t="s">
        <v>316</v>
      </c>
      <c r="O16" s="218" t="s">
        <v>317</v>
      </c>
      <c r="P16" s="218" t="s">
        <v>44</v>
      </c>
      <c r="Q16" s="68"/>
    </row>
    <row r="17" spans="1:17">
      <c r="A17" s="120" t="s">
        <v>273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+H44</f>
        <v>1.4705882352941178</v>
      </c>
      <c r="I17" s="181">
        <f>IF(H17&gt;=G17,E34*F17%,0)</f>
        <v>0</v>
      </c>
      <c r="L17" s="10" t="s">
        <v>318</v>
      </c>
      <c r="M17" s="233">
        <v>12305.85</v>
      </c>
      <c r="N17" s="219">
        <v>0</v>
      </c>
      <c r="O17" s="233">
        <v>95727.93</v>
      </c>
      <c r="P17" s="219">
        <f t="shared" ref="P17:P25" si="0">O17+M17</f>
        <v>108033.78</v>
      </c>
      <c r="Q17" s="10"/>
    </row>
    <row r="18" spans="1:17">
      <c r="A18" s="120" t="s">
        <v>127</v>
      </c>
      <c r="B18" s="120"/>
      <c r="C18" s="120"/>
      <c r="D18" s="120"/>
      <c r="E18" s="120"/>
      <c r="F18" s="120"/>
      <c r="G18" s="120"/>
      <c r="H18" s="120"/>
      <c r="I18" s="181">
        <v>0</v>
      </c>
      <c r="L18" s="10" t="s">
        <v>319</v>
      </c>
      <c r="M18" s="219">
        <v>0</v>
      </c>
      <c r="N18" s="219">
        <v>0</v>
      </c>
      <c r="O18" s="219">
        <v>0</v>
      </c>
      <c r="P18" s="219">
        <f t="shared" si="0"/>
        <v>0</v>
      </c>
      <c r="Q18" s="10"/>
    </row>
    <row r="19" spans="1:17">
      <c r="A19" s="120" t="s">
        <v>128</v>
      </c>
      <c r="B19" s="120"/>
      <c r="C19" s="120"/>
      <c r="D19" s="120"/>
      <c r="E19" s="120"/>
      <c r="F19" s="120"/>
      <c r="G19" s="120"/>
      <c r="H19" s="120"/>
      <c r="I19" s="181">
        <v>0</v>
      </c>
      <c r="L19" s="10" t="s">
        <v>320</v>
      </c>
      <c r="M19" s="219">
        <v>0</v>
      </c>
      <c r="N19" s="219">
        <v>0</v>
      </c>
      <c r="O19" s="219">
        <v>0</v>
      </c>
      <c r="P19" s="219">
        <f t="shared" si="0"/>
        <v>0</v>
      </c>
      <c r="Q19" s="10"/>
    </row>
    <row r="20" spans="1:17">
      <c r="A20" s="120"/>
      <c r="B20" s="120"/>
      <c r="C20" s="120"/>
      <c r="D20" s="120"/>
      <c r="E20" s="120"/>
      <c r="F20" s="120"/>
      <c r="G20" s="120"/>
      <c r="H20" s="120"/>
      <c r="I20" s="120"/>
      <c r="K20">
        <v>14</v>
      </c>
      <c r="L20" s="10" t="s">
        <v>336</v>
      </c>
      <c r="M20" s="233">
        <v>15643.92</v>
      </c>
      <c r="N20" s="233">
        <v>11892.13</v>
      </c>
      <c r="O20" s="233">
        <v>9617.1</v>
      </c>
      <c r="P20" s="219">
        <f t="shared" si="0"/>
        <v>25261.02</v>
      </c>
      <c r="Q20" s="10"/>
    </row>
    <row r="21" spans="1:17">
      <c r="A21" s="120"/>
      <c r="B21" s="120"/>
      <c r="C21" s="91" t="s">
        <v>8</v>
      </c>
      <c r="D21" s="91"/>
      <c r="E21" s="91" t="s">
        <v>358</v>
      </c>
      <c r="F21" s="223" t="s">
        <v>359</v>
      </c>
      <c r="G21" s="81"/>
      <c r="H21" s="120"/>
      <c r="I21" s="181">
        <f>IF(SUM(I22:I25)=1,0,IF(SUM(I22:I25)=2,50,IF(SUM(I22:I25)=3,100,IF(SUM(I22:I25)=4,200,0))))</f>
        <v>50</v>
      </c>
      <c r="K21">
        <v>18</v>
      </c>
      <c r="L21" s="10" t="s">
        <v>322</v>
      </c>
      <c r="M21" s="233">
        <v>60413.33</v>
      </c>
      <c r="N21" s="233">
        <v>46905.84</v>
      </c>
      <c r="O21" s="219">
        <v>0</v>
      </c>
      <c r="P21" s="219">
        <f t="shared" si="0"/>
        <v>60413.33</v>
      </c>
      <c r="Q21" s="10"/>
    </row>
    <row r="22" spans="1:17">
      <c r="A22" s="121" t="s">
        <v>267</v>
      </c>
      <c r="B22" s="121" t="s">
        <v>360</v>
      </c>
      <c r="C22" s="187">
        <f>VLOOKUP(CONCATENATE(I2,A22),lineac!A50:J69,8,0)</f>
        <v>4000</v>
      </c>
      <c r="D22" s="187"/>
      <c r="E22" s="187">
        <f>VLOOKUP(CONCATENATE(I2,A22),lineac!A50:J69,9,0)</f>
        <v>6159.03</v>
      </c>
      <c r="F22" s="187">
        <f>E22*100/C22</f>
        <v>153.97575000000001</v>
      </c>
      <c r="G22" s="81"/>
      <c r="H22" s="81"/>
      <c r="I22" s="124">
        <f>+IF(F22&gt;=100,1,0)</f>
        <v>1</v>
      </c>
      <c r="K22">
        <v>19</v>
      </c>
      <c r="L22" s="10" t="s">
        <v>361</v>
      </c>
      <c r="M22" s="233">
        <v>76036.87</v>
      </c>
      <c r="N22" s="233">
        <v>20743.48</v>
      </c>
      <c r="O22" s="219">
        <v>0</v>
      </c>
      <c r="P22" s="219">
        <f t="shared" si="0"/>
        <v>76036.87</v>
      </c>
      <c r="Q22" s="10"/>
    </row>
    <row r="23" spans="1:17">
      <c r="A23" s="121" t="s">
        <v>295</v>
      </c>
      <c r="B23" s="121" t="s">
        <v>362</v>
      </c>
      <c r="C23" s="187">
        <f>VLOOKUP(CONCATENATE(I2,A23),lineac!A50:J69,8,0)</f>
        <v>0</v>
      </c>
      <c r="D23" s="187"/>
      <c r="E23" s="187">
        <f>VLOOKUP(CONCATENATE(I2,A23),lineac!A50:J69,9,0)</f>
        <v>0</v>
      </c>
      <c r="F23" s="187">
        <v>0</v>
      </c>
      <c r="G23" s="81"/>
      <c r="H23" s="81"/>
      <c r="I23" s="124">
        <f>+IF(F23&gt;=100,1,0)</f>
        <v>0</v>
      </c>
      <c r="K23">
        <v>17</v>
      </c>
      <c r="L23" s="10" t="s">
        <v>324</v>
      </c>
      <c r="M23" s="233">
        <v>17932.259999999998</v>
      </c>
      <c r="N23" s="233">
        <v>11829.99</v>
      </c>
      <c r="O23" s="219">
        <v>0</v>
      </c>
      <c r="P23" s="219">
        <f t="shared" si="0"/>
        <v>17932.259999999998</v>
      </c>
      <c r="Q23" s="10"/>
    </row>
    <row r="24" spans="1:17">
      <c r="A24" s="121" t="s">
        <v>159</v>
      </c>
      <c r="B24" s="121" t="s">
        <v>363</v>
      </c>
      <c r="C24" s="187">
        <f>VLOOKUP(CONCATENATE(I2,A24),lineac!A50:J69,8,0)</f>
        <v>7000</v>
      </c>
      <c r="D24" s="187"/>
      <c r="E24" s="187">
        <f>VLOOKUP(CONCATENATE(I2,A24),lineac!A50:J69,9,0)</f>
        <v>835.24</v>
      </c>
      <c r="F24" s="187">
        <f>E24*100/C24</f>
        <v>11.932</v>
      </c>
      <c r="G24" s="81"/>
      <c r="H24" s="81"/>
      <c r="I24" s="124">
        <f>+IF(F24&gt;=100,1,0)</f>
        <v>0</v>
      </c>
      <c r="L24" s="10" t="s">
        <v>335</v>
      </c>
      <c r="M24" s="219">
        <v>0</v>
      </c>
      <c r="N24" s="219">
        <v>0</v>
      </c>
      <c r="O24" s="219">
        <v>0</v>
      </c>
      <c r="P24" s="219">
        <f t="shared" si="0"/>
        <v>0</v>
      </c>
      <c r="Q24" s="10"/>
    </row>
    <row r="25" spans="1:17">
      <c r="A25" s="121" t="s">
        <v>297</v>
      </c>
      <c r="B25" s="121" t="s">
        <v>364</v>
      </c>
      <c r="C25" s="187">
        <f>VLOOKUP(CONCATENATE(I2,A25),lineac!A50:J69,8,0)</f>
        <v>38400</v>
      </c>
      <c r="D25" s="187"/>
      <c r="E25" s="187">
        <f>VLOOKUP(CONCATENATE(I2,A25),lineac!A50:J69,9,0)</f>
        <v>42355</v>
      </c>
      <c r="F25" s="187">
        <f>E25*100/C25</f>
        <v>110.29947916666667</v>
      </c>
      <c r="G25" s="81"/>
      <c r="H25" s="81"/>
      <c r="I25" s="124">
        <f>+IF(F25&gt;=100,1,0)</f>
        <v>1</v>
      </c>
      <c r="L25" s="10" t="s">
        <v>326</v>
      </c>
      <c r="M25" s="219">
        <v>0</v>
      </c>
      <c r="N25" s="219">
        <v>0</v>
      </c>
      <c r="O25" s="219">
        <v>0</v>
      </c>
      <c r="P25" s="219">
        <f t="shared" si="0"/>
        <v>0</v>
      </c>
    </row>
    <row r="26" spans="1:17">
      <c r="A26" s="121"/>
      <c r="B26" s="121"/>
      <c r="C26" s="187"/>
      <c r="D26" s="187"/>
      <c r="E26" s="187"/>
      <c r="F26" s="187"/>
      <c r="G26" s="81"/>
      <c r="H26" s="81"/>
      <c r="I26" s="124"/>
      <c r="L26" s="76"/>
      <c r="M26" s="234"/>
      <c r="N26" s="234"/>
      <c r="O26" s="234"/>
      <c r="P26" s="234"/>
    </row>
    <row r="27" spans="1:17">
      <c r="A27" s="121"/>
      <c r="B27" s="230" t="s">
        <v>208</v>
      </c>
      <c r="C27" s="187"/>
      <c r="D27" s="187"/>
      <c r="E27" s="187"/>
      <c r="F27" s="187"/>
      <c r="G27" s="81"/>
      <c r="H27" s="81"/>
      <c r="I27" s="124"/>
      <c r="L27" s="76"/>
      <c r="M27" s="234"/>
      <c r="N27" s="234"/>
      <c r="O27" s="234"/>
      <c r="P27" s="234"/>
    </row>
    <row r="28" spans="1:17">
      <c r="A28" s="120" t="s">
        <v>357</v>
      </c>
      <c r="B28" s="121" t="s">
        <v>209</v>
      </c>
      <c r="C28" s="81"/>
      <c r="D28" s="81"/>
      <c r="E28" s="235">
        <f>VLOOKUP(I4,K33:P37,3,0)</f>
        <v>3761.88</v>
      </c>
      <c r="F28" s="81"/>
      <c r="G28" s="81"/>
      <c r="H28" s="123">
        <v>0.01</v>
      </c>
      <c r="I28" s="82">
        <f>H28*E28</f>
        <v>37.6188</v>
      </c>
      <c r="M28">
        <f>SUM(M17:M25)</f>
        <v>182332.23</v>
      </c>
      <c r="N28">
        <f>SUM(N17:N25)</f>
        <v>91371.44</v>
      </c>
      <c r="O28">
        <f>SUM(O17:O25)</f>
        <v>105345.03</v>
      </c>
      <c r="P28">
        <f>SUM(P17:P25)</f>
        <v>287677.26</v>
      </c>
    </row>
    <row r="29" spans="1:17">
      <c r="A29" s="120"/>
      <c r="B29" s="84" t="str">
        <f>IF(I4=13,"Remuneracion Extra"," ")</f>
        <v xml:space="preserve"> </v>
      </c>
      <c r="C29" s="120"/>
      <c r="D29" s="120"/>
      <c r="E29" s="120"/>
      <c r="F29" s="120"/>
      <c r="G29" s="120"/>
      <c r="H29" s="120"/>
      <c r="I29" s="183"/>
    </row>
    <row r="30" spans="1:17" ht="15.75">
      <c r="A30" s="184" t="s">
        <v>129</v>
      </c>
      <c r="B30" s="185"/>
      <c r="C30" s="185"/>
      <c r="D30" s="185"/>
      <c r="E30" s="185"/>
      <c r="F30" s="185"/>
      <c r="G30" s="185"/>
      <c r="H30" s="185"/>
      <c r="I30" s="186" t="e">
        <f>IF(I4=13,+I10+I11+I12+I16+I17+I18-I19+I21+I29,+I10+I11+I12+I16+I17+I18-I19+I21+I13+I14+I15)-I12</f>
        <v>#DIV/0!</v>
      </c>
    </row>
    <row r="31" spans="1:17">
      <c r="A31" s="120"/>
      <c r="B31" s="120"/>
      <c r="C31" s="120"/>
      <c r="D31" s="120"/>
      <c r="E31" s="120"/>
      <c r="F31" s="120"/>
      <c r="G31" s="120"/>
      <c r="H31" s="120"/>
      <c r="I31" s="120"/>
      <c r="L31" s="138"/>
    </row>
    <row r="32" spans="1:17">
      <c r="A32" s="121" t="s">
        <v>130</v>
      </c>
      <c r="B32" s="121"/>
      <c r="C32" s="121"/>
      <c r="D32" s="121"/>
      <c r="E32" s="121"/>
      <c r="F32" s="121"/>
      <c r="G32" s="121"/>
      <c r="H32" s="121"/>
      <c r="I32" s="121"/>
      <c r="K32" s="236" t="s">
        <v>314</v>
      </c>
      <c r="L32" s="236" t="s">
        <v>327</v>
      </c>
      <c r="M32" s="237" t="s">
        <v>328</v>
      </c>
      <c r="N32" s="237" t="s">
        <v>329</v>
      </c>
      <c r="O32" s="237" t="s">
        <v>330</v>
      </c>
      <c r="P32" s="236"/>
    </row>
    <row r="33" spans="1:16">
      <c r="A33" s="121"/>
      <c r="B33" s="121" t="s">
        <v>131</v>
      </c>
      <c r="C33" s="121"/>
      <c r="D33" s="121"/>
      <c r="E33" s="229">
        <f>VLOOKUP(I4,AVANCEVENDEDOR!A2:R34,7,0)</f>
        <v>0</v>
      </c>
      <c r="F33" s="229"/>
      <c r="G33" s="230"/>
      <c r="H33" s="230"/>
      <c r="I33" s="121"/>
      <c r="K33" s="69">
        <v>100</v>
      </c>
      <c r="L33" s="69" t="s">
        <v>331</v>
      </c>
      <c r="M33" s="177">
        <v>31461.81</v>
      </c>
      <c r="N33" s="220">
        <v>73.39</v>
      </c>
      <c r="O33" s="220">
        <v>18</v>
      </c>
      <c r="P33" s="69"/>
    </row>
    <row r="34" spans="1:16">
      <c r="A34" s="121"/>
      <c r="B34" s="121" t="s">
        <v>132</v>
      </c>
      <c r="C34" s="121"/>
      <c r="D34" s="121"/>
      <c r="E34" s="229">
        <f>VLOOKUP(I4,AVANCEVENDEDOR!A2:R34,6,0)</f>
        <v>617.25</v>
      </c>
      <c r="F34" s="229"/>
      <c r="G34" s="231" t="s">
        <v>355</v>
      </c>
      <c r="H34" s="229" t="e">
        <f>E34*100/E33</f>
        <v>#DIV/0!</v>
      </c>
      <c r="I34" s="121"/>
      <c r="K34" s="69">
        <v>18</v>
      </c>
      <c r="L34" s="69" t="s">
        <v>332</v>
      </c>
      <c r="M34" s="177">
        <v>3761.88</v>
      </c>
      <c r="N34" s="220">
        <v>18.13</v>
      </c>
      <c r="O34" s="220">
        <v>43</v>
      </c>
      <c r="P34" s="69"/>
    </row>
    <row r="35" spans="1:16">
      <c r="A35" s="121"/>
      <c r="B35" s="121" t="s">
        <v>352</v>
      </c>
      <c r="C35" s="121"/>
      <c r="D35" s="121"/>
      <c r="E35" s="187">
        <f>VLOOKUP(I4,condicion!$A$5:$F$8,4,0)</f>
        <v>0</v>
      </c>
      <c r="F35" s="187"/>
      <c r="G35" s="188"/>
      <c r="H35" s="187">
        <f>E35*100/E34</f>
        <v>0</v>
      </c>
      <c r="I35" s="121"/>
      <c r="K35" s="69">
        <v>17</v>
      </c>
      <c r="L35" s="69" t="s">
        <v>333</v>
      </c>
      <c r="M35" s="177">
        <v>1579.69</v>
      </c>
      <c r="N35" s="220">
        <v>3.45</v>
      </c>
      <c r="O35" s="220">
        <v>17</v>
      </c>
      <c r="P35" s="69"/>
    </row>
    <row r="36" spans="1:16">
      <c r="A36" s="121"/>
      <c r="B36" s="121" t="s">
        <v>353</v>
      </c>
      <c r="C36" s="121"/>
      <c r="D36" s="121"/>
      <c r="E36" s="187">
        <f>VLOOKUP(I4,condicion!$A$5:$F$8,3,0)-E28</f>
        <v>-3144.63</v>
      </c>
      <c r="F36" s="187"/>
      <c r="G36" s="188"/>
      <c r="H36" s="187">
        <f>E36*100/E34</f>
        <v>-509.45808019441068</v>
      </c>
      <c r="I36" s="121"/>
      <c r="J36" s="146"/>
      <c r="K36" s="69">
        <v>14</v>
      </c>
      <c r="L36" s="69" t="s">
        <v>334</v>
      </c>
      <c r="M36" s="177">
        <v>3597.47</v>
      </c>
      <c r="N36" s="220">
        <v>2.6</v>
      </c>
      <c r="O36" s="220">
        <v>12</v>
      </c>
      <c r="P36" s="69"/>
    </row>
    <row r="37" spans="1:16">
      <c r="A37" s="121"/>
      <c r="B37" s="121" t="s">
        <v>354</v>
      </c>
      <c r="C37" s="121"/>
      <c r="D37" s="121"/>
      <c r="E37" s="187">
        <f>VLOOKUP(I4,condicion!$A$5:$F$8,5,0)</f>
        <v>0</v>
      </c>
      <c r="F37" s="187"/>
      <c r="G37" s="188"/>
      <c r="H37" s="187">
        <f>E37*100/E34</f>
        <v>0</v>
      </c>
      <c r="I37" s="121"/>
      <c r="K37" s="69">
        <v>19</v>
      </c>
      <c r="L37" s="69" t="s">
        <v>365</v>
      </c>
      <c r="M37" s="177">
        <v>1525.4</v>
      </c>
      <c r="N37" s="220">
        <v>2.4300000000000002</v>
      </c>
      <c r="O37" s="220">
        <v>9</v>
      </c>
      <c r="P37" s="69"/>
    </row>
    <row r="38" spans="1:16">
      <c r="A38" s="121"/>
      <c r="B38" s="121"/>
      <c r="C38" s="121"/>
      <c r="D38" s="121"/>
      <c r="E38" s="121"/>
      <c r="F38" s="121"/>
      <c r="G38" s="188"/>
      <c r="H38" s="121"/>
      <c r="I38" s="121"/>
      <c r="L38" s="238"/>
    </row>
    <row r="39" spans="1:16">
      <c r="A39" s="121"/>
      <c r="B39" s="121" t="s">
        <v>134</v>
      </c>
      <c r="C39" s="121"/>
      <c r="D39" s="121"/>
      <c r="E39" s="187">
        <f>VLOOKUP(I4,AVANCEVENDEDOR!A2:R34,10,0)</f>
        <v>0</v>
      </c>
      <c r="F39" s="187"/>
      <c r="G39" s="188"/>
      <c r="H39" s="121"/>
      <c r="I39" s="121"/>
      <c r="L39" s="238"/>
    </row>
    <row r="40" spans="1:16">
      <c r="A40" s="121"/>
      <c r="B40" s="121" t="s">
        <v>135</v>
      </c>
      <c r="C40" s="121"/>
      <c r="D40" s="121"/>
      <c r="E40" s="187">
        <f>VLOOKUP(I4,AVANCEVENDEDOR!A2:R34,11,0)</f>
        <v>0</v>
      </c>
      <c r="F40" s="187"/>
      <c r="G40" s="188" t="s">
        <v>136</v>
      </c>
      <c r="H40" s="187" t="e">
        <f>E40*100/E39</f>
        <v>#DIV/0!</v>
      </c>
      <c r="I40" s="121"/>
      <c r="L40" s="238" t="str">
        <f>CONCATENATE(K33," - ", L33)</f>
        <v>100 - 050  - OFICINA CONSUMO</v>
      </c>
    </row>
    <row r="41" spans="1:16">
      <c r="A41" s="121"/>
      <c r="B41" s="121" t="s">
        <v>137</v>
      </c>
      <c r="C41" s="121"/>
      <c r="D41" s="121"/>
      <c r="E41" s="187">
        <f>VLOOKUP(I4,AVANCEVENDEDOR!A2:R34,9,0)</f>
        <v>728.35</v>
      </c>
      <c r="F41" s="187"/>
      <c r="G41" s="188"/>
      <c r="H41" s="121"/>
      <c r="I41" s="121"/>
      <c r="L41" s="238" t="str">
        <f>CONCATENATE(K34," - ", L34)</f>
        <v>18 - 054  - CHICATA APAZA JOSE LUIS</v>
      </c>
    </row>
    <row r="42" spans="1:16">
      <c r="A42" s="121"/>
      <c r="B42" s="121"/>
      <c r="C42" s="121"/>
      <c r="D42" s="121"/>
      <c r="E42" s="121"/>
      <c r="F42" s="121"/>
      <c r="G42" s="188"/>
      <c r="H42" s="121"/>
      <c r="I42" s="121"/>
      <c r="L42" s="238" t="str">
        <f>CONCATENATE(K35," - ", L35)</f>
        <v>17 - 057  - MAMANI LIPA CLEMENTE</v>
      </c>
    </row>
    <row r="43" spans="1:16">
      <c r="A43" s="121"/>
      <c r="B43" s="121" t="s">
        <v>280</v>
      </c>
      <c r="C43" s="121"/>
      <c r="D43" s="121"/>
      <c r="E43" s="187">
        <f>VLOOKUP(I4,AVANCEVENDEDOR!A2:R34,13,0)</f>
        <v>136</v>
      </c>
      <c r="F43" s="187"/>
      <c r="G43" s="121"/>
      <c r="H43" s="187"/>
      <c r="I43" s="121"/>
      <c r="L43" s="238" t="str">
        <f>CONCATENATE(K36," - ", L36)</f>
        <v>14 - 053  - RAMOS MEZA DANIEL</v>
      </c>
    </row>
    <row r="44" spans="1:16">
      <c r="A44" s="121"/>
      <c r="B44" s="121" t="s">
        <v>281</v>
      </c>
      <c r="C44" s="121"/>
      <c r="D44" s="121"/>
      <c r="E44" s="187">
        <f>VLOOKUP(I4,AVANCEVENDEDOR!A2:R34,14,0)</f>
        <v>2</v>
      </c>
      <c r="F44" s="187"/>
      <c r="G44" s="188" t="s">
        <v>140</v>
      </c>
      <c r="H44" s="187">
        <f>E44*100/E43</f>
        <v>1.4705882352941178</v>
      </c>
      <c r="I44" s="121"/>
      <c r="L44" s="238" t="str">
        <f>CONCATENATE(K37," - ", L37)</f>
        <v>19 - 056  - COTACALLAPA JOVE ROBERTO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42"/>
  <sheetViews>
    <sheetView zoomScale="120" zoomScaleNormal="120" workbookViewId="0">
      <selection activeCell="I6" sqref="I6"/>
    </sheetView>
  </sheetViews>
  <sheetFormatPr baseColWidth="10" defaultColWidth="8.85546875" defaultRowHeight="15"/>
  <cols>
    <col min="1" max="4" width="9.140625" customWidth="1"/>
    <col min="5" max="5" width="9.42578125" customWidth="1"/>
    <col min="6" max="8" width="9.140625" customWidth="1"/>
    <col min="9" max="9" width="11.140625" customWidth="1"/>
    <col min="10" max="10" width="9.7109375" customWidth="1"/>
    <col min="11" max="11" width="9.140625" customWidth="1"/>
    <col min="12" max="12" width="30.140625" customWidth="1"/>
    <col min="13" max="13" width="10.42578125" customWidth="1"/>
    <col min="14" max="1025" width="9.140625" customWidth="1"/>
  </cols>
  <sheetData>
    <row r="1" spans="1:17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17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20154_17</v>
      </c>
    </row>
    <row r="3" spans="1:17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17">
      <c r="A4" s="120"/>
      <c r="B4" s="120"/>
      <c r="C4" s="120"/>
      <c r="D4" s="120"/>
      <c r="E4" s="120"/>
      <c r="F4" s="120"/>
      <c r="G4" s="120"/>
      <c r="H4" s="120"/>
      <c r="I4" s="81">
        <v>17</v>
      </c>
    </row>
    <row r="5" spans="1:17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42491</v>
      </c>
    </row>
    <row r="6" spans="1:17">
      <c r="A6" s="120"/>
      <c r="B6" s="120"/>
      <c r="C6" s="120"/>
      <c r="D6" s="120"/>
      <c r="E6" s="120"/>
      <c r="F6" s="120"/>
      <c r="G6" s="120"/>
      <c r="H6" s="120"/>
      <c r="I6" s="120"/>
    </row>
    <row r="7" spans="1:17">
      <c r="A7" s="120" t="s">
        <v>116</v>
      </c>
      <c r="B7" s="120"/>
      <c r="C7" s="84" t="str">
        <f>VLOOKUP(I4,AVANCEVENDEDOR!A2:R34,3,0)</f>
        <v>INANCTIVO MAMANI LIPA CLEMENTE</v>
      </c>
      <c r="D7" s="120"/>
      <c r="E7" s="120"/>
      <c r="F7" s="120"/>
      <c r="G7" s="120"/>
      <c r="H7" s="120"/>
      <c r="I7" s="120"/>
    </row>
    <row r="8" spans="1:17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17">
      <c r="A9" s="120"/>
      <c r="B9" s="120"/>
      <c r="C9" s="120"/>
      <c r="D9" s="120"/>
      <c r="E9" s="120"/>
      <c r="F9" s="120"/>
      <c r="G9" s="120"/>
      <c r="H9" s="120"/>
      <c r="I9" s="120"/>
    </row>
    <row r="10" spans="1:17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17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f>200</f>
        <v>200</v>
      </c>
    </row>
    <row r="12" spans="1:17">
      <c r="A12" s="120" t="s">
        <v>124</v>
      </c>
      <c r="B12" s="120"/>
      <c r="C12" s="120"/>
      <c r="D12" s="120"/>
      <c r="E12" s="120"/>
      <c r="F12" s="181">
        <v>0.3</v>
      </c>
      <c r="G12" s="181">
        <f>IF(I4=13,80,85)</f>
        <v>85</v>
      </c>
      <c r="H12" s="181" t="e">
        <f>+H32</f>
        <v>#DIV/0!</v>
      </c>
      <c r="I12" s="181">
        <v>0</v>
      </c>
    </row>
    <row r="13" spans="1:17">
      <c r="A13" s="120"/>
      <c r="B13" s="120" t="s">
        <v>352</v>
      </c>
      <c r="C13" s="120"/>
      <c r="D13" s="120"/>
      <c r="E13" s="120"/>
      <c r="F13" s="182">
        <v>0.1</v>
      </c>
      <c r="H13" s="182" t="e">
        <f>H33</f>
        <v>#DIV/0!</v>
      </c>
      <c r="I13" s="181" t="e">
        <f>IF($H$32&gt;=85,E33*F13%,0)</f>
        <v>#DIV/0!</v>
      </c>
    </row>
    <row r="14" spans="1:17">
      <c r="A14" s="120"/>
      <c r="B14" s="120" t="s">
        <v>353</v>
      </c>
      <c r="C14" s="120"/>
      <c r="D14" s="120"/>
      <c r="E14" s="120"/>
      <c r="F14" s="182">
        <v>0.4</v>
      </c>
      <c r="H14" s="182" t="e">
        <f>H34</f>
        <v>#DIV/0!</v>
      </c>
      <c r="I14" s="181" t="e">
        <f>IF($H$32&gt;=85,E34*F14%,0)</f>
        <v>#DIV/0!</v>
      </c>
    </row>
    <row r="15" spans="1:17">
      <c r="A15" s="120"/>
      <c r="B15" s="120" t="s">
        <v>354</v>
      </c>
      <c r="C15" s="120"/>
      <c r="D15" s="120"/>
      <c r="E15" s="120"/>
      <c r="F15" s="182">
        <v>0.3</v>
      </c>
      <c r="H15" s="182" t="e">
        <f>H35</f>
        <v>#DIV/0!</v>
      </c>
      <c r="I15" s="181" t="e">
        <f>IF($H$32&gt;=85,E35*F15%,0)</f>
        <v>#DIV/0!</v>
      </c>
    </row>
    <row r="16" spans="1:17">
      <c r="A16" s="120" t="s">
        <v>356</v>
      </c>
      <c r="B16" s="120"/>
      <c r="C16" s="120"/>
      <c r="D16" s="120"/>
      <c r="E16" s="120"/>
      <c r="F16" s="181">
        <v>0.5</v>
      </c>
      <c r="G16" s="181">
        <v>8</v>
      </c>
      <c r="H16" s="181" t="e">
        <f>+H38</f>
        <v>#DIV/0!</v>
      </c>
      <c r="I16" s="181" t="e">
        <f>+IF(H16&lt;=G16,E32*F16%,0)</f>
        <v>#DIV/0!</v>
      </c>
      <c r="L16" s="68" t="s">
        <v>314</v>
      </c>
      <c r="M16" s="218" t="s">
        <v>315</v>
      </c>
      <c r="N16" s="218" t="s">
        <v>316</v>
      </c>
      <c r="O16" s="218" t="s">
        <v>317</v>
      </c>
      <c r="P16" s="218" t="s">
        <v>44</v>
      </c>
      <c r="Q16" s="68"/>
    </row>
    <row r="17" spans="1:17">
      <c r="A17" s="120" t="s">
        <v>273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+H42</f>
        <v>0</v>
      </c>
      <c r="I17" s="181">
        <f>IF(H17&gt;=G17,E32*F17%,0)</f>
        <v>0</v>
      </c>
      <c r="L17" s="10" t="s">
        <v>318</v>
      </c>
      <c r="M17" s="233">
        <v>12305.85</v>
      </c>
      <c r="N17" s="219">
        <v>0</v>
      </c>
      <c r="O17" s="233">
        <v>95727.93</v>
      </c>
      <c r="P17" s="219">
        <f t="shared" ref="P17:P25" si="0">O17+M17</f>
        <v>108033.78</v>
      </c>
      <c r="Q17" s="10"/>
    </row>
    <row r="18" spans="1:17">
      <c r="A18" s="120" t="s">
        <v>127</v>
      </c>
      <c r="B18" s="120"/>
      <c r="C18" s="120"/>
      <c r="D18" s="120"/>
      <c r="E18" s="120"/>
      <c r="F18" s="120"/>
      <c r="G18" s="120"/>
      <c r="H18" s="120"/>
      <c r="I18" s="181">
        <v>0</v>
      </c>
      <c r="L18" s="10" t="s">
        <v>319</v>
      </c>
      <c r="M18" s="219">
        <v>0</v>
      </c>
      <c r="N18" s="219">
        <v>0</v>
      </c>
      <c r="O18" s="219">
        <v>0</v>
      </c>
      <c r="P18" s="219">
        <f t="shared" si="0"/>
        <v>0</v>
      </c>
      <c r="Q18" s="10"/>
    </row>
    <row r="19" spans="1:17">
      <c r="A19" s="120" t="s">
        <v>128</v>
      </c>
      <c r="B19" s="120"/>
      <c r="C19" s="120"/>
      <c r="D19" s="120"/>
      <c r="E19" s="120"/>
      <c r="F19" s="120"/>
      <c r="G19" s="120"/>
      <c r="H19" s="120"/>
      <c r="I19" s="181">
        <v>0</v>
      </c>
      <c r="L19" s="10" t="s">
        <v>320</v>
      </c>
      <c r="M19" s="219">
        <v>0</v>
      </c>
      <c r="N19" s="219">
        <v>0</v>
      </c>
      <c r="O19" s="219">
        <v>0</v>
      </c>
      <c r="P19" s="219">
        <f t="shared" si="0"/>
        <v>0</v>
      </c>
      <c r="Q19" s="10"/>
    </row>
    <row r="20" spans="1:17">
      <c r="A20" s="120"/>
      <c r="B20" s="120"/>
      <c r="C20" s="120"/>
      <c r="D20" s="120"/>
      <c r="E20" s="120"/>
      <c r="F20" s="120"/>
      <c r="G20" s="120"/>
      <c r="H20" s="120"/>
      <c r="I20" s="120"/>
      <c r="K20">
        <v>14</v>
      </c>
      <c r="L20" s="10" t="s">
        <v>336</v>
      </c>
      <c r="M20" s="233">
        <v>15643.92</v>
      </c>
      <c r="N20" s="233">
        <v>11892.13</v>
      </c>
      <c r="O20" s="233">
        <v>9617.1</v>
      </c>
      <c r="P20" s="219">
        <f t="shared" si="0"/>
        <v>25261.02</v>
      </c>
      <c r="Q20" s="10"/>
    </row>
    <row r="21" spans="1:17">
      <c r="A21" s="120"/>
      <c r="B21" s="120"/>
      <c r="C21" s="91" t="s">
        <v>8</v>
      </c>
      <c r="D21" s="91"/>
      <c r="E21" s="91" t="s">
        <v>358</v>
      </c>
      <c r="F21" s="223" t="s">
        <v>359</v>
      </c>
      <c r="G21" s="81"/>
      <c r="H21" s="120"/>
      <c r="I21" s="181">
        <f>IF(SUM(I22:I25)=1,0,IF(SUM(I22:I25)=2,50,IF(SUM(I22:I25)=3,100,IF(SUM(I22:I25)=4,200,0))))</f>
        <v>0</v>
      </c>
      <c r="K21">
        <v>18</v>
      </c>
      <c r="L21" s="10" t="s">
        <v>322</v>
      </c>
      <c r="M21" s="233">
        <v>60413.33</v>
      </c>
      <c r="N21" s="233">
        <v>46905.84</v>
      </c>
      <c r="O21" s="219">
        <v>0</v>
      </c>
      <c r="P21" s="219">
        <f t="shared" si="0"/>
        <v>60413.33</v>
      </c>
      <c r="Q21" s="10"/>
    </row>
    <row r="22" spans="1:17">
      <c r="A22" s="121" t="s">
        <v>267</v>
      </c>
      <c r="B22" s="121" t="s">
        <v>360</v>
      </c>
      <c r="C22" s="187">
        <f>VLOOKUP(CONCATENATE(I2,A22),lineac!A50:J69,8,0)</f>
        <v>3500</v>
      </c>
      <c r="D22" s="187"/>
      <c r="E22" s="187">
        <f>VLOOKUP(CONCATENATE(I2,A22),lineac!A50:J69,9,0)</f>
        <v>1252.2</v>
      </c>
      <c r="F22" s="187">
        <f>E22*100/C22</f>
        <v>35.777142857142856</v>
      </c>
      <c r="G22" s="81"/>
      <c r="H22" s="81"/>
      <c r="I22" s="124">
        <f>+IF(F22&gt;=100,1,0)</f>
        <v>0</v>
      </c>
      <c r="K22">
        <v>19</v>
      </c>
      <c r="L22" s="10" t="s">
        <v>361</v>
      </c>
      <c r="M22" s="233">
        <v>76036.87</v>
      </c>
      <c r="N22" s="233">
        <v>20743.48</v>
      </c>
      <c r="O22" s="219">
        <v>0</v>
      </c>
      <c r="P22" s="219">
        <f t="shared" si="0"/>
        <v>76036.87</v>
      </c>
      <c r="Q22" s="10"/>
    </row>
    <row r="23" spans="1:17">
      <c r="A23" s="121" t="s">
        <v>295</v>
      </c>
      <c r="B23" s="121" t="s">
        <v>362</v>
      </c>
      <c r="C23" s="187">
        <f>VLOOKUP(CONCATENATE(I2,A23),lineac!A50:J69,8,0)</f>
        <v>0</v>
      </c>
      <c r="D23" s="187"/>
      <c r="E23" s="187">
        <f>VLOOKUP(CONCATENATE(I2,A23),lineac!A50:J69,9,0)</f>
        <v>0</v>
      </c>
      <c r="F23" s="187">
        <v>0</v>
      </c>
      <c r="G23" s="81"/>
      <c r="H23" s="81"/>
      <c r="I23" s="124">
        <f>+IF(F23&gt;=100,1,0)</f>
        <v>0</v>
      </c>
      <c r="K23">
        <v>17</v>
      </c>
      <c r="L23" s="10" t="s">
        <v>324</v>
      </c>
      <c r="M23" s="233">
        <v>17932.259999999998</v>
      </c>
      <c r="N23" s="233">
        <v>11829.99</v>
      </c>
      <c r="O23" s="219">
        <v>0</v>
      </c>
      <c r="P23" s="219">
        <f t="shared" si="0"/>
        <v>17932.259999999998</v>
      </c>
      <c r="Q23" s="10"/>
    </row>
    <row r="24" spans="1:17">
      <c r="A24" s="121" t="s">
        <v>159</v>
      </c>
      <c r="B24" s="121" t="s">
        <v>363</v>
      </c>
      <c r="C24" s="187">
        <f>VLOOKUP(CONCATENATE(I2,A24),lineac!A50:J69,8,0)</f>
        <v>4000</v>
      </c>
      <c r="D24" s="187"/>
      <c r="E24" s="187">
        <f>VLOOKUP(CONCATENATE(I2,A24),lineac!A50:J69,9,0)</f>
        <v>316.94</v>
      </c>
      <c r="F24" s="187">
        <f>E24*100/C24</f>
        <v>7.9234999999999998</v>
      </c>
      <c r="G24" s="81"/>
      <c r="H24" s="81"/>
      <c r="I24" s="124">
        <f>+IF(F24&gt;=100,1,0)</f>
        <v>0</v>
      </c>
      <c r="L24" s="10" t="s">
        <v>335</v>
      </c>
      <c r="M24" s="219">
        <v>0</v>
      </c>
      <c r="N24" s="219">
        <v>0</v>
      </c>
      <c r="O24" s="219">
        <v>0</v>
      </c>
      <c r="P24" s="219">
        <f t="shared" si="0"/>
        <v>0</v>
      </c>
      <c r="Q24" s="10"/>
    </row>
    <row r="25" spans="1:17">
      <c r="A25" s="121" t="s">
        <v>297</v>
      </c>
      <c r="B25" s="121" t="s">
        <v>364</v>
      </c>
      <c r="C25" s="187">
        <f>VLOOKUP(CONCATENATE(I2,A25),lineac!A50:J69,8,0)</f>
        <v>10800</v>
      </c>
      <c r="D25" s="187"/>
      <c r="E25" s="187">
        <f>VLOOKUP(CONCATENATE(I2,A25),lineac!A50:J69,9,0)</f>
        <v>7955.43</v>
      </c>
      <c r="F25" s="187">
        <f>E25*100/C25</f>
        <v>73.661388888888894</v>
      </c>
      <c r="G25" s="81"/>
      <c r="H25" s="81"/>
      <c r="I25" s="124">
        <f>+IF(F25&gt;=100,1,0)</f>
        <v>0</v>
      </c>
      <c r="L25" s="10" t="s">
        <v>326</v>
      </c>
      <c r="M25" s="219">
        <v>0</v>
      </c>
      <c r="N25" s="219">
        <v>0</v>
      </c>
      <c r="O25" s="219">
        <v>0</v>
      </c>
      <c r="P25" s="219">
        <f t="shared" si="0"/>
        <v>0</v>
      </c>
    </row>
    <row r="26" spans="1:17">
      <c r="A26" s="120"/>
      <c r="B26" s="81"/>
      <c r="C26" s="81"/>
      <c r="D26" s="81"/>
      <c r="E26" s="81"/>
      <c r="F26" s="81"/>
      <c r="G26" s="81"/>
      <c r="H26" s="81"/>
      <c r="I26" s="82"/>
      <c r="M26">
        <f>SUM(M17:M25)</f>
        <v>182332.23</v>
      </c>
      <c r="N26">
        <f>SUM(N17:N25)</f>
        <v>91371.44</v>
      </c>
      <c r="O26">
        <f>SUM(O17:O25)</f>
        <v>105345.03</v>
      </c>
      <c r="P26">
        <f>SUM(P17:P25)</f>
        <v>287677.26</v>
      </c>
    </row>
    <row r="27" spans="1:17">
      <c r="A27" s="120"/>
      <c r="B27" s="84" t="str">
        <f>IF(I4=13,"Remuneracion Extra"," ")</f>
        <v xml:space="preserve"> </v>
      </c>
      <c r="C27" s="120"/>
      <c r="D27" s="120"/>
      <c r="E27" s="120"/>
      <c r="F27" s="120"/>
      <c r="G27" s="120"/>
      <c r="H27" s="120"/>
      <c r="I27" s="183"/>
    </row>
    <row r="28" spans="1:17" ht="15.75">
      <c r="A28" s="184" t="s">
        <v>129</v>
      </c>
      <c r="B28" s="185"/>
      <c r="C28" s="185"/>
      <c r="D28" s="185"/>
      <c r="E28" s="185"/>
      <c r="F28" s="185"/>
      <c r="G28" s="185"/>
      <c r="H28" s="185"/>
      <c r="I28" s="186" t="e">
        <f>IF(I4=13,+I10+I11+I12+I16+I17+I18-I19+I21+I27,+I10+I11+I12+I16+I17+I18-I19+I21+I13+I14+I15)-I12</f>
        <v>#DIV/0!</v>
      </c>
    </row>
    <row r="29" spans="1:17">
      <c r="A29" s="120"/>
      <c r="B29" s="120"/>
      <c r="C29" s="120"/>
      <c r="D29" s="120"/>
      <c r="E29" s="120"/>
      <c r="F29" s="120"/>
      <c r="G29" s="120"/>
      <c r="H29" s="120"/>
      <c r="I29" s="120"/>
      <c r="L29" s="138"/>
    </row>
    <row r="30" spans="1:17">
      <c r="A30" s="121" t="s">
        <v>130</v>
      </c>
      <c r="B30" s="121"/>
      <c r="C30" s="121"/>
      <c r="D30" s="121"/>
      <c r="E30" s="121"/>
      <c r="F30" s="121"/>
      <c r="G30" s="121"/>
      <c r="H30" s="121"/>
      <c r="I30" s="121"/>
      <c r="K30" s="236" t="s">
        <v>314</v>
      </c>
      <c r="L30" s="236" t="s">
        <v>327</v>
      </c>
      <c r="M30" s="237" t="s">
        <v>328</v>
      </c>
      <c r="N30" s="237" t="s">
        <v>329</v>
      </c>
      <c r="O30" s="237" t="s">
        <v>330</v>
      </c>
      <c r="P30" s="236"/>
    </row>
    <row r="31" spans="1:17">
      <c r="A31" s="121"/>
      <c r="B31" s="121" t="s">
        <v>131</v>
      </c>
      <c r="C31" s="121"/>
      <c r="D31" s="121"/>
      <c r="E31" s="229">
        <f>VLOOKUP(I4,AVANCEVENDEDOR!A2:R34,7,0)</f>
        <v>0</v>
      </c>
      <c r="F31" s="229"/>
      <c r="G31" s="230"/>
      <c r="H31" s="230"/>
      <c r="I31" s="121"/>
      <c r="K31" s="69">
        <v>100</v>
      </c>
      <c r="L31" s="69" t="s">
        <v>331</v>
      </c>
      <c r="M31" s="220">
        <v>34872.18</v>
      </c>
      <c r="N31" s="220">
        <v>73.39</v>
      </c>
      <c r="O31" s="220">
        <v>18</v>
      </c>
      <c r="P31" s="69"/>
    </row>
    <row r="32" spans="1:17">
      <c r="A32" s="121"/>
      <c r="B32" s="121" t="s">
        <v>132</v>
      </c>
      <c r="C32" s="121"/>
      <c r="D32" s="121"/>
      <c r="E32" s="229">
        <f>VLOOKUP(I4,AVANCEVENDEDOR!A2:R34,6,0)</f>
        <v>0</v>
      </c>
      <c r="F32" s="229"/>
      <c r="G32" s="231" t="s">
        <v>355</v>
      </c>
      <c r="H32" s="229" t="e">
        <f>E32*100/E31</f>
        <v>#DIV/0!</v>
      </c>
      <c r="I32" s="121"/>
      <c r="K32" s="69">
        <v>18</v>
      </c>
      <c r="L32" s="69" t="s">
        <v>332</v>
      </c>
      <c r="M32" s="220">
        <v>8614.61</v>
      </c>
      <c r="N32" s="220">
        <v>18.13</v>
      </c>
      <c r="O32" s="220">
        <v>43</v>
      </c>
      <c r="P32" s="69"/>
    </row>
    <row r="33" spans="1:16">
      <c r="A33" s="121"/>
      <c r="B33" s="121" t="s">
        <v>352</v>
      </c>
      <c r="C33" s="121"/>
      <c r="D33" s="121"/>
      <c r="E33" s="187">
        <f>VLOOKUP(I4,condicion!$A$5:$F$8,4,0)</f>
        <v>0</v>
      </c>
      <c r="F33" s="187"/>
      <c r="G33" s="188"/>
      <c r="H33" s="187" t="e">
        <f>E33*100/E32</f>
        <v>#DIV/0!</v>
      </c>
      <c r="I33" s="121"/>
      <c r="K33" s="69">
        <v>17</v>
      </c>
      <c r="L33" s="69" t="s">
        <v>333</v>
      </c>
      <c r="M33" s="220">
        <v>1637.38</v>
      </c>
      <c r="N33" s="220">
        <v>3.45</v>
      </c>
      <c r="O33" s="220">
        <v>17</v>
      </c>
      <c r="P33" s="69"/>
    </row>
    <row r="34" spans="1:16">
      <c r="A34" s="121"/>
      <c r="B34" s="121" t="s">
        <v>353</v>
      </c>
      <c r="C34" s="121"/>
      <c r="D34" s="121"/>
      <c r="E34" s="187">
        <f>VLOOKUP(I4,condicion!$A$5:$F$8,3,0)</f>
        <v>0</v>
      </c>
      <c r="F34" s="187"/>
      <c r="G34" s="188"/>
      <c r="H34" s="187" t="e">
        <f>E34*100/E32</f>
        <v>#DIV/0!</v>
      </c>
      <c r="I34" s="121"/>
      <c r="J34" s="146"/>
      <c r="K34" s="69">
        <v>14</v>
      </c>
      <c r="L34" s="69" t="s">
        <v>334</v>
      </c>
      <c r="M34" s="220">
        <v>1233.08</v>
      </c>
      <c r="N34" s="220">
        <v>2.6</v>
      </c>
      <c r="O34" s="220">
        <v>12</v>
      </c>
      <c r="P34" s="69"/>
    </row>
    <row r="35" spans="1:16">
      <c r="A35" s="121"/>
      <c r="B35" s="121" t="s">
        <v>354</v>
      </c>
      <c r="C35" s="121"/>
      <c r="D35" s="121"/>
      <c r="E35" s="187">
        <f>VLOOKUP(I4,condicion!$A$5:$F$8,5,0)</f>
        <v>0</v>
      </c>
      <c r="F35" s="187"/>
      <c r="G35" s="188"/>
      <c r="H35" s="187" t="e">
        <f>E35*100/E32</f>
        <v>#DIV/0!</v>
      </c>
      <c r="I35" s="121"/>
      <c r="K35" s="69">
        <v>19</v>
      </c>
      <c r="L35" s="69" t="s">
        <v>365</v>
      </c>
      <c r="M35" s="220">
        <v>1156.81</v>
      </c>
      <c r="N35" s="220">
        <v>2.4300000000000002</v>
      </c>
      <c r="O35" s="220">
        <v>9</v>
      </c>
      <c r="P35" s="69"/>
    </row>
    <row r="36" spans="1:16">
      <c r="A36" s="121"/>
      <c r="B36" s="121"/>
      <c r="C36" s="121"/>
      <c r="D36" s="121"/>
      <c r="E36" s="121"/>
      <c r="F36" s="121"/>
      <c r="G36" s="188"/>
      <c r="H36" s="121"/>
      <c r="I36" s="121"/>
      <c r="L36" s="238"/>
    </row>
    <row r="37" spans="1:16">
      <c r="A37" s="121"/>
      <c r="B37" s="121" t="s">
        <v>134</v>
      </c>
      <c r="C37" s="121"/>
      <c r="D37" s="121"/>
      <c r="E37" s="187">
        <f>VLOOKUP(I4,AVANCEVENDEDOR!A2:R34,10,0)</f>
        <v>0</v>
      </c>
      <c r="F37" s="187"/>
      <c r="G37" s="188"/>
      <c r="H37" s="121"/>
      <c r="I37" s="121"/>
      <c r="L37" s="238"/>
    </row>
    <row r="38" spans="1:16">
      <c r="A38" s="121"/>
      <c r="B38" s="121" t="s">
        <v>135</v>
      </c>
      <c r="C38" s="121"/>
      <c r="D38" s="121"/>
      <c r="E38" s="187">
        <f>VLOOKUP(I4,AVANCEVENDEDOR!A2:R34,11,0)</f>
        <v>0</v>
      </c>
      <c r="F38" s="187"/>
      <c r="G38" s="188" t="s">
        <v>136</v>
      </c>
      <c r="H38" s="187" t="e">
        <f>E38*100/E37</f>
        <v>#DIV/0!</v>
      </c>
      <c r="I38" s="121"/>
      <c r="L38" s="238" t="str">
        <f>CONCATENATE(K31," - ", L31)</f>
        <v>100 - 050  - OFICINA CONSUMO</v>
      </c>
    </row>
    <row r="39" spans="1:16">
      <c r="A39" s="121"/>
      <c r="B39" s="121" t="s">
        <v>137</v>
      </c>
      <c r="C39" s="121"/>
      <c r="D39" s="121"/>
      <c r="E39" s="187">
        <f>VLOOKUP(I4,AVANCEVENDEDOR!A2:R34,9,0)</f>
        <v>0</v>
      </c>
      <c r="F39" s="187"/>
      <c r="G39" s="188"/>
      <c r="H39" s="121"/>
      <c r="I39" s="121"/>
      <c r="L39" s="238" t="str">
        <f>CONCATENATE(K32," - ", L32)</f>
        <v>18 - 054  - CHICATA APAZA JOSE LUIS</v>
      </c>
    </row>
    <row r="40" spans="1:16">
      <c r="A40" s="121"/>
      <c r="B40" s="121"/>
      <c r="C40" s="121"/>
      <c r="D40" s="121"/>
      <c r="E40" s="121"/>
      <c r="F40" s="121"/>
      <c r="G40" s="188"/>
      <c r="H40" s="121"/>
      <c r="I40" s="121"/>
      <c r="L40" s="238" t="str">
        <f>CONCATENATE(K33," - ", L33)</f>
        <v>17 - 057  - MAMANI LIPA CLEMENTE</v>
      </c>
    </row>
    <row r="41" spans="1:16">
      <c r="A41" s="121"/>
      <c r="B41" s="121" t="s">
        <v>280</v>
      </c>
      <c r="C41" s="121"/>
      <c r="D41" s="121"/>
      <c r="E41" s="187">
        <f>VLOOKUP(I4,AVANCEVENDEDOR!A2:R34,13,0)</f>
        <v>283</v>
      </c>
      <c r="F41" s="187"/>
      <c r="G41" s="121"/>
      <c r="H41" s="187"/>
      <c r="I41" s="121"/>
      <c r="L41" s="238" t="str">
        <f>CONCATENATE(K34," - ", L34)</f>
        <v>14 - 053  - RAMOS MEZA DANIEL</v>
      </c>
    </row>
    <row r="42" spans="1:16">
      <c r="A42" s="121"/>
      <c r="B42" s="121" t="s">
        <v>281</v>
      </c>
      <c r="C42" s="121"/>
      <c r="D42" s="121"/>
      <c r="E42" s="187">
        <f>VLOOKUP(I4,AVANCEVENDEDOR!A2:R34,14,0)</f>
        <v>0</v>
      </c>
      <c r="F42" s="187"/>
      <c r="G42" s="188" t="s">
        <v>140</v>
      </c>
      <c r="H42" s="187">
        <f>E42*100/E41</f>
        <v>0</v>
      </c>
      <c r="I42" s="121"/>
      <c r="L42" s="238" t="str">
        <f>CONCATENATE(K35," - ", L35)</f>
        <v>19 - 056  - COTACALLAPA JOVE ROBERTO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9"/>
  <sheetViews>
    <sheetView zoomScale="120" zoomScaleNormal="120" workbookViewId="0">
      <selection activeCell="I6" sqref="I6"/>
    </sheetView>
  </sheetViews>
  <sheetFormatPr baseColWidth="10" defaultColWidth="8.85546875" defaultRowHeight="15"/>
  <cols>
    <col min="1" max="1" width="10.7109375" customWidth="1"/>
    <col min="2" max="2" width="18.28515625" customWidth="1"/>
    <col min="3" max="3" width="8.140625" customWidth="1"/>
    <col min="4" max="4" width="2.28515625" customWidth="1"/>
    <col min="5" max="5" width="8.5703125" customWidth="1"/>
    <col min="6" max="6" width="9.5703125" customWidth="1"/>
    <col min="7" max="7" width="8" customWidth="1"/>
    <col min="8" max="8" width="9.140625" customWidth="1"/>
    <col min="9" max="10" width="10.7109375" customWidth="1"/>
    <col min="11" max="11" width="11.42578125"/>
    <col min="12" max="1017" width="10.7109375" customWidth="1"/>
    <col min="1018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20154_17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80">
        <v>17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83">
        <v>42491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tr">
        <f>VLOOKUP(I4,AVANCEVENDEDOR!A2:R34,3,0)</f>
        <v>INANCTIVO MAMANI LIPA CLEMENTE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9">
      <c r="A11" s="120" t="s">
        <v>120</v>
      </c>
      <c r="B11" s="120"/>
      <c r="C11" s="120"/>
      <c r="D11" s="120"/>
      <c r="E11" s="120"/>
      <c r="F11" s="86" t="s">
        <v>272</v>
      </c>
      <c r="G11" s="86" t="s">
        <v>122</v>
      </c>
      <c r="H11" s="86" t="s">
        <v>123</v>
      </c>
      <c r="I11" s="181">
        <f>200</f>
        <v>200</v>
      </c>
    </row>
    <row r="12" spans="1:9">
      <c r="A12" s="120" t="s">
        <v>124</v>
      </c>
      <c r="B12" s="120"/>
      <c r="C12" s="120"/>
      <c r="D12" s="120"/>
      <c r="E12" s="120"/>
      <c r="F12" s="182">
        <v>0.3</v>
      </c>
      <c r="G12" s="182">
        <f>IF(I4=13,80,85)</f>
        <v>85</v>
      </c>
      <c r="H12" s="182" t="e">
        <f>+H29</f>
        <v>#DIV/0!</v>
      </c>
      <c r="I12" s="181" t="e">
        <f>IF(H12&gt;=G12,E29*F12%,0)</f>
        <v>#DIV/0!</v>
      </c>
    </row>
    <row r="13" spans="1:9">
      <c r="A13" s="120" t="s">
        <v>125</v>
      </c>
      <c r="B13" s="120"/>
      <c r="C13" s="120"/>
      <c r="D13" s="120"/>
      <c r="E13" s="120"/>
      <c r="F13" s="182">
        <v>0.5</v>
      </c>
      <c r="G13" s="182">
        <v>5</v>
      </c>
      <c r="H13" s="182" t="e">
        <f>+H35</f>
        <v>#DIV/0!</v>
      </c>
      <c r="I13" s="181" t="e">
        <f>+IF(H13&lt;=G13,E29*F13%,0)</f>
        <v>#DIV/0!</v>
      </c>
    </row>
    <row r="14" spans="1:9">
      <c r="A14" s="120" t="s">
        <v>273</v>
      </c>
      <c r="B14" s="120"/>
      <c r="C14" s="120"/>
      <c r="D14" s="120"/>
      <c r="E14" s="120"/>
      <c r="F14" s="182">
        <f>IF(I4=3,0.1,0.2)</f>
        <v>0.2</v>
      </c>
      <c r="G14" s="182">
        <v>85</v>
      </c>
      <c r="H14" s="182">
        <f>+H39</f>
        <v>0</v>
      </c>
      <c r="I14" s="181">
        <f>IF(H14&gt;=G14,E29*F14%,0)</f>
        <v>0</v>
      </c>
    </row>
    <row r="15" spans="1:9">
      <c r="A15" s="120" t="s">
        <v>127</v>
      </c>
      <c r="B15" s="120"/>
      <c r="C15" s="120"/>
      <c r="D15" s="120"/>
      <c r="E15" s="120"/>
      <c r="F15" s="120"/>
      <c r="G15" s="120"/>
      <c r="H15" s="120"/>
      <c r="I15" s="181">
        <v>0</v>
      </c>
    </row>
    <row r="16" spans="1:9">
      <c r="A16" s="120" t="s">
        <v>128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9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0"/>
      <c r="B18" s="120"/>
      <c r="C18" s="91" t="s">
        <v>8</v>
      </c>
      <c r="D18" s="91"/>
      <c r="E18" s="91" t="s">
        <v>358</v>
      </c>
      <c r="F18" s="223" t="s">
        <v>359</v>
      </c>
      <c r="G18" s="81"/>
      <c r="H18" s="120"/>
      <c r="I18" s="181">
        <f>IF(SUM(I19:I22)=1,0,IF(SUM(I19:I22)=2,50,IF(SUM(I19:I22)=3,100,IF(SUM(I19:I22)=4,200,0))))</f>
        <v>0</v>
      </c>
    </row>
    <row r="19" spans="1:9">
      <c r="A19" s="121" t="s">
        <v>267</v>
      </c>
      <c r="B19" s="121" t="s">
        <v>360</v>
      </c>
      <c r="C19" s="187">
        <f>VLOOKUP(CONCATENATE(I2,A19),lineac!A50:J69,8,0)</f>
        <v>3500</v>
      </c>
      <c r="D19" s="187"/>
      <c r="E19" s="187">
        <f>VLOOKUP(CONCATENATE(I2,A19),lineac!A50:J69,9,0)</f>
        <v>1252.2</v>
      </c>
      <c r="F19" s="187">
        <v>0</v>
      </c>
      <c r="G19" s="81"/>
      <c r="H19" s="81"/>
      <c r="I19" s="124">
        <f>+IF(F19&gt;=100,1,0)</f>
        <v>0</v>
      </c>
    </row>
    <row r="20" spans="1:9">
      <c r="A20" s="121" t="s">
        <v>295</v>
      </c>
      <c r="B20" s="121" t="s">
        <v>362</v>
      </c>
      <c r="C20" s="187">
        <f>VLOOKUP(CONCATENATE(I2,A20),lineac!A50:J69,8,0)</f>
        <v>0</v>
      </c>
      <c r="D20" s="187"/>
      <c r="E20" s="187">
        <f>VLOOKUP(CONCATENATE(I2,A20),lineac!A50:J69,9,0)</f>
        <v>0</v>
      </c>
      <c r="F20" s="187">
        <v>0</v>
      </c>
      <c r="G20" s="81"/>
      <c r="H20" s="81"/>
      <c r="I20" s="124">
        <f>+IF(F20&gt;=100,1,0)</f>
        <v>0</v>
      </c>
    </row>
    <row r="21" spans="1:9">
      <c r="A21" s="121" t="s">
        <v>159</v>
      </c>
      <c r="B21" s="121" t="s">
        <v>363</v>
      </c>
      <c r="C21" s="187">
        <f>VLOOKUP(CONCATENATE(I2,A21),lineac!A50:J69,8,0)</f>
        <v>4000</v>
      </c>
      <c r="D21" s="187"/>
      <c r="E21" s="187">
        <f>VLOOKUP(CONCATENATE(I2,A21),lineac!A50:J69,9,0)</f>
        <v>316.94</v>
      </c>
      <c r="F21" s="187">
        <f>E21*100/C21</f>
        <v>7.9234999999999998</v>
      </c>
      <c r="G21" s="81"/>
      <c r="H21" s="81"/>
      <c r="I21" s="124">
        <f>+IF(F21&gt;=100,1,0)</f>
        <v>0</v>
      </c>
    </row>
    <row r="22" spans="1:9">
      <c r="A22" s="121" t="s">
        <v>297</v>
      </c>
      <c r="B22" s="121" t="s">
        <v>364</v>
      </c>
      <c r="C22" s="187">
        <f>VLOOKUP(CONCATENATE(I2,A22),lineac!A50:J69,8,0)</f>
        <v>10800</v>
      </c>
      <c r="D22" s="187"/>
      <c r="E22" s="187">
        <f>VLOOKUP(CONCATENATE(I2,A22),lineac!A50:J69,9,0)</f>
        <v>7955.43</v>
      </c>
      <c r="F22" s="187">
        <f>E22*100/C22</f>
        <v>73.661388888888894</v>
      </c>
      <c r="G22" s="81"/>
      <c r="H22" s="81"/>
      <c r="I22" s="124">
        <f>+IF(F22&gt;=100,1,0)</f>
        <v>0</v>
      </c>
    </row>
    <row r="23" spans="1:9">
      <c r="A23" s="120"/>
      <c r="B23" s="81"/>
      <c r="C23" s="81"/>
      <c r="D23" s="81"/>
      <c r="E23" s="81"/>
      <c r="F23" s="81"/>
      <c r="G23" s="81"/>
      <c r="H23" s="81"/>
      <c r="I23" s="82"/>
    </row>
    <row r="24" spans="1:9">
      <c r="A24" s="120"/>
      <c r="B24" s="84" t="str">
        <f>IF(I4=13,"Remuneracion Extra"," ")</f>
        <v xml:space="preserve"> </v>
      </c>
      <c r="C24" s="120"/>
      <c r="D24" s="120"/>
      <c r="E24" s="120"/>
      <c r="F24" s="120"/>
      <c r="G24" s="120"/>
      <c r="H24" s="120"/>
      <c r="I24" s="183"/>
    </row>
    <row r="25" spans="1:9" ht="15.75">
      <c r="A25" s="184" t="s">
        <v>129</v>
      </c>
      <c r="B25" s="185"/>
      <c r="C25" s="185"/>
      <c r="D25" s="185"/>
      <c r="E25" s="185"/>
      <c r="F25" s="185"/>
      <c r="G25" s="185"/>
      <c r="H25" s="185"/>
      <c r="I25" s="186" t="e">
        <f>IF(I4=13,+I10+I11+I12+I13+I14+I15-I16+I18+I24,+I10+I11+I12+I13+I14+I15-I16+I18)</f>
        <v>#DIV/0!</v>
      </c>
    </row>
    <row r="26" spans="1:9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9">
      <c r="A27" s="121" t="s">
        <v>130</v>
      </c>
      <c r="B27" s="121"/>
      <c r="C27" s="121"/>
      <c r="D27" s="121"/>
      <c r="E27" s="121"/>
      <c r="F27" s="121"/>
      <c r="G27" s="121"/>
      <c r="H27" s="121"/>
      <c r="I27" s="121"/>
    </row>
    <row r="28" spans="1:9">
      <c r="A28" s="121"/>
      <c r="B28" s="121" t="s">
        <v>131</v>
      </c>
      <c r="C28" s="121"/>
      <c r="D28" s="121"/>
      <c r="E28" s="187">
        <f>VLOOKUP(I4,AVANCEVENDEDOR!A2:R34,7,0)</f>
        <v>0</v>
      </c>
      <c r="F28" s="187"/>
      <c r="G28" s="121"/>
      <c r="H28" s="121"/>
      <c r="I28" s="121"/>
    </row>
    <row r="29" spans="1:9">
      <c r="A29" s="121"/>
      <c r="B29" s="121" t="s">
        <v>132</v>
      </c>
      <c r="C29" s="121"/>
      <c r="D29" s="121"/>
      <c r="E29" s="187">
        <f>VLOOKUP(I4,AVANCEVENDEDOR!A2:R34,6,0)</f>
        <v>0</v>
      </c>
      <c r="F29" s="187"/>
      <c r="G29" s="188" t="s">
        <v>133</v>
      </c>
      <c r="H29" s="187" t="e">
        <f>E29*100/E28</f>
        <v>#DIV/0!</v>
      </c>
      <c r="I29" s="121"/>
    </row>
    <row r="30" spans="1:9">
      <c r="A30" s="121"/>
      <c r="B30" s="121" t="s">
        <v>352</v>
      </c>
      <c r="C30" s="121"/>
      <c r="D30" s="121"/>
      <c r="E30" s="187"/>
      <c r="F30" s="187"/>
      <c r="G30" s="188"/>
      <c r="H30" s="187"/>
      <c r="I30" s="121"/>
    </row>
    <row r="31" spans="1:9">
      <c r="A31" s="121"/>
      <c r="B31" s="121" t="s">
        <v>353</v>
      </c>
      <c r="C31" s="121"/>
      <c r="D31" s="121"/>
      <c r="E31" s="187"/>
      <c r="F31" s="187"/>
      <c r="G31" s="188"/>
      <c r="H31" s="187"/>
      <c r="I31" s="121"/>
    </row>
    <row r="32" spans="1:9">
      <c r="A32" s="121"/>
      <c r="B32" s="121"/>
      <c r="C32" s="121"/>
      <c r="D32" s="121"/>
      <c r="E32" s="187"/>
      <c r="F32" s="187"/>
      <c r="G32" s="188"/>
      <c r="H32" s="187"/>
      <c r="I32" s="121"/>
    </row>
    <row r="33" spans="1:9">
      <c r="A33" s="121"/>
      <c r="B33" s="121"/>
      <c r="C33" s="121"/>
      <c r="D33" s="121"/>
      <c r="E33" s="121"/>
      <c r="F33" s="121"/>
      <c r="G33" s="188"/>
      <c r="H33" s="121"/>
      <c r="I33" s="121"/>
    </row>
    <row r="34" spans="1:9">
      <c r="A34" s="121"/>
      <c r="B34" s="121" t="s">
        <v>134</v>
      </c>
      <c r="C34" s="121"/>
      <c r="D34" s="121"/>
      <c r="E34" s="187">
        <f>VLOOKUP(I4,AVANCEVENDEDOR!A2:R34,10,0)</f>
        <v>0</v>
      </c>
      <c r="F34" s="187"/>
      <c r="G34" s="188"/>
      <c r="H34" s="121"/>
      <c r="I34" s="121"/>
    </row>
    <row r="35" spans="1:9">
      <c r="A35" s="121"/>
      <c r="B35" s="121" t="s">
        <v>135</v>
      </c>
      <c r="C35" s="121"/>
      <c r="D35" s="121"/>
      <c r="E35" s="187">
        <f>VLOOKUP(I4,AVANCEVENDEDOR!A2:R34,11,0)</f>
        <v>0</v>
      </c>
      <c r="F35" s="187"/>
      <c r="G35" s="188" t="s">
        <v>136</v>
      </c>
      <c r="H35" s="187" t="e">
        <f>E35*100/E34</f>
        <v>#DIV/0!</v>
      </c>
      <c r="I35" s="121"/>
    </row>
    <row r="36" spans="1:9">
      <c r="A36" s="121"/>
      <c r="B36" s="121" t="s">
        <v>137</v>
      </c>
      <c r="C36" s="121"/>
      <c r="D36" s="121"/>
      <c r="E36" s="187">
        <f>VLOOKUP(I4,AVANCEVENDEDOR!A2:R34,9,0)</f>
        <v>0</v>
      </c>
      <c r="F36" s="187"/>
      <c r="G36" s="188"/>
      <c r="H36" s="121"/>
      <c r="I36" s="121"/>
    </row>
    <row r="37" spans="1:9">
      <c r="A37" s="121"/>
      <c r="B37" s="121"/>
      <c r="C37" s="121"/>
      <c r="D37" s="121"/>
      <c r="E37" s="121"/>
      <c r="F37" s="121"/>
      <c r="G37" s="188"/>
      <c r="H37" s="121"/>
      <c r="I37" s="121"/>
    </row>
    <row r="38" spans="1:9">
      <c r="A38" s="121"/>
      <c r="B38" s="121" t="s">
        <v>280</v>
      </c>
      <c r="C38" s="121"/>
      <c r="D38" s="121"/>
      <c r="E38" s="187">
        <f>VLOOKUP(I4,AVANCEVENDEDOR!A2:R34,13,0)</f>
        <v>283</v>
      </c>
      <c r="F38" s="187"/>
      <c r="G38" s="121"/>
      <c r="H38" s="187"/>
      <c r="I38" s="121"/>
    </row>
    <row r="39" spans="1:9">
      <c r="A39" s="121"/>
      <c r="B39" s="121" t="s">
        <v>281</v>
      </c>
      <c r="C39" s="121"/>
      <c r="D39" s="121"/>
      <c r="E39" s="187">
        <f>VLOOKUP(I4,AVANCEVENDEDOR!A2:R34,14,0)</f>
        <v>0</v>
      </c>
      <c r="F39" s="187"/>
      <c r="G39" s="188" t="s">
        <v>140</v>
      </c>
      <c r="H39" s="187">
        <f>E39*100/E38</f>
        <v>0</v>
      </c>
      <c r="I39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91"/>
  <sheetViews>
    <sheetView topLeftCell="A65" zoomScale="120" zoomScaleNormal="120" workbookViewId="0">
      <selection activeCell="B54" sqref="B54"/>
    </sheetView>
  </sheetViews>
  <sheetFormatPr baseColWidth="10" defaultColWidth="8.85546875" defaultRowHeight="15"/>
  <cols>
    <col min="1" max="1025" width="10.5703125" customWidth="1"/>
  </cols>
  <sheetData>
    <row r="1" spans="1:2">
      <c r="A1" t="s">
        <v>494</v>
      </c>
    </row>
    <row r="3" spans="1:2">
      <c r="B3" t="s">
        <v>495</v>
      </c>
    </row>
    <row r="4" spans="1:2">
      <c r="B4" t="s">
        <v>496</v>
      </c>
    </row>
    <row r="5" spans="1:2">
      <c r="B5" t="s">
        <v>497</v>
      </c>
    </row>
    <row r="8" spans="1:2">
      <c r="B8" t="s">
        <v>498</v>
      </c>
    </row>
    <row r="9" spans="1:2">
      <c r="B9" t="s">
        <v>499</v>
      </c>
    </row>
    <row r="10" spans="1:2">
      <c r="B10" t="s">
        <v>500</v>
      </c>
    </row>
    <row r="14" spans="1:2">
      <c r="B14" t="s">
        <v>501</v>
      </c>
    </row>
    <row r="15" spans="1:2">
      <c r="B15" t="s">
        <v>502</v>
      </c>
    </row>
    <row r="16" spans="1:2">
      <c r="B16" t="s">
        <v>503</v>
      </c>
    </row>
    <row r="17" spans="2:2">
      <c r="B17" t="s">
        <v>504</v>
      </c>
    </row>
    <row r="18" spans="2:2">
      <c r="B18" t="s">
        <v>505</v>
      </c>
    </row>
    <row r="20" spans="2:2">
      <c r="B20" t="s">
        <v>506</v>
      </c>
    </row>
    <row r="22" spans="2:2">
      <c r="B22" t="s">
        <v>507</v>
      </c>
    </row>
    <row r="24" spans="2:2">
      <c r="B24" t="s">
        <v>496</v>
      </c>
    </row>
    <row r="25" spans="2:2">
      <c r="B25" t="s">
        <v>508</v>
      </c>
    </row>
    <row r="27" spans="2:2">
      <c r="B27" t="s">
        <v>509</v>
      </c>
    </row>
    <row r="29" spans="2:2">
      <c r="B29" t="s">
        <v>510</v>
      </c>
    </row>
    <row r="30" spans="2:2">
      <c r="B30" t="s">
        <v>511</v>
      </c>
    </row>
    <row r="31" spans="2:2">
      <c r="B31" t="s">
        <v>512</v>
      </c>
    </row>
    <row r="35" spans="2:16">
      <c r="B35">
        <v>1</v>
      </c>
      <c r="C35" s="122">
        <v>15392</v>
      </c>
    </row>
    <row r="36" spans="2:16">
      <c r="B36">
        <v>2</v>
      </c>
      <c r="C36" s="122">
        <v>2092</v>
      </c>
      <c r="I36">
        <v>113.7</v>
      </c>
      <c r="L36" t="s">
        <v>379</v>
      </c>
      <c r="M36">
        <v>4712.54</v>
      </c>
    </row>
    <row r="37" spans="2:16">
      <c r="C37" s="122">
        <v>1489</v>
      </c>
      <c r="I37">
        <v>108</v>
      </c>
      <c r="L37" t="s">
        <v>400</v>
      </c>
      <c r="M37">
        <v>102.12</v>
      </c>
    </row>
    <row r="38" spans="2:16">
      <c r="C38" s="122">
        <v>2121</v>
      </c>
      <c r="I38">
        <v>108</v>
      </c>
      <c r="L38" t="s">
        <v>400</v>
      </c>
      <c r="M38">
        <v>1272.96</v>
      </c>
    </row>
    <row r="39" spans="2:16">
      <c r="C39" s="122">
        <v>1471</v>
      </c>
      <c r="I39">
        <v>82.77</v>
      </c>
      <c r="L39" t="s">
        <v>400</v>
      </c>
      <c r="M39">
        <v>1860.69</v>
      </c>
    </row>
    <row r="40" spans="2:16">
      <c r="C40" s="122">
        <v>15674</v>
      </c>
      <c r="I40">
        <v>86.8</v>
      </c>
      <c r="L40" t="s">
        <v>401</v>
      </c>
      <c r="M40">
        <v>296.61</v>
      </c>
    </row>
    <row r="41" spans="2:16">
      <c r="C41" s="122">
        <v>2031</v>
      </c>
      <c r="L41" t="s">
        <v>400</v>
      </c>
      <c r="M41">
        <v>10804.5</v>
      </c>
    </row>
    <row r="42" spans="2:16">
      <c r="L42" t="s">
        <v>400</v>
      </c>
      <c r="M42">
        <v>102.12</v>
      </c>
    </row>
    <row r="43" spans="2:16">
      <c r="L43" t="s">
        <v>400</v>
      </c>
      <c r="M43">
        <v>7203</v>
      </c>
    </row>
    <row r="44" spans="2:16">
      <c r="L44" t="s">
        <v>402</v>
      </c>
      <c r="M44">
        <v>2881.2</v>
      </c>
    </row>
    <row r="45" spans="2:16">
      <c r="M45">
        <f>SUM(M36:M44)</f>
        <v>29235.739999999998</v>
      </c>
      <c r="O45">
        <v>27641.68</v>
      </c>
      <c r="P45">
        <f>M45-O45</f>
        <v>1594.0599999999977</v>
      </c>
    </row>
    <row r="47" spans="2:16">
      <c r="B47" t="s">
        <v>513</v>
      </c>
    </row>
    <row r="49" spans="2:9">
      <c r="B49" t="s">
        <v>514</v>
      </c>
    </row>
    <row r="50" spans="2:9">
      <c r="B50" t="s">
        <v>515</v>
      </c>
    </row>
    <row r="53" spans="2:9">
      <c r="B53" t="s">
        <v>516</v>
      </c>
    </row>
    <row r="54" spans="2:9">
      <c r="B54" t="s">
        <v>496</v>
      </c>
    </row>
    <row r="55" spans="2:9">
      <c r="B55" t="s">
        <v>517</v>
      </c>
    </row>
    <row r="57" spans="2:9">
      <c r="B57" t="s">
        <v>496</v>
      </c>
    </row>
    <row r="58" spans="2:9">
      <c r="B58" t="s">
        <v>518</v>
      </c>
    </row>
    <row r="64" spans="2:9">
      <c r="B64" t="s">
        <v>519</v>
      </c>
      <c r="C64" t="s">
        <v>520</v>
      </c>
      <c r="D64" t="s">
        <v>521</v>
      </c>
      <c r="E64" t="s">
        <v>522</v>
      </c>
      <c r="F64" t="s">
        <v>523</v>
      </c>
      <c r="G64" t="s">
        <v>524</v>
      </c>
      <c r="H64" t="s">
        <v>525</v>
      </c>
      <c r="I64" t="s">
        <v>526</v>
      </c>
    </row>
    <row r="65" spans="2:17">
      <c r="B65" t="s">
        <v>527</v>
      </c>
      <c r="C65" t="s">
        <v>528</v>
      </c>
      <c r="D65" t="s">
        <v>529</v>
      </c>
      <c r="E65" t="s">
        <v>530</v>
      </c>
      <c r="F65" t="s">
        <v>529</v>
      </c>
      <c r="G65" t="s">
        <v>531</v>
      </c>
      <c r="H65" t="s">
        <v>532</v>
      </c>
      <c r="I65" t="s">
        <v>533</v>
      </c>
      <c r="K65" t="s">
        <v>529</v>
      </c>
      <c r="L65" t="s">
        <v>534</v>
      </c>
      <c r="M65" t="s">
        <v>535</v>
      </c>
      <c r="N65" t="s">
        <v>536</v>
      </c>
      <c r="O65" t="s">
        <v>529</v>
      </c>
      <c r="P65" t="s">
        <v>537</v>
      </c>
    </row>
    <row r="70" spans="2:17">
      <c r="B70" t="s">
        <v>519</v>
      </c>
      <c r="C70" t="s">
        <v>538</v>
      </c>
      <c r="D70" t="s">
        <v>539</v>
      </c>
      <c r="E70" t="s">
        <v>540</v>
      </c>
    </row>
    <row r="71" spans="2:17">
      <c r="B71" t="s">
        <v>521</v>
      </c>
      <c r="C71" t="s">
        <v>541</v>
      </c>
      <c r="E71" t="s">
        <v>523</v>
      </c>
      <c r="F71" t="s">
        <v>524</v>
      </c>
      <c r="G71" t="s">
        <v>525</v>
      </c>
      <c r="H71" t="s">
        <v>526</v>
      </c>
    </row>
    <row r="72" spans="2:17">
      <c r="B72" t="s">
        <v>527</v>
      </c>
      <c r="C72" t="s">
        <v>542</v>
      </c>
      <c r="D72" t="s">
        <v>543</v>
      </c>
      <c r="E72" t="s">
        <v>529</v>
      </c>
      <c r="F72" t="s">
        <v>528</v>
      </c>
      <c r="G72" t="s">
        <v>529</v>
      </c>
      <c r="H72" t="s">
        <v>530</v>
      </c>
      <c r="J72" t="s">
        <v>529</v>
      </c>
      <c r="K72" t="s">
        <v>544</v>
      </c>
      <c r="L72" t="s">
        <v>535</v>
      </c>
      <c r="M72" t="s">
        <v>536</v>
      </c>
      <c r="N72" t="s">
        <v>529</v>
      </c>
      <c r="O72" t="s">
        <v>537</v>
      </c>
      <c r="P72" t="s">
        <v>529</v>
      </c>
      <c r="Q72" t="s">
        <v>545</v>
      </c>
    </row>
    <row r="84" spans="6:8">
      <c r="F84">
        <v>4341.3999999999996</v>
      </c>
    </row>
    <row r="85" spans="6:8">
      <c r="F85">
        <v>3.4</v>
      </c>
    </row>
    <row r="86" spans="6:8">
      <c r="F86">
        <f>F85*F84</f>
        <v>14760.759999999998</v>
      </c>
      <c r="G86">
        <v>10000</v>
      </c>
      <c r="H86">
        <f>F86-G86</f>
        <v>4760.7599999999984</v>
      </c>
    </row>
    <row r="89" spans="6:8">
      <c r="F89">
        <v>2884.95</v>
      </c>
    </row>
    <row r="90" spans="6:8">
      <c r="F90">
        <v>3.4</v>
      </c>
    </row>
    <row r="91" spans="6:8">
      <c r="F91">
        <f>F90*F89</f>
        <v>9808.83</v>
      </c>
      <c r="G91">
        <v>8000</v>
      </c>
      <c r="H91">
        <f>F91-G91</f>
        <v>1808.83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K85"/>
  <sheetViews>
    <sheetView topLeftCell="A43" zoomScale="120" zoomScaleNormal="120" workbookViewId="0">
      <selection activeCell="B1" sqref="B1"/>
    </sheetView>
  </sheetViews>
  <sheetFormatPr baseColWidth="10" defaultColWidth="8.85546875" defaultRowHeight="15"/>
  <cols>
    <col min="1" max="7" width="9.140625" style="29" customWidth="1"/>
    <col min="8" max="8" width="8.7109375" style="29" customWidth="1"/>
    <col min="9" max="1025" width="9.140625" style="29" customWidth="1"/>
  </cols>
  <sheetData>
    <row r="1" spans="2:10">
      <c r="B1" s="80" t="s">
        <v>112</v>
      </c>
      <c r="C1" s="81"/>
      <c r="D1" s="81"/>
      <c r="E1" s="81"/>
      <c r="F1" s="82"/>
      <c r="G1" s="82"/>
      <c r="H1" s="81"/>
      <c r="I1" s="81"/>
      <c r="J1" s="81"/>
    </row>
    <row r="2" spans="2:10">
      <c r="B2" s="80" t="s">
        <v>113</v>
      </c>
      <c r="C2" s="81"/>
      <c r="D2" s="81"/>
      <c r="E2" s="81"/>
      <c r="F2" s="82"/>
      <c r="G2" s="82"/>
      <c r="H2" s="81"/>
      <c r="I2" s="81"/>
      <c r="J2" s="81"/>
    </row>
    <row r="3" spans="2:10">
      <c r="B3" s="80" t="s">
        <v>114</v>
      </c>
      <c r="C3" s="81"/>
      <c r="D3" s="81"/>
      <c r="E3" s="81"/>
      <c r="F3" s="82"/>
      <c r="G3" s="82"/>
      <c r="H3" s="81"/>
      <c r="I3" s="81"/>
      <c r="J3" s="81"/>
    </row>
    <row r="4" spans="2:10">
      <c r="B4" s="81" t="s">
        <v>115</v>
      </c>
      <c r="C4" s="81"/>
      <c r="D4" s="81"/>
      <c r="E4" s="81"/>
      <c r="F4" s="82"/>
      <c r="G4" s="82"/>
      <c r="H4" s="81"/>
      <c r="I4" s="81"/>
      <c r="J4" s="83">
        <v>42461</v>
      </c>
    </row>
    <row r="5" spans="2:10">
      <c r="B5" s="81" t="s">
        <v>116</v>
      </c>
      <c r="C5" s="81"/>
      <c r="D5" s="84" t="s">
        <v>117</v>
      </c>
      <c r="E5" s="81"/>
      <c r="F5" s="82"/>
      <c r="G5" s="82"/>
      <c r="H5" s="81"/>
      <c r="I5" s="81"/>
      <c r="J5" s="81"/>
    </row>
    <row r="6" spans="2:10">
      <c r="B6" s="81"/>
      <c r="C6" s="81"/>
      <c r="D6" s="81"/>
      <c r="E6" s="81"/>
      <c r="F6" s="82"/>
      <c r="G6" s="82"/>
      <c r="H6" s="81"/>
      <c r="I6" s="81"/>
      <c r="J6" s="80" t="s">
        <v>118</v>
      </c>
    </row>
    <row r="7" spans="2:10">
      <c r="B7" s="81" t="s">
        <v>119</v>
      </c>
      <c r="C7" s="81"/>
      <c r="D7" s="81"/>
      <c r="E7" s="81"/>
      <c r="F7" s="81"/>
      <c r="G7" s="81"/>
      <c r="H7" s="81"/>
      <c r="I7" s="81"/>
      <c r="J7" s="85">
        <v>2500</v>
      </c>
    </row>
    <row r="8" spans="2:10" ht="22.5" customHeight="1">
      <c r="B8" s="81" t="s">
        <v>120</v>
      </c>
      <c r="C8" s="81"/>
      <c r="D8" s="81"/>
      <c r="E8" s="81"/>
      <c r="F8" s="86" t="s">
        <v>121</v>
      </c>
      <c r="G8" s="81"/>
      <c r="H8" s="86" t="s">
        <v>122</v>
      </c>
      <c r="I8" s="86" t="s">
        <v>123</v>
      </c>
      <c r="J8" s="85">
        <v>0</v>
      </c>
    </row>
    <row r="9" spans="2:10" ht="12.75" customHeight="1">
      <c r="B9" s="81" t="s">
        <v>124</v>
      </c>
      <c r="C9" s="81"/>
      <c r="D9" s="81"/>
      <c r="E9" s="81"/>
      <c r="F9" s="82">
        <v>200</v>
      </c>
      <c r="G9" s="81"/>
      <c r="H9" s="82">
        <v>85</v>
      </c>
      <c r="I9" s="82">
        <f>H18</f>
        <v>83.189273948096016</v>
      </c>
      <c r="J9" s="85">
        <v>0</v>
      </c>
    </row>
    <row r="10" spans="2:10" ht="12.75" customHeight="1">
      <c r="B10" s="81" t="s">
        <v>125</v>
      </c>
      <c r="C10" s="81"/>
      <c r="D10" s="81"/>
      <c r="E10" s="81"/>
      <c r="F10" s="82">
        <v>200</v>
      </c>
      <c r="G10" s="81"/>
      <c r="H10" s="82">
        <v>5</v>
      </c>
      <c r="I10" s="82">
        <f>H21</f>
        <v>3.2372928625929154</v>
      </c>
      <c r="J10" s="85">
        <v>0</v>
      </c>
    </row>
    <row r="11" spans="2:10" ht="12.75" customHeight="1">
      <c r="B11" s="81" t="s">
        <v>126</v>
      </c>
      <c r="C11" s="81"/>
      <c r="D11" s="81"/>
      <c r="E11" s="81"/>
      <c r="F11" s="82">
        <v>200</v>
      </c>
      <c r="G11" s="81"/>
      <c r="H11" s="82">
        <v>90</v>
      </c>
      <c r="I11" s="82">
        <f>H25</f>
        <v>44.642857142857146</v>
      </c>
      <c r="J11" s="85">
        <f>IF(I11&gt;=H11,F19*F11%,0)</f>
        <v>0</v>
      </c>
    </row>
    <row r="12" spans="2:10" ht="12.75" customHeight="1">
      <c r="B12" s="81" t="s">
        <v>127</v>
      </c>
      <c r="C12" s="81"/>
      <c r="D12" s="81"/>
      <c r="E12" s="81"/>
      <c r="F12" s="81"/>
      <c r="G12" s="81"/>
      <c r="H12" s="81"/>
      <c r="I12" s="81"/>
      <c r="J12" s="85">
        <v>0</v>
      </c>
    </row>
    <row r="13" spans="2:10" ht="12.75" customHeight="1">
      <c r="B13" s="81" t="s">
        <v>128</v>
      </c>
      <c r="C13" s="81"/>
      <c r="D13" s="81"/>
      <c r="E13" s="81"/>
      <c r="F13" s="82"/>
      <c r="G13" s="81"/>
      <c r="H13" s="81"/>
      <c r="I13" s="81"/>
      <c r="J13" s="85">
        <v>0</v>
      </c>
    </row>
    <row r="14" spans="2:10">
      <c r="B14" s="81"/>
      <c r="C14" s="81"/>
      <c r="D14" s="81"/>
      <c r="E14" s="81"/>
      <c r="F14" s="82"/>
      <c r="G14" s="81"/>
      <c r="H14" s="81"/>
      <c r="I14" s="81"/>
      <c r="J14" s="85"/>
    </row>
    <row r="15" spans="2:10">
      <c r="B15" s="87" t="s">
        <v>129</v>
      </c>
      <c r="C15" s="88"/>
      <c r="D15" s="88"/>
      <c r="E15" s="88"/>
      <c r="F15" s="89"/>
      <c r="G15" s="88"/>
      <c r="H15" s="88"/>
      <c r="I15" s="88"/>
      <c r="J15" s="90">
        <f>SUM(J7:J14)</f>
        <v>2500</v>
      </c>
    </row>
    <row r="16" spans="2:10">
      <c r="B16" s="81" t="s">
        <v>130</v>
      </c>
      <c r="C16" s="81"/>
      <c r="D16" s="81"/>
      <c r="E16" s="81"/>
      <c r="F16" s="82"/>
      <c r="G16" s="81"/>
      <c r="H16" s="81"/>
      <c r="I16" s="81"/>
      <c r="J16" s="81"/>
    </row>
    <row r="17" spans="2:15">
      <c r="B17" s="81"/>
      <c r="C17" s="81" t="s">
        <v>131</v>
      </c>
      <c r="D17" s="81"/>
      <c r="E17" s="81"/>
      <c r="F17" s="82">
        <f>AVANCEVENDEDOR!G87</f>
        <v>2152050</v>
      </c>
      <c r="G17" s="81"/>
      <c r="H17" s="81"/>
      <c r="I17" s="81"/>
      <c r="J17" s="81"/>
    </row>
    <row r="18" spans="2:15">
      <c r="B18" s="81"/>
      <c r="C18" s="81" t="s">
        <v>132</v>
      </c>
      <c r="D18" s="81"/>
      <c r="E18" s="81"/>
      <c r="F18" s="82">
        <f>AVANCEVENDEDOR!F87</f>
        <v>1790274.7700000003</v>
      </c>
      <c r="G18" s="91" t="s">
        <v>133</v>
      </c>
      <c r="H18" s="82">
        <f>F18*100/F17</f>
        <v>83.189273948096016</v>
      </c>
      <c r="I18" s="91"/>
      <c r="J18" s="81"/>
    </row>
    <row r="19" spans="2:15">
      <c r="B19" s="81"/>
      <c r="C19" s="81"/>
      <c r="D19" s="81"/>
      <c r="E19" s="81"/>
      <c r="F19" s="82"/>
      <c r="G19" s="91"/>
      <c r="H19" s="81"/>
      <c r="I19" s="91"/>
      <c r="J19" s="81"/>
    </row>
    <row r="20" spans="2:15">
      <c r="B20" s="81"/>
      <c r="C20" s="81" t="s">
        <v>134</v>
      </c>
      <c r="D20" s="81"/>
      <c r="E20" s="81"/>
      <c r="F20" s="82">
        <f>AVANCEVENDEDOR!J87</f>
        <v>4034163.9</v>
      </c>
      <c r="G20" s="91"/>
      <c r="H20" s="81"/>
      <c r="I20" s="91"/>
      <c r="J20" s="81"/>
    </row>
    <row r="21" spans="2:15">
      <c r="B21" s="81"/>
      <c r="C21" s="81" t="s">
        <v>135</v>
      </c>
      <c r="D21" s="81"/>
      <c r="E21" s="81"/>
      <c r="F21" s="82">
        <f>AVANCEVENDEDOR!K87</f>
        <v>130597.7</v>
      </c>
      <c r="G21" s="91" t="s">
        <v>136</v>
      </c>
      <c r="H21" s="82">
        <f>F21*100/F20</f>
        <v>3.2372928625929154</v>
      </c>
      <c r="I21" s="91"/>
      <c r="J21" s="82"/>
    </row>
    <row r="22" spans="2:15">
      <c r="B22" s="81"/>
      <c r="C22" s="81" t="s">
        <v>137</v>
      </c>
      <c r="D22" s="81"/>
      <c r="E22" s="81"/>
      <c r="F22" s="82">
        <f>AVANCEVENDEDOR!I87</f>
        <v>2165782.1799999997</v>
      </c>
      <c r="G22" s="91"/>
      <c r="H22" s="81"/>
      <c r="I22" s="91"/>
      <c r="J22" s="81"/>
    </row>
    <row r="23" spans="2:15">
      <c r="B23" s="81"/>
      <c r="C23" s="81"/>
      <c r="D23" s="81"/>
      <c r="E23" s="81"/>
      <c r="F23" s="82"/>
      <c r="G23" s="91"/>
      <c r="H23" s="81"/>
      <c r="I23" s="91"/>
      <c r="J23" s="81"/>
    </row>
    <row r="24" spans="2:15">
      <c r="B24" s="81"/>
      <c r="C24" s="81" t="s">
        <v>138</v>
      </c>
      <c r="D24" s="81"/>
      <c r="E24" s="81"/>
      <c r="F24" s="82">
        <v>56</v>
      </c>
      <c r="G24" s="81"/>
      <c r="H24" s="82"/>
      <c r="I24" s="81"/>
      <c r="J24" s="81"/>
    </row>
    <row r="25" spans="2:15">
      <c r="B25" s="81"/>
      <c r="C25" s="81" t="s">
        <v>139</v>
      </c>
      <c r="D25" s="81"/>
      <c r="E25" s="81"/>
      <c r="F25" s="82">
        <f>SUM(I28:I79)</f>
        <v>25</v>
      </c>
      <c r="G25" s="91" t="s">
        <v>140</v>
      </c>
      <c r="H25" s="82">
        <f>F25*100/F24</f>
        <v>44.642857142857146</v>
      </c>
      <c r="I25" s="91"/>
      <c r="J25" s="81"/>
    </row>
    <row r="26" spans="2:15">
      <c r="B26" s="81"/>
      <c r="C26" s="81"/>
      <c r="D26" s="81"/>
      <c r="E26" s="81"/>
      <c r="F26" s="82"/>
      <c r="G26" s="91"/>
      <c r="H26" s="82"/>
      <c r="I26" s="91"/>
      <c r="J26" s="81"/>
    </row>
    <row r="27" spans="2:15" ht="14.25" customHeight="1">
      <c r="B27" s="92" t="s">
        <v>141</v>
      </c>
      <c r="C27" s="360" t="s">
        <v>142</v>
      </c>
      <c r="D27" s="360"/>
      <c r="E27" s="93" t="s">
        <v>8</v>
      </c>
      <c r="F27" s="94" t="s">
        <v>143</v>
      </c>
      <c r="G27" s="361" t="s">
        <v>48</v>
      </c>
      <c r="H27" s="361"/>
      <c r="I27" s="95" t="s">
        <v>144</v>
      </c>
      <c r="J27" s="80"/>
      <c r="K27" s="96" t="s">
        <v>77</v>
      </c>
      <c r="L27" s="96" t="s">
        <v>145</v>
      </c>
      <c r="M27" s="97" t="s">
        <v>146</v>
      </c>
      <c r="N27" s="97" t="s">
        <v>147</v>
      </c>
    </row>
    <row r="28" spans="2:15" ht="11.25" customHeight="1">
      <c r="B28" s="98">
        <f t="shared" ref="B28:B59" si="0">K28</f>
        <v>257</v>
      </c>
      <c r="C28" s="362" t="str">
        <f t="shared" ref="C28:C59" si="1">L28</f>
        <v>ABBA</v>
      </c>
      <c r="D28" s="362"/>
      <c r="E28" s="99">
        <f t="shared" ref="E28:E59" si="2">N28</f>
        <v>638.54999999999995</v>
      </c>
      <c r="F28" s="99">
        <f t="shared" ref="F28:F59" si="3">M28</f>
        <v>520.52</v>
      </c>
      <c r="G28" s="100">
        <f t="shared" ref="G28:G59" si="4">F28*100/E28</f>
        <v>81.515934539190354</v>
      </c>
      <c r="H28" s="101" t="s">
        <v>48</v>
      </c>
      <c r="I28" s="102">
        <f t="shared" ref="I28:I59" si="5">IF(G28&gt;84.99,1,0)</f>
        <v>0</v>
      </c>
      <c r="K28" s="103">
        <v>257</v>
      </c>
      <c r="L28" s="104" t="s">
        <v>148</v>
      </c>
      <c r="M28" s="105">
        <v>520.52</v>
      </c>
      <c r="N28" s="105">
        <v>638.54999999999995</v>
      </c>
      <c r="O28" s="29">
        <v>1</v>
      </c>
    </row>
    <row r="29" spans="2:15" ht="11.25" customHeight="1">
      <c r="B29" s="106">
        <f t="shared" si="0"/>
        <v>301</v>
      </c>
      <c r="C29" s="363" t="str">
        <f t="shared" si="1"/>
        <v>ALGOTEC</v>
      </c>
      <c r="D29" s="363"/>
      <c r="E29" s="107">
        <f t="shared" si="2"/>
        <v>1312.5</v>
      </c>
      <c r="F29" s="107">
        <f t="shared" si="3"/>
        <v>2177.91</v>
      </c>
      <c r="G29" s="108">
        <f t="shared" si="4"/>
        <v>165.93600000000001</v>
      </c>
      <c r="H29" s="109" t="s">
        <v>48</v>
      </c>
      <c r="I29" s="110">
        <f t="shared" si="5"/>
        <v>1</v>
      </c>
      <c r="K29" s="103">
        <v>301</v>
      </c>
      <c r="L29" s="104" t="s">
        <v>149</v>
      </c>
      <c r="M29" s="105">
        <v>2177.91</v>
      </c>
      <c r="N29" s="105">
        <v>1312.5</v>
      </c>
      <c r="O29" s="29">
        <v>2</v>
      </c>
    </row>
    <row r="30" spans="2:15" ht="11.25" customHeight="1">
      <c r="B30" s="106">
        <f t="shared" si="0"/>
        <v>12</v>
      </c>
      <c r="C30" s="363" t="str">
        <f t="shared" si="1"/>
        <v>APROPO</v>
      </c>
      <c r="D30" s="363"/>
      <c r="E30" s="107">
        <f t="shared" si="2"/>
        <v>10968.52</v>
      </c>
      <c r="F30" s="107">
        <f t="shared" si="3"/>
        <v>9403.35</v>
      </c>
      <c r="G30" s="108">
        <f t="shared" si="4"/>
        <v>85.730344659078881</v>
      </c>
      <c r="H30" s="109" t="s">
        <v>48</v>
      </c>
      <c r="I30" s="110">
        <f t="shared" si="5"/>
        <v>1</v>
      </c>
      <c r="K30" s="103">
        <v>12</v>
      </c>
      <c r="L30" s="104" t="s">
        <v>150</v>
      </c>
      <c r="M30" s="105">
        <v>9403.35</v>
      </c>
      <c r="N30" s="105">
        <v>10968.52</v>
      </c>
      <c r="O30" s="29">
        <v>3</v>
      </c>
    </row>
    <row r="31" spans="2:15" ht="11.25" customHeight="1">
      <c r="B31" s="106">
        <f t="shared" si="0"/>
        <v>299</v>
      </c>
      <c r="C31" s="363" t="str">
        <f t="shared" si="1"/>
        <v>AXON PHARMA</v>
      </c>
      <c r="D31" s="363"/>
      <c r="E31" s="107">
        <f t="shared" si="2"/>
        <v>6826.7</v>
      </c>
      <c r="F31" s="107">
        <f t="shared" si="3"/>
        <v>18661.46</v>
      </c>
      <c r="G31" s="108">
        <f t="shared" si="4"/>
        <v>273.35989570363427</v>
      </c>
      <c r="H31" s="109" t="s">
        <v>48</v>
      </c>
      <c r="I31" s="110">
        <f t="shared" si="5"/>
        <v>1</v>
      </c>
      <c r="K31" s="103">
        <v>299</v>
      </c>
      <c r="L31" s="104" t="s">
        <v>151</v>
      </c>
      <c r="M31" s="105">
        <v>18661.46</v>
      </c>
      <c r="N31" s="105">
        <v>6826.7</v>
      </c>
      <c r="O31" s="29">
        <v>4</v>
      </c>
    </row>
    <row r="32" spans="2:15" ht="11.25" customHeight="1">
      <c r="B32" s="106">
        <f t="shared" si="0"/>
        <v>300</v>
      </c>
      <c r="C32" s="363" t="str">
        <f t="shared" si="1"/>
        <v>B. BRAUN INST</v>
      </c>
      <c r="D32" s="363"/>
      <c r="E32" s="107">
        <f t="shared" si="2"/>
        <v>114091.05</v>
      </c>
      <c r="F32" s="107">
        <f t="shared" si="3"/>
        <v>89286.93</v>
      </c>
      <c r="G32" s="108">
        <f t="shared" si="4"/>
        <v>78.25936390277765</v>
      </c>
      <c r="H32" s="109" t="s">
        <v>48</v>
      </c>
      <c r="I32" s="110">
        <f t="shared" si="5"/>
        <v>0</v>
      </c>
      <c r="K32" s="103">
        <v>300</v>
      </c>
      <c r="L32" s="104" t="s">
        <v>152</v>
      </c>
      <c r="M32" s="105">
        <v>89286.93</v>
      </c>
      <c r="N32" s="105">
        <v>114091.05</v>
      </c>
      <c r="O32" s="29">
        <v>5</v>
      </c>
    </row>
    <row r="33" spans="2:15" ht="11.25" customHeight="1">
      <c r="B33" s="106">
        <f t="shared" si="0"/>
        <v>17</v>
      </c>
      <c r="C33" s="363" t="str">
        <f t="shared" si="1"/>
        <v>B. BRAUN MEDICAL</v>
      </c>
      <c r="D33" s="363"/>
      <c r="E33" s="107">
        <f t="shared" si="2"/>
        <v>61972.77</v>
      </c>
      <c r="F33" s="107">
        <f t="shared" si="3"/>
        <v>53479.82</v>
      </c>
      <c r="G33" s="108">
        <f t="shared" si="4"/>
        <v>86.295674697129087</v>
      </c>
      <c r="H33" s="109" t="s">
        <v>48</v>
      </c>
      <c r="I33" s="110">
        <f t="shared" si="5"/>
        <v>1</v>
      </c>
      <c r="K33" s="103">
        <v>17</v>
      </c>
      <c r="L33" s="104" t="s">
        <v>153</v>
      </c>
      <c r="M33" s="105">
        <v>53479.82</v>
      </c>
      <c r="N33" s="105">
        <v>61972.77</v>
      </c>
      <c r="O33" s="29">
        <v>6</v>
      </c>
    </row>
    <row r="34" spans="2:15" ht="11.25" customHeight="1">
      <c r="B34" s="106">
        <f t="shared" si="0"/>
        <v>293</v>
      </c>
      <c r="C34" s="363" t="str">
        <f t="shared" si="1"/>
        <v>BAGO DEL PERU SA.</v>
      </c>
      <c r="D34" s="363"/>
      <c r="E34" s="107">
        <f t="shared" si="2"/>
        <v>4531.22</v>
      </c>
      <c r="F34" s="107">
        <f t="shared" si="3"/>
        <v>2592.14</v>
      </c>
      <c r="G34" s="108">
        <f t="shared" si="4"/>
        <v>57.206227020537511</v>
      </c>
      <c r="H34" s="109" t="s">
        <v>48</v>
      </c>
      <c r="I34" s="110">
        <f t="shared" si="5"/>
        <v>0</v>
      </c>
      <c r="K34" s="103">
        <v>293</v>
      </c>
      <c r="L34" s="104" t="s">
        <v>154</v>
      </c>
      <c r="M34" s="105">
        <v>2592.14</v>
      </c>
      <c r="N34" s="105">
        <v>4531.22</v>
      </c>
      <c r="O34" s="29">
        <v>7</v>
      </c>
    </row>
    <row r="35" spans="2:15" ht="11.25" customHeight="1">
      <c r="B35" s="106">
        <f t="shared" si="0"/>
        <v>20</v>
      </c>
      <c r="C35" s="363" t="str">
        <f t="shared" si="1"/>
        <v>BEIERSDORF</v>
      </c>
      <c r="D35" s="363"/>
      <c r="E35" s="107">
        <f t="shared" si="2"/>
        <v>2819.66</v>
      </c>
      <c r="F35" s="107">
        <f t="shared" si="3"/>
        <v>1626.47</v>
      </c>
      <c r="G35" s="108">
        <f t="shared" si="4"/>
        <v>57.683195846307711</v>
      </c>
      <c r="H35" s="109" t="s">
        <v>48</v>
      </c>
      <c r="I35" s="110">
        <f t="shared" si="5"/>
        <v>0</v>
      </c>
      <c r="K35" s="103">
        <v>20</v>
      </c>
      <c r="L35" s="104" t="s">
        <v>155</v>
      </c>
      <c r="M35" s="105">
        <v>1626.47</v>
      </c>
      <c r="N35" s="105">
        <v>2819.66</v>
      </c>
      <c r="O35" s="29">
        <v>8</v>
      </c>
    </row>
    <row r="36" spans="2:15" ht="11.25" customHeight="1">
      <c r="B36" s="106">
        <f t="shared" si="0"/>
        <v>281</v>
      </c>
      <c r="C36" s="363" t="str">
        <f t="shared" si="1"/>
        <v>CASSARA</v>
      </c>
      <c r="D36" s="363"/>
      <c r="E36" s="107">
        <f t="shared" si="2"/>
        <v>4593.95</v>
      </c>
      <c r="F36" s="107">
        <f t="shared" si="3"/>
        <v>10665.71</v>
      </c>
      <c r="G36" s="108">
        <f t="shared" si="4"/>
        <v>232.16861306718619</v>
      </c>
      <c r="H36" s="109" t="s">
        <v>48</v>
      </c>
      <c r="I36" s="110">
        <f t="shared" si="5"/>
        <v>1</v>
      </c>
      <c r="K36" s="103">
        <v>281</v>
      </c>
      <c r="L36" s="104" t="s">
        <v>156</v>
      </c>
      <c r="M36" s="105">
        <v>10665.71</v>
      </c>
      <c r="N36" s="105">
        <v>4593.95</v>
      </c>
      <c r="O36" s="29">
        <v>9</v>
      </c>
    </row>
    <row r="37" spans="2:15" ht="11.25" customHeight="1">
      <c r="B37" s="106">
        <f t="shared" si="0"/>
        <v>28</v>
      </c>
      <c r="C37" s="363" t="str">
        <f t="shared" si="1"/>
        <v>DISTRIBUIDORA DANY</v>
      </c>
      <c r="D37" s="363"/>
      <c r="E37" s="107">
        <f t="shared" si="2"/>
        <v>7648.53</v>
      </c>
      <c r="F37" s="107">
        <f t="shared" si="3"/>
        <v>3832.8</v>
      </c>
      <c r="G37" s="108">
        <f t="shared" si="4"/>
        <v>50.111590070248795</v>
      </c>
      <c r="H37" s="109" t="s">
        <v>48</v>
      </c>
      <c r="I37" s="110">
        <f t="shared" si="5"/>
        <v>0</v>
      </c>
      <c r="K37" s="103">
        <v>28</v>
      </c>
      <c r="L37" s="104" t="s">
        <v>157</v>
      </c>
      <c r="M37" s="105">
        <v>3832.8</v>
      </c>
      <c r="N37" s="105">
        <v>7648.53</v>
      </c>
      <c r="O37" s="29">
        <v>10</v>
      </c>
    </row>
    <row r="38" spans="2:15" ht="11.25" customHeight="1">
      <c r="B38" s="106">
        <f t="shared" si="0"/>
        <v>276</v>
      </c>
      <c r="C38" s="363" t="str">
        <f t="shared" si="1"/>
        <v>DROKASA</v>
      </c>
      <c r="D38" s="363"/>
      <c r="E38" s="107">
        <f t="shared" si="2"/>
        <v>10307.799999999999</v>
      </c>
      <c r="F38" s="107">
        <f t="shared" si="3"/>
        <v>8521.5300000000007</v>
      </c>
      <c r="G38" s="108">
        <f t="shared" si="4"/>
        <v>82.670695977803234</v>
      </c>
      <c r="H38" s="109" t="s">
        <v>48</v>
      </c>
      <c r="I38" s="110">
        <f t="shared" si="5"/>
        <v>0</v>
      </c>
      <c r="K38" s="103">
        <v>276</v>
      </c>
      <c r="L38" s="104" t="s">
        <v>158</v>
      </c>
      <c r="M38" s="105">
        <v>8521.5300000000007</v>
      </c>
      <c r="N38" s="105">
        <v>10307.799999999999</v>
      </c>
      <c r="O38" s="29">
        <v>11</v>
      </c>
    </row>
    <row r="39" spans="2:15" ht="11.25" customHeight="1">
      <c r="B39" s="106">
        <f t="shared" si="0"/>
        <v>32</v>
      </c>
      <c r="C39" s="363" t="str">
        <f t="shared" si="1"/>
        <v>EGO</v>
      </c>
      <c r="D39" s="363"/>
      <c r="E39" s="107">
        <f t="shared" si="2"/>
        <v>6751.8</v>
      </c>
      <c r="F39" s="107">
        <f t="shared" si="3"/>
        <v>5676.69</v>
      </c>
      <c r="G39" s="108">
        <f t="shared" si="4"/>
        <v>84.076690660268369</v>
      </c>
      <c r="H39" s="109" t="s">
        <v>48</v>
      </c>
      <c r="I39" s="110">
        <f t="shared" si="5"/>
        <v>0</v>
      </c>
      <c r="K39" s="103">
        <v>32</v>
      </c>
      <c r="L39" s="104" t="s">
        <v>159</v>
      </c>
      <c r="M39" s="105">
        <v>5676.69</v>
      </c>
      <c r="N39" s="105">
        <v>6751.8</v>
      </c>
      <c r="O39" s="29">
        <v>12</v>
      </c>
    </row>
    <row r="40" spans="2:15" ht="11.25" customHeight="1">
      <c r="B40" s="106">
        <f t="shared" si="0"/>
        <v>296</v>
      </c>
      <c r="C40" s="363" t="str">
        <f t="shared" si="1"/>
        <v>EUROFARMA</v>
      </c>
      <c r="D40" s="363"/>
      <c r="E40" s="107">
        <f t="shared" si="2"/>
        <v>59438.96</v>
      </c>
      <c r="F40" s="107">
        <f t="shared" si="3"/>
        <v>71984.149999999994</v>
      </c>
      <c r="G40" s="108">
        <f t="shared" si="4"/>
        <v>121.10600521947219</v>
      </c>
      <c r="H40" s="109" t="s">
        <v>48</v>
      </c>
      <c r="I40" s="110">
        <f t="shared" si="5"/>
        <v>1</v>
      </c>
      <c r="K40" s="103">
        <v>296</v>
      </c>
      <c r="L40" s="104" t="s">
        <v>160</v>
      </c>
      <c r="M40" s="105">
        <v>71984.149999999994</v>
      </c>
      <c r="N40" s="105">
        <v>59438.96</v>
      </c>
      <c r="O40" s="29">
        <v>13</v>
      </c>
    </row>
    <row r="41" spans="2:15" ht="11.25" customHeight="1">
      <c r="B41" s="106">
        <f t="shared" si="0"/>
        <v>287</v>
      </c>
      <c r="C41" s="363" t="str">
        <f t="shared" si="1"/>
        <v>GEDEON</v>
      </c>
      <c r="D41" s="363"/>
      <c r="E41" s="107">
        <f t="shared" si="2"/>
        <v>34404.97</v>
      </c>
      <c r="F41" s="107">
        <f t="shared" si="3"/>
        <v>31911.75</v>
      </c>
      <c r="G41" s="108">
        <f t="shared" si="4"/>
        <v>92.753314419399288</v>
      </c>
      <c r="H41" s="109" t="s">
        <v>48</v>
      </c>
      <c r="I41" s="110">
        <f t="shared" si="5"/>
        <v>1</v>
      </c>
      <c r="K41" s="103">
        <v>287</v>
      </c>
      <c r="L41" s="104" t="s">
        <v>161</v>
      </c>
      <c r="M41" s="105">
        <v>31911.75</v>
      </c>
      <c r="N41" s="105">
        <v>34404.97</v>
      </c>
      <c r="O41" s="29">
        <v>14</v>
      </c>
    </row>
    <row r="42" spans="2:15" ht="11.25" customHeight="1">
      <c r="B42" s="106">
        <f t="shared" si="0"/>
        <v>298</v>
      </c>
      <c r="C42" s="363" t="str">
        <f t="shared" si="1"/>
        <v>GENOMMA LAB</v>
      </c>
      <c r="D42" s="363"/>
      <c r="E42" s="107">
        <f t="shared" si="2"/>
        <v>54774.64</v>
      </c>
      <c r="F42" s="107">
        <f t="shared" si="3"/>
        <v>37307.1</v>
      </c>
      <c r="G42" s="108">
        <f t="shared" si="4"/>
        <v>68.110169231600608</v>
      </c>
      <c r="H42" s="109" t="s">
        <v>48</v>
      </c>
      <c r="I42" s="110">
        <f t="shared" si="5"/>
        <v>0</v>
      </c>
      <c r="K42" s="103">
        <v>298</v>
      </c>
      <c r="L42" s="104" t="s">
        <v>162</v>
      </c>
      <c r="M42" s="105">
        <v>37307.1</v>
      </c>
      <c r="N42" s="105">
        <v>54774.64</v>
      </c>
      <c r="O42" s="29">
        <v>15</v>
      </c>
    </row>
    <row r="43" spans="2:15" ht="11.25" customHeight="1">
      <c r="B43" s="106">
        <f t="shared" si="0"/>
        <v>273</v>
      </c>
      <c r="C43" s="363" t="str">
        <f t="shared" si="1"/>
        <v xml:space="preserve">GRUNENTHAL </v>
      </c>
      <c r="D43" s="363"/>
      <c r="E43" s="107">
        <f t="shared" si="2"/>
        <v>65630.83</v>
      </c>
      <c r="F43" s="107">
        <f t="shared" si="3"/>
        <v>20528.990000000002</v>
      </c>
      <c r="G43" s="108">
        <f t="shared" si="4"/>
        <v>31.27949166573088</v>
      </c>
      <c r="H43" s="109" t="s">
        <v>48</v>
      </c>
      <c r="I43" s="110">
        <f t="shared" si="5"/>
        <v>0</v>
      </c>
      <c r="K43" s="103">
        <v>273</v>
      </c>
      <c r="L43" s="104" t="s">
        <v>163</v>
      </c>
      <c r="M43" s="105">
        <v>20528.990000000002</v>
      </c>
      <c r="N43" s="105">
        <v>65630.83</v>
      </c>
      <c r="O43" s="29">
        <v>16</v>
      </c>
    </row>
    <row r="44" spans="2:15" ht="11.25" customHeight="1">
      <c r="B44" s="106">
        <f t="shared" si="0"/>
        <v>47</v>
      </c>
      <c r="C44" s="363" t="str">
        <f t="shared" si="1"/>
        <v>GRUPOFARMA</v>
      </c>
      <c r="D44" s="363"/>
      <c r="E44" s="107">
        <f t="shared" si="2"/>
        <v>34351.019999999997</v>
      </c>
      <c r="F44" s="107">
        <f t="shared" si="3"/>
        <v>43571.77</v>
      </c>
      <c r="G44" s="108">
        <f t="shared" si="4"/>
        <v>126.84272548529856</v>
      </c>
      <c r="H44" s="109" t="s">
        <v>48</v>
      </c>
      <c r="I44" s="110">
        <f t="shared" si="5"/>
        <v>1</v>
      </c>
      <c r="K44" s="103">
        <v>47</v>
      </c>
      <c r="L44" s="104" t="s">
        <v>164</v>
      </c>
      <c r="M44" s="105">
        <v>43571.77</v>
      </c>
      <c r="N44" s="105">
        <v>34351.019999999997</v>
      </c>
      <c r="O44" s="29">
        <v>17</v>
      </c>
    </row>
    <row r="45" spans="2:15" ht="11.25" customHeight="1">
      <c r="B45" s="106">
        <f t="shared" si="0"/>
        <v>48</v>
      </c>
      <c r="C45" s="363" t="str">
        <f t="shared" si="1"/>
        <v>GSK - GLAXOSMITHKLINE</v>
      </c>
      <c r="D45" s="363"/>
      <c r="E45" s="107">
        <f t="shared" si="2"/>
        <v>20972.99</v>
      </c>
      <c r="F45" s="107">
        <f t="shared" si="3"/>
        <v>23691.29</v>
      </c>
      <c r="G45" s="108">
        <f t="shared" si="4"/>
        <v>112.96095597241975</v>
      </c>
      <c r="H45" s="109" t="s">
        <v>48</v>
      </c>
      <c r="I45" s="110">
        <f t="shared" si="5"/>
        <v>1</v>
      </c>
      <c r="K45" s="103">
        <v>48</v>
      </c>
      <c r="L45" s="104" t="s">
        <v>165</v>
      </c>
      <c r="M45" s="105">
        <v>23691.29</v>
      </c>
      <c r="N45" s="105">
        <v>20972.99</v>
      </c>
      <c r="O45" s="29">
        <v>18</v>
      </c>
    </row>
    <row r="46" spans="2:15" ht="11.25" customHeight="1">
      <c r="B46" s="106">
        <f t="shared" si="0"/>
        <v>279</v>
      </c>
      <c r="C46" s="363" t="str">
        <f t="shared" si="1"/>
        <v>IMPORT</v>
      </c>
      <c r="D46" s="363"/>
      <c r="E46" s="107">
        <f t="shared" si="2"/>
        <v>828.47</v>
      </c>
      <c r="F46" s="107">
        <f t="shared" si="3"/>
        <v>1055.3499999999999</v>
      </c>
      <c r="G46" s="108">
        <f t="shared" si="4"/>
        <v>127.3854213188166</v>
      </c>
      <c r="H46" s="109" t="s">
        <v>48</v>
      </c>
      <c r="I46" s="110">
        <f t="shared" si="5"/>
        <v>1</v>
      </c>
      <c r="K46" s="103">
        <v>279</v>
      </c>
      <c r="L46" s="104" t="s">
        <v>166</v>
      </c>
      <c r="M46" s="105">
        <v>1055.3499999999999</v>
      </c>
      <c r="N46" s="105">
        <v>828.47</v>
      </c>
      <c r="O46" s="29">
        <v>19</v>
      </c>
    </row>
    <row r="47" spans="2:15" ht="11.25" customHeight="1">
      <c r="B47" s="106">
        <f t="shared" si="0"/>
        <v>55</v>
      </c>
      <c r="C47" s="363" t="str">
        <f t="shared" si="1"/>
        <v>INDUQUIMICA</v>
      </c>
      <c r="D47" s="363"/>
      <c r="E47" s="107">
        <f t="shared" si="2"/>
        <v>41067.919999999998</v>
      </c>
      <c r="F47" s="107">
        <f t="shared" si="3"/>
        <v>45027.41</v>
      </c>
      <c r="G47" s="108">
        <f t="shared" si="4"/>
        <v>109.64132101163146</v>
      </c>
      <c r="H47" s="109" t="s">
        <v>48</v>
      </c>
      <c r="I47" s="110">
        <f t="shared" si="5"/>
        <v>1</v>
      </c>
      <c r="K47" s="103">
        <v>55</v>
      </c>
      <c r="L47" s="104" t="s">
        <v>167</v>
      </c>
      <c r="M47" s="105">
        <v>45027.41</v>
      </c>
      <c r="N47" s="105">
        <v>41067.919999999998</v>
      </c>
      <c r="O47" s="29">
        <v>20</v>
      </c>
    </row>
    <row r="48" spans="2:15" ht="11.25" customHeight="1">
      <c r="B48" s="106">
        <f t="shared" si="0"/>
        <v>61</v>
      </c>
      <c r="C48" s="363" t="str">
        <f t="shared" si="1"/>
        <v>INTI</v>
      </c>
      <c r="D48" s="363"/>
      <c r="E48" s="107">
        <f t="shared" si="2"/>
        <v>7990.78</v>
      </c>
      <c r="F48" s="107">
        <f t="shared" si="3"/>
        <v>3788.8</v>
      </c>
      <c r="G48" s="108">
        <f t="shared" si="4"/>
        <v>47.414645378799065</v>
      </c>
      <c r="H48" s="109" t="s">
        <v>48</v>
      </c>
      <c r="I48" s="110">
        <f t="shared" si="5"/>
        <v>0</v>
      </c>
      <c r="K48" s="103">
        <v>61</v>
      </c>
      <c r="L48" s="104" t="s">
        <v>168</v>
      </c>
      <c r="M48" s="105">
        <v>3788.8</v>
      </c>
      <c r="N48" s="105">
        <v>7990.78</v>
      </c>
      <c r="O48" s="29">
        <v>21</v>
      </c>
    </row>
    <row r="49" spans="2:15" ht="11.25" customHeight="1">
      <c r="B49" s="106">
        <f t="shared" si="0"/>
        <v>295</v>
      </c>
      <c r="C49" s="363" t="str">
        <f t="shared" si="1"/>
        <v>IQMEDIC</v>
      </c>
      <c r="D49" s="363"/>
      <c r="E49" s="107">
        <f t="shared" si="2"/>
        <v>12812.62</v>
      </c>
      <c r="F49" s="107">
        <f t="shared" si="3"/>
        <v>12071.3</v>
      </c>
      <c r="G49" s="108">
        <f t="shared" si="4"/>
        <v>94.214141994377414</v>
      </c>
      <c r="H49" s="109" t="s">
        <v>48</v>
      </c>
      <c r="I49" s="110">
        <f t="shared" si="5"/>
        <v>1</v>
      </c>
      <c r="K49" s="103">
        <v>295</v>
      </c>
      <c r="L49" s="104" t="s">
        <v>169</v>
      </c>
      <c r="M49" s="105">
        <v>12071.3</v>
      </c>
      <c r="N49" s="105">
        <v>12812.62</v>
      </c>
      <c r="O49" s="29">
        <v>22</v>
      </c>
    </row>
    <row r="50" spans="2:15" ht="11.25" customHeight="1">
      <c r="B50" s="106">
        <f t="shared" si="0"/>
        <v>271</v>
      </c>
      <c r="C50" s="363" t="str">
        <f t="shared" si="1"/>
        <v>ISDIN</v>
      </c>
      <c r="D50" s="363"/>
      <c r="E50" s="107">
        <f t="shared" si="2"/>
        <v>4195.3900000000003</v>
      </c>
      <c r="F50" s="107">
        <f t="shared" si="3"/>
        <v>10611.11</v>
      </c>
      <c r="G50" s="108">
        <f t="shared" si="4"/>
        <v>252.92308939097435</v>
      </c>
      <c r="H50" s="109" t="s">
        <v>48</v>
      </c>
      <c r="I50" s="110">
        <f t="shared" si="5"/>
        <v>1</v>
      </c>
      <c r="K50" s="103">
        <v>271</v>
      </c>
      <c r="L50" s="104" t="s">
        <v>170</v>
      </c>
      <c r="M50" s="105">
        <v>10611.11</v>
      </c>
      <c r="N50" s="105">
        <v>4195.3900000000003</v>
      </c>
      <c r="O50" s="29">
        <v>23</v>
      </c>
    </row>
    <row r="51" spans="2:15" ht="11.25" customHeight="1">
      <c r="B51" s="106">
        <f t="shared" si="0"/>
        <v>70</v>
      </c>
      <c r="C51" s="363" t="str">
        <f t="shared" si="1"/>
        <v>LABORATORIOS SOPHIA-PERU</v>
      </c>
      <c r="D51" s="363"/>
      <c r="E51" s="107">
        <f t="shared" si="2"/>
        <v>18942.91</v>
      </c>
      <c r="F51" s="107">
        <f t="shared" si="3"/>
        <v>13726.47</v>
      </c>
      <c r="G51" s="108">
        <f t="shared" si="4"/>
        <v>72.462309117236998</v>
      </c>
      <c r="H51" s="109" t="s">
        <v>48</v>
      </c>
      <c r="I51" s="110">
        <f t="shared" si="5"/>
        <v>0</v>
      </c>
      <c r="K51" s="103">
        <v>70</v>
      </c>
      <c r="L51" s="104" t="s">
        <v>171</v>
      </c>
      <c r="M51" s="105">
        <v>13726.47</v>
      </c>
      <c r="N51" s="105">
        <v>18942.91</v>
      </c>
      <c r="O51" s="29">
        <v>24</v>
      </c>
    </row>
    <row r="52" spans="2:15" ht="11.25" customHeight="1">
      <c r="B52" s="106">
        <f t="shared" si="0"/>
        <v>272</v>
      </c>
      <c r="C52" s="363" t="str">
        <f t="shared" si="1"/>
        <v xml:space="preserve">LABOT </v>
      </c>
      <c r="D52" s="363"/>
      <c r="E52" s="107">
        <f t="shared" si="2"/>
        <v>7890.51</v>
      </c>
      <c r="F52" s="107">
        <f t="shared" si="3"/>
        <v>5171.68</v>
      </c>
      <c r="G52" s="108">
        <f t="shared" si="4"/>
        <v>65.543038409431077</v>
      </c>
      <c r="H52" s="109" t="s">
        <v>48</v>
      </c>
      <c r="I52" s="110">
        <f t="shared" si="5"/>
        <v>0</v>
      </c>
      <c r="K52" s="103">
        <v>272</v>
      </c>
      <c r="L52" s="104" t="s">
        <v>172</v>
      </c>
      <c r="M52" s="105">
        <v>5171.68</v>
      </c>
      <c r="N52" s="105">
        <v>7890.51</v>
      </c>
      <c r="O52" s="29">
        <v>25</v>
      </c>
    </row>
    <row r="53" spans="2:15" ht="11.25" customHeight="1">
      <c r="B53" s="106">
        <f t="shared" si="0"/>
        <v>71</v>
      </c>
      <c r="C53" s="363" t="str">
        <f t="shared" si="1"/>
        <v>LANSIER</v>
      </c>
      <c r="D53" s="363"/>
      <c r="E53" s="107">
        <f t="shared" si="2"/>
        <v>41493.49</v>
      </c>
      <c r="F53" s="107">
        <f t="shared" si="3"/>
        <v>21810.61</v>
      </c>
      <c r="G53" s="108">
        <f t="shared" si="4"/>
        <v>52.563932318057603</v>
      </c>
      <c r="H53" s="109" t="s">
        <v>48</v>
      </c>
      <c r="I53" s="110">
        <f t="shared" si="5"/>
        <v>0</v>
      </c>
      <c r="K53" s="103">
        <v>71</v>
      </c>
      <c r="L53" s="104" t="s">
        <v>173</v>
      </c>
      <c r="M53" s="105">
        <v>21810.61</v>
      </c>
      <c r="N53" s="105">
        <v>41493.49</v>
      </c>
      <c r="O53" s="29">
        <v>26</v>
      </c>
    </row>
    <row r="54" spans="2:15" ht="11.25" customHeight="1">
      <c r="B54" s="106">
        <f t="shared" si="0"/>
        <v>72</v>
      </c>
      <c r="C54" s="363" t="str">
        <f t="shared" si="1"/>
        <v>LAPE S.A.</v>
      </c>
      <c r="D54" s="363"/>
      <c r="E54" s="107">
        <f t="shared" si="2"/>
        <v>2340.4699999999998</v>
      </c>
      <c r="F54" s="107">
        <f t="shared" si="3"/>
        <v>2206.0300000000002</v>
      </c>
      <c r="G54" s="108">
        <f t="shared" si="4"/>
        <v>94.2558545933082</v>
      </c>
      <c r="H54" s="109" t="s">
        <v>48</v>
      </c>
      <c r="I54" s="110">
        <f t="shared" si="5"/>
        <v>1</v>
      </c>
      <c r="K54" s="103">
        <v>72</v>
      </c>
      <c r="L54" s="104" t="s">
        <v>174</v>
      </c>
      <c r="M54" s="105">
        <v>2206.0300000000002</v>
      </c>
      <c r="N54" s="105">
        <v>2340.4699999999998</v>
      </c>
      <c r="O54" s="29">
        <v>27</v>
      </c>
    </row>
    <row r="55" spans="2:15" ht="11.25" customHeight="1">
      <c r="B55" s="106">
        <f t="shared" si="0"/>
        <v>73</v>
      </c>
      <c r="C55" s="363" t="str">
        <f t="shared" si="1"/>
        <v>LUKOLL</v>
      </c>
      <c r="D55" s="363"/>
      <c r="E55" s="107">
        <f t="shared" si="2"/>
        <v>32752.29</v>
      </c>
      <c r="F55" s="107">
        <f t="shared" si="3"/>
        <v>23842.42</v>
      </c>
      <c r="G55" s="108">
        <f t="shared" si="4"/>
        <v>72.796192266250699</v>
      </c>
      <c r="H55" s="109" t="s">
        <v>48</v>
      </c>
      <c r="I55" s="110">
        <f t="shared" si="5"/>
        <v>0</v>
      </c>
      <c r="K55" s="103">
        <v>73</v>
      </c>
      <c r="L55" s="104" t="s">
        <v>175</v>
      </c>
      <c r="M55" s="105">
        <v>23842.42</v>
      </c>
      <c r="N55" s="105">
        <v>32752.29</v>
      </c>
      <c r="O55" s="29">
        <v>28</v>
      </c>
    </row>
    <row r="56" spans="2:15" ht="11.25" customHeight="1">
      <c r="B56" s="106">
        <f t="shared" si="0"/>
        <v>79</v>
      </c>
      <c r="C56" s="363" t="str">
        <f t="shared" si="1"/>
        <v>MEDIFARMA AKORN</v>
      </c>
      <c r="D56" s="363"/>
      <c r="E56" s="107">
        <f t="shared" si="2"/>
        <v>34500</v>
      </c>
      <c r="F56" s="107">
        <f t="shared" si="3"/>
        <v>32587.65</v>
      </c>
      <c r="G56" s="108">
        <f t="shared" si="4"/>
        <v>94.45695652173913</v>
      </c>
      <c r="H56" s="109" t="s">
        <v>48</v>
      </c>
      <c r="I56" s="110">
        <f t="shared" si="5"/>
        <v>1</v>
      </c>
      <c r="K56" s="103">
        <v>79</v>
      </c>
      <c r="L56" s="104" t="s">
        <v>176</v>
      </c>
      <c r="M56" s="105">
        <v>32587.65</v>
      </c>
      <c r="N56" s="105">
        <v>34500</v>
      </c>
      <c r="O56" s="29">
        <v>29</v>
      </c>
    </row>
    <row r="57" spans="2:15" ht="11.25" customHeight="1">
      <c r="B57" s="106">
        <f t="shared" si="0"/>
        <v>292</v>
      </c>
      <c r="C57" s="363" t="str">
        <f t="shared" si="1"/>
        <v>MEDIFARMA ATRAL</v>
      </c>
      <c r="D57" s="363"/>
      <c r="E57" s="107">
        <f t="shared" si="2"/>
        <v>17460</v>
      </c>
      <c r="F57" s="107">
        <f t="shared" si="3"/>
        <v>10252</v>
      </c>
      <c r="G57" s="108">
        <f t="shared" si="4"/>
        <v>58.717067583046962</v>
      </c>
      <c r="H57" s="109" t="s">
        <v>48</v>
      </c>
      <c r="I57" s="110">
        <f t="shared" si="5"/>
        <v>0</v>
      </c>
      <c r="K57" s="103">
        <v>292</v>
      </c>
      <c r="L57" s="104" t="s">
        <v>177</v>
      </c>
      <c r="M57" s="105">
        <v>10252</v>
      </c>
      <c r="N57" s="105">
        <v>17460</v>
      </c>
      <c r="O57" s="29">
        <v>30</v>
      </c>
    </row>
    <row r="58" spans="2:15" ht="11.25" customHeight="1">
      <c r="B58" s="106">
        <f t="shared" si="0"/>
        <v>80</v>
      </c>
      <c r="C58" s="363" t="str">
        <f t="shared" si="1"/>
        <v>MEDIFARMA CONSUMO</v>
      </c>
      <c r="D58" s="363"/>
      <c r="E58" s="107">
        <f t="shared" si="2"/>
        <v>124283.4</v>
      </c>
      <c r="F58" s="107">
        <f t="shared" si="3"/>
        <v>64416.62</v>
      </c>
      <c r="G58" s="108">
        <f t="shared" si="4"/>
        <v>51.830429486158252</v>
      </c>
      <c r="H58" s="109" t="s">
        <v>48</v>
      </c>
      <c r="I58" s="110">
        <f t="shared" si="5"/>
        <v>0</v>
      </c>
      <c r="K58" s="103">
        <v>80</v>
      </c>
      <c r="L58" s="104" t="s">
        <v>178</v>
      </c>
      <c r="M58" s="105">
        <v>64416.62</v>
      </c>
      <c r="N58" s="105">
        <v>124283.4</v>
      </c>
      <c r="O58" s="29">
        <v>31</v>
      </c>
    </row>
    <row r="59" spans="2:15" ht="11.25" customHeight="1">
      <c r="B59" s="106">
        <f t="shared" si="0"/>
        <v>81</v>
      </c>
      <c r="C59" s="363" t="str">
        <f t="shared" si="1"/>
        <v>MEDIFARMA FARPASA</v>
      </c>
      <c r="D59" s="363"/>
      <c r="E59" s="107">
        <f t="shared" si="2"/>
        <v>87272.5</v>
      </c>
      <c r="F59" s="107">
        <f t="shared" si="3"/>
        <v>47475.75</v>
      </c>
      <c r="G59" s="108">
        <f t="shared" si="4"/>
        <v>54.399438540204535</v>
      </c>
      <c r="H59" s="109" t="s">
        <v>48</v>
      </c>
      <c r="I59" s="110">
        <f t="shared" si="5"/>
        <v>0</v>
      </c>
      <c r="K59" s="103">
        <v>81</v>
      </c>
      <c r="L59" s="104" t="s">
        <v>179</v>
      </c>
      <c r="M59" s="105">
        <v>47475.75</v>
      </c>
      <c r="N59" s="105">
        <v>87272.5</v>
      </c>
      <c r="O59" s="29">
        <v>32</v>
      </c>
    </row>
    <row r="60" spans="2:15" ht="11.25" customHeight="1">
      <c r="B60" s="106">
        <f t="shared" ref="B60:B83" si="6">K60</f>
        <v>82</v>
      </c>
      <c r="C60" s="363" t="str">
        <f t="shared" ref="C60:C83" si="7">L60</f>
        <v>MEDIFARMA MEDIF</v>
      </c>
      <c r="D60" s="363"/>
      <c r="E60" s="107">
        <f t="shared" ref="E60:E83" si="8">N60</f>
        <v>444500</v>
      </c>
      <c r="F60" s="107">
        <f t="shared" ref="F60:F83" si="9">M60</f>
        <v>363913.53</v>
      </c>
      <c r="G60" s="108">
        <f t="shared" ref="G60:G84" si="10">F60*100/E60</f>
        <v>81.870310461192346</v>
      </c>
      <c r="H60" s="109" t="s">
        <v>48</v>
      </c>
      <c r="I60" s="110">
        <f t="shared" ref="I60:I83" si="11">IF(G60&gt;84.99,1,0)</f>
        <v>0</v>
      </c>
      <c r="K60" s="103">
        <v>82</v>
      </c>
      <c r="L60" s="104" t="s">
        <v>180</v>
      </c>
      <c r="M60" s="105">
        <v>363913.53</v>
      </c>
      <c r="N60" s="105">
        <v>444500</v>
      </c>
      <c r="O60" s="29">
        <v>33</v>
      </c>
    </row>
    <row r="61" spans="2:15" ht="11.25" customHeight="1">
      <c r="B61" s="106">
        <f t="shared" si="6"/>
        <v>83</v>
      </c>
      <c r="C61" s="363" t="str">
        <f t="shared" si="7"/>
        <v>MEDIFARMA TRIFARMA</v>
      </c>
      <c r="D61" s="363"/>
      <c r="E61" s="107">
        <f t="shared" si="8"/>
        <v>437749.8</v>
      </c>
      <c r="F61" s="107">
        <f t="shared" si="9"/>
        <v>205512.15</v>
      </c>
      <c r="G61" s="108">
        <f t="shared" si="10"/>
        <v>46.947400090188509</v>
      </c>
      <c r="H61" s="109" t="s">
        <v>48</v>
      </c>
      <c r="I61" s="110">
        <f t="shared" si="11"/>
        <v>0</v>
      </c>
      <c r="K61" s="103">
        <v>83</v>
      </c>
      <c r="L61" s="104" t="s">
        <v>181</v>
      </c>
      <c r="M61" s="105">
        <v>205512.15</v>
      </c>
      <c r="N61" s="105">
        <v>437749.8</v>
      </c>
      <c r="O61" s="29">
        <v>34</v>
      </c>
    </row>
    <row r="62" spans="2:15" ht="11.25" customHeight="1">
      <c r="B62" s="106">
        <f t="shared" si="6"/>
        <v>84</v>
      </c>
      <c r="C62" s="363" t="str">
        <f t="shared" si="7"/>
        <v>MEDIFARMA ZAIDMAN</v>
      </c>
      <c r="D62" s="363"/>
      <c r="E62" s="107">
        <f t="shared" si="8"/>
        <v>2710.2</v>
      </c>
      <c r="F62" s="107">
        <f t="shared" si="9"/>
        <v>2687.27</v>
      </c>
      <c r="G62" s="108">
        <f t="shared" si="10"/>
        <v>99.153936978820752</v>
      </c>
      <c r="H62" s="109" t="s">
        <v>48</v>
      </c>
      <c r="I62" s="110">
        <f t="shared" si="11"/>
        <v>1</v>
      </c>
      <c r="K62" s="103">
        <v>84</v>
      </c>
      <c r="L62" s="104" t="s">
        <v>182</v>
      </c>
      <c r="M62" s="105">
        <v>2687.27</v>
      </c>
      <c r="N62" s="105">
        <v>2710.2</v>
      </c>
      <c r="O62" s="29">
        <v>35</v>
      </c>
    </row>
    <row r="63" spans="2:15" ht="11.25" customHeight="1">
      <c r="B63" s="106">
        <f t="shared" si="6"/>
        <v>88</v>
      </c>
      <c r="C63" s="363" t="str">
        <f t="shared" si="7"/>
        <v>NESTLE</v>
      </c>
      <c r="D63" s="363"/>
      <c r="E63" s="107">
        <f t="shared" si="8"/>
        <v>11563.28</v>
      </c>
      <c r="F63" s="107">
        <f t="shared" si="9"/>
        <v>8869.82</v>
      </c>
      <c r="G63" s="108">
        <f t="shared" si="10"/>
        <v>76.706782158695447</v>
      </c>
      <c r="H63" s="109" t="s">
        <v>48</v>
      </c>
      <c r="I63" s="110">
        <f t="shared" si="11"/>
        <v>0</v>
      </c>
      <c r="K63" s="103">
        <v>88</v>
      </c>
      <c r="L63" s="104" t="s">
        <v>183</v>
      </c>
      <c r="M63" s="105">
        <v>8869.82</v>
      </c>
      <c r="N63" s="105">
        <v>11563.28</v>
      </c>
      <c r="O63" s="29">
        <v>36</v>
      </c>
    </row>
    <row r="64" spans="2:15" ht="11.25" customHeight="1">
      <c r="B64" s="106">
        <f t="shared" si="6"/>
        <v>90</v>
      </c>
      <c r="C64" s="363" t="str">
        <f t="shared" si="7"/>
        <v>NIPRO</v>
      </c>
      <c r="D64" s="363"/>
      <c r="E64" s="107">
        <f t="shared" si="8"/>
        <v>5318.84</v>
      </c>
      <c r="F64" s="107">
        <f t="shared" si="9"/>
        <v>2356.62</v>
      </c>
      <c r="G64" s="108">
        <f t="shared" si="10"/>
        <v>44.307029352264777</v>
      </c>
      <c r="H64" s="109" t="s">
        <v>48</v>
      </c>
      <c r="I64" s="110">
        <f t="shared" si="11"/>
        <v>0</v>
      </c>
      <c r="K64" s="103">
        <v>90</v>
      </c>
      <c r="L64" s="104" t="s">
        <v>184</v>
      </c>
      <c r="M64" s="105">
        <v>2356.62</v>
      </c>
      <c r="N64" s="105">
        <v>5318.84</v>
      </c>
      <c r="O64" s="29">
        <v>37</v>
      </c>
    </row>
    <row r="65" spans="2:15" ht="11.25" customHeight="1">
      <c r="B65" s="106">
        <f t="shared" si="6"/>
        <v>266</v>
      </c>
      <c r="C65" s="363" t="str">
        <f t="shared" si="7"/>
        <v>NORDIC</v>
      </c>
      <c r="D65" s="363"/>
      <c r="E65" s="107">
        <f t="shared" si="8"/>
        <v>23707.91</v>
      </c>
      <c r="F65" s="107">
        <f t="shared" si="9"/>
        <v>21252.74</v>
      </c>
      <c r="G65" s="108">
        <f t="shared" si="10"/>
        <v>89.644089251224585</v>
      </c>
      <c r="H65" s="109" t="s">
        <v>48</v>
      </c>
      <c r="I65" s="110">
        <f t="shared" si="11"/>
        <v>1</v>
      </c>
      <c r="K65" s="103">
        <v>266</v>
      </c>
      <c r="L65" s="104" t="s">
        <v>185</v>
      </c>
      <c r="M65" s="105">
        <v>21252.74</v>
      </c>
      <c r="N65" s="105">
        <v>23707.91</v>
      </c>
      <c r="O65" s="29">
        <v>38</v>
      </c>
    </row>
    <row r="66" spans="2:15" ht="11.25" customHeight="1">
      <c r="B66" s="106">
        <f t="shared" si="6"/>
        <v>91</v>
      </c>
      <c r="C66" s="363" t="str">
        <f t="shared" si="7"/>
        <v>NOVARTIS</v>
      </c>
      <c r="D66" s="363"/>
      <c r="E66" s="107">
        <f t="shared" si="8"/>
        <v>14638.26</v>
      </c>
      <c r="F66" s="107">
        <f t="shared" si="9"/>
        <v>19100.22</v>
      </c>
      <c r="G66" s="108">
        <f t="shared" si="10"/>
        <v>130.48149165269643</v>
      </c>
      <c r="H66" s="109" t="s">
        <v>48</v>
      </c>
      <c r="I66" s="110">
        <f t="shared" si="11"/>
        <v>1</v>
      </c>
      <c r="K66" s="103">
        <v>91</v>
      </c>
      <c r="L66" s="104" t="s">
        <v>186</v>
      </c>
      <c r="M66" s="105">
        <v>19100.22</v>
      </c>
      <c r="N66" s="105">
        <v>14638.26</v>
      </c>
      <c r="O66" s="29">
        <v>39</v>
      </c>
    </row>
    <row r="67" spans="2:15" ht="11.25" customHeight="1">
      <c r="B67" s="106">
        <f t="shared" si="6"/>
        <v>94</v>
      </c>
      <c r="C67" s="363" t="str">
        <f t="shared" si="7"/>
        <v>OPHTHA</v>
      </c>
      <c r="D67" s="363"/>
      <c r="E67" s="107">
        <f t="shared" si="8"/>
        <v>23565.79</v>
      </c>
      <c r="F67" s="107">
        <f t="shared" si="9"/>
        <v>23042.799999999999</v>
      </c>
      <c r="G67" s="108">
        <f t="shared" si="10"/>
        <v>97.780723667655522</v>
      </c>
      <c r="H67" s="109" t="s">
        <v>48</v>
      </c>
      <c r="I67" s="110">
        <f t="shared" si="11"/>
        <v>1</v>
      </c>
      <c r="K67" s="103">
        <v>94</v>
      </c>
      <c r="L67" s="104" t="s">
        <v>187</v>
      </c>
      <c r="M67" s="105">
        <v>23042.799999999999</v>
      </c>
      <c r="N67" s="105">
        <v>23565.79</v>
      </c>
      <c r="O67" s="29">
        <v>40</v>
      </c>
    </row>
    <row r="68" spans="2:15" ht="11.25" customHeight="1">
      <c r="B68" s="106">
        <f t="shared" si="6"/>
        <v>96</v>
      </c>
      <c r="C68" s="363" t="str">
        <f t="shared" si="7"/>
        <v>PANDITAS</v>
      </c>
      <c r="D68" s="363"/>
      <c r="E68" s="107">
        <f t="shared" si="8"/>
        <v>6172.21</v>
      </c>
      <c r="F68" s="107">
        <f t="shared" si="9"/>
        <v>3936.91</v>
      </c>
      <c r="G68" s="108">
        <f t="shared" si="10"/>
        <v>63.784446737878326</v>
      </c>
      <c r="H68" s="109" t="s">
        <v>48</v>
      </c>
      <c r="I68" s="110">
        <f t="shared" si="11"/>
        <v>0</v>
      </c>
      <c r="K68" s="103">
        <v>96</v>
      </c>
      <c r="L68" s="104" t="s">
        <v>188</v>
      </c>
      <c r="M68" s="105">
        <v>3936.91</v>
      </c>
      <c r="N68" s="105">
        <v>6172.21</v>
      </c>
      <c r="O68" s="29">
        <v>41</v>
      </c>
    </row>
    <row r="69" spans="2:15" ht="11.25" customHeight="1">
      <c r="B69" s="106">
        <f t="shared" si="6"/>
        <v>101</v>
      </c>
      <c r="C69" s="363" t="str">
        <f t="shared" si="7"/>
        <v>PORTUGAL</v>
      </c>
      <c r="D69" s="363"/>
      <c r="E69" s="107">
        <f t="shared" si="8"/>
        <v>13251.77</v>
      </c>
      <c r="F69" s="107">
        <f t="shared" si="9"/>
        <v>15876.32</v>
      </c>
      <c r="G69" s="108">
        <f t="shared" si="10"/>
        <v>119.8052788419962</v>
      </c>
      <c r="H69" s="109" t="s">
        <v>48</v>
      </c>
      <c r="I69" s="110">
        <f t="shared" si="11"/>
        <v>1</v>
      </c>
      <c r="K69" s="103">
        <v>101</v>
      </c>
      <c r="L69" s="104" t="s">
        <v>189</v>
      </c>
      <c r="M69" s="105">
        <v>15876.32</v>
      </c>
      <c r="N69" s="105">
        <v>13251.77</v>
      </c>
      <c r="O69" s="29">
        <v>42</v>
      </c>
    </row>
    <row r="70" spans="2:15" ht="11.25" customHeight="1">
      <c r="B70" s="106">
        <f t="shared" si="6"/>
        <v>108</v>
      </c>
      <c r="C70" s="363" t="str">
        <f t="shared" si="7"/>
        <v>ROXFARMA</v>
      </c>
      <c r="D70" s="363"/>
      <c r="E70" s="107">
        <f t="shared" si="8"/>
        <v>22059.96</v>
      </c>
      <c r="F70" s="107">
        <f t="shared" si="9"/>
        <v>27960.59</v>
      </c>
      <c r="G70" s="108">
        <f t="shared" si="10"/>
        <v>126.74814460225676</v>
      </c>
      <c r="H70" s="109" t="s">
        <v>48</v>
      </c>
      <c r="I70" s="110">
        <f t="shared" si="11"/>
        <v>1</v>
      </c>
      <c r="K70" s="103">
        <v>108</v>
      </c>
      <c r="L70" s="104" t="s">
        <v>190</v>
      </c>
      <c r="M70" s="105">
        <v>27960.59</v>
      </c>
      <c r="N70" s="105">
        <v>22059.96</v>
      </c>
      <c r="O70" s="29">
        <v>43</v>
      </c>
    </row>
    <row r="71" spans="2:15" ht="11.25" customHeight="1">
      <c r="B71" s="106">
        <f t="shared" si="6"/>
        <v>253</v>
      </c>
      <c r="C71" s="363" t="str">
        <f t="shared" si="7"/>
        <v>SANCELA - TENA</v>
      </c>
      <c r="D71" s="363"/>
      <c r="E71" s="107">
        <f t="shared" si="8"/>
        <v>2033.14</v>
      </c>
      <c r="F71" s="107">
        <f t="shared" si="9"/>
        <v>1895.05</v>
      </c>
      <c r="G71" s="108">
        <f t="shared" si="10"/>
        <v>93.208042731931883</v>
      </c>
      <c r="H71" s="109" t="s">
        <v>48</v>
      </c>
      <c r="I71" s="110">
        <f t="shared" si="11"/>
        <v>1</v>
      </c>
      <c r="K71" s="103">
        <v>253</v>
      </c>
      <c r="L71" s="104" t="s">
        <v>191</v>
      </c>
      <c r="M71" s="105">
        <v>1895.05</v>
      </c>
      <c r="N71" s="105">
        <v>2033.14</v>
      </c>
      <c r="O71" s="29">
        <v>44</v>
      </c>
    </row>
    <row r="72" spans="2:15" ht="11.25" customHeight="1">
      <c r="B72" s="106">
        <f t="shared" si="6"/>
        <v>109</v>
      </c>
      <c r="C72" s="363" t="str">
        <f t="shared" si="7"/>
        <v>SANCELA-NOSOTRAS</v>
      </c>
      <c r="D72" s="363"/>
      <c r="E72" s="107">
        <f t="shared" si="8"/>
        <v>6227.35</v>
      </c>
      <c r="F72" s="107">
        <f t="shared" si="9"/>
        <v>8335.4599999999991</v>
      </c>
      <c r="G72" s="108">
        <f t="shared" si="10"/>
        <v>133.85244124707938</v>
      </c>
      <c r="H72" s="109" t="s">
        <v>48</v>
      </c>
      <c r="I72" s="110">
        <f t="shared" si="11"/>
        <v>1</v>
      </c>
      <c r="K72" s="103">
        <v>109</v>
      </c>
      <c r="L72" s="104" t="s">
        <v>192</v>
      </c>
      <c r="M72" s="105">
        <v>8335.4599999999991</v>
      </c>
      <c r="N72" s="105">
        <v>6227.35</v>
      </c>
      <c r="O72" s="29">
        <v>45</v>
      </c>
    </row>
    <row r="73" spans="2:15" ht="11.25" customHeight="1">
      <c r="B73" s="106">
        <f t="shared" si="6"/>
        <v>110</v>
      </c>
      <c r="C73" s="363" t="str">
        <f t="shared" si="7"/>
        <v>SANDERSON</v>
      </c>
      <c r="D73" s="363"/>
      <c r="E73" s="107">
        <f t="shared" si="8"/>
        <v>5610.84</v>
      </c>
      <c r="F73" s="107">
        <f t="shared" si="9"/>
        <v>5400.64</v>
      </c>
      <c r="G73" s="108">
        <f t="shared" si="10"/>
        <v>96.253680375843899</v>
      </c>
      <c r="H73" s="109" t="s">
        <v>48</v>
      </c>
      <c r="I73" s="110">
        <f t="shared" si="11"/>
        <v>1</v>
      </c>
      <c r="K73" s="103">
        <v>110</v>
      </c>
      <c r="L73" s="104" t="s">
        <v>193</v>
      </c>
      <c r="M73" s="105">
        <v>5400.64</v>
      </c>
      <c r="N73" s="105">
        <v>5610.84</v>
      </c>
      <c r="O73" s="29">
        <v>46</v>
      </c>
    </row>
    <row r="74" spans="2:15" ht="11.25" customHeight="1">
      <c r="B74" s="106">
        <f t="shared" si="6"/>
        <v>264</v>
      </c>
      <c r="C74" s="363" t="str">
        <f t="shared" si="7"/>
        <v>SAVITAL</v>
      </c>
      <c r="D74" s="363"/>
      <c r="E74" s="107">
        <f t="shared" si="8"/>
        <v>14555.59</v>
      </c>
      <c r="F74" s="107">
        <f t="shared" si="9"/>
        <v>5538.9</v>
      </c>
      <c r="G74" s="108">
        <f t="shared" si="10"/>
        <v>38.0534214003005</v>
      </c>
      <c r="H74" s="109" t="s">
        <v>48</v>
      </c>
      <c r="I74" s="110">
        <f t="shared" si="11"/>
        <v>0</v>
      </c>
      <c r="K74" s="103">
        <v>264</v>
      </c>
      <c r="L74" s="104" t="s">
        <v>194</v>
      </c>
      <c r="M74" s="105">
        <v>5538.9</v>
      </c>
      <c r="N74" s="105">
        <v>14555.59</v>
      </c>
      <c r="O74" s="29">
        <v>47</v>
      </c>
    </row>
    <row r="75" spans="2:15" ht="11.25" customHeight="1">
      <c r="B75" s="106">
        <f t="shared" si="6"/>
        <v>114</v>
      </c>
      <c r="C75" s="363" t="str">
        <f t="shared" si="7"/>
        <v>SCHICK &amp; ENERGIZER</v>
      </c>
      <c r="D75" s="363"/>
      <c r="E75" s="107">
        <f t="shared" si="8"/>
        <v>1764.51</v>
      </c>
      <c r="F75" s="107">
        <f t="shared" si="9"/>
        <v>704.31</v>
      </c>
      <c r="G75" s="108">
        <f t="shared" si="10"/>
        <v>39.915330601696787</v>
      </c>
      <c r="H75" s="109" t="s">
        <v>48</v>
      </c>
      <c r="I75" s="110">
        <f t="shared" si="11"/>
        <v>0</v>
      </c>
      <c r="K75" s="103">
        <v>114</v>
      </c>
      <c r="L75" s="104" t="s">
        <v>195</v>
      </c>
      <c r="M75" s="105">
        <v>704.31</v>
      </c>
      <c r="N75" s="105">
        <v>1764.51</v>
      </c>
      <c r="O75" s="29">
        <v>48</v>
      </c>
    </row>
    <row r="76" spans="2:15" ht="11.25" customHeight="1">
      <c r="B76" s="106">
        <f t="shared" si="6"/>
        <v>270</v>
      </c>
      <c r="C76" s="363" t="str">
        <f t="shared" si="7"/>
        <v>SIEGFRIED</v>
      </c>
      <c r="D76" s="363"/>
      <c r="E76" s="107">
        <f t="shared" si="8"/>
        <v>36063.29</v>
      </c>
      <c r="F76" s="107">
        <f t="shared" si="9"/>
        <v>37491.68</v>
      </c>
      <c r="G76" s="108">
        <f t="shared" si="10"/>
        <v>103.96078671690796</v>
      </c>
      <c r="H76" s="109" t="s">
        <v>48</v>
      </c>
      <c r="I76" s="110">
        <f t="shared" si="11"/>
        <v>1</v>
      </c>
      <c r="K76" s="103">
        <v>270</v>
      </c>
      <c r="L76" s="104" t="s">
        <v>196</v>
      </c>
      <c r="M76" s="105">
        <v>37491.68</v>
      </c>
      <c r="N76" s="105">
        <v>36063.29</v>
      </c>
      <c r="O76" s="29">
        <v>49</v>
      </c>
    </row>
    <row r="77" spans="2:15" ht="11.25" customHeight="1">
      <c r="B77" s="106">
        <f t="shared" si="6"/>
        <v>121</v>
      </c>
      <c r="C77" s="363" t="str">
        <f t="shared" si="7"/>
        <v>TERBOL</v>
      </c>
      <c r="D77" s="363"/>
      <c r="E77" s="107">
        <f t="shared" si="8"/>
        <v>15825.23</v>
      </c>
      <c r="F77" s="107">
        <f t="shared" si="9"/>
        <v>10517.92</v>
      </c>
      <c r="G77" s="108">
        <f t="shared" si="10"/>
        <v>66.462983476385489</v>
      </c>
      <c r="H77" s="109" t="s">
        <v>48</v>
      </c>
      <c r="I77" s="110">
        <f t="shared" si="11"/>
        <v>0</v>
      </c>
      <c r="K77" s="103">
        <v>121</v>
      </c>
      <c r="L77" s="104" t="s">
        <v>197</v>
      </c>
      <c r="M77" s="105">
        <v>10517.92</v>
      </c>
      <c r="N77" s="105">
        <v>15825.23</v>
      </c>
      <c r="O77" s="29">
        <v>50</v>
      </c>
    </row>
    <row r="78" spans="2:15" ht="11.25" customHeight="1">
      <c r="B78" s="106">
        <f t="shared" si="6"/>
        <v>78</v>
      </c>
      <c r="C78" s="363" t="str">
        <f t="shared" si="7"/>
        <v>TEVA</v>
      </c>
      <c r="D78" s="363"/>
      <c r="E78" s="107">
        <f t="shared" si="8"/>
        <v>47658.89</v>
      </c>
      <c r="F78" s="107">
        <f t="shared" si="9"/>
        <v>40479.339999999997</v>
      </c>
      <c r="G78" s="108">
        <f t="shared" si="10"/>
        <v>84.935549275276855</v>
      </c>
      <c r="H78" s="109" t="s">
        <v>48</v>
      </c>
      <c r="I78" s="110">
        <f t="shared" si="11"/>
        <v>0</v>
      </c>
      <c r="K78" s="103">
        <v>78</v>
      </c>
      <c r="L78" s="104" t="s">
        <v>198</v>
      </c>
      <c r="M78" s="105">
        <v>40479.339999999997</v>
      </c>
      <c r="N78" s="105">
        <v>47658.89</v>
      </c>
      <c r="O78" s="29">
        <v>51</v>
      </c>
    </row>
    <row r="79" spans="2:15" ht="11.25" customHeight="1">
      <c r="B79" s="106">
        <f t="shared" si="6"/>
        <v>302</v>
      </c>
      <c r="C79" s="363" t="str">
        <f t="shared" si="7"/>
        <v>UNILEVER</v>
      </c>
      <c r="D79" s="363"/>
      <c r="E79" s="107">
        <f t="shared" si="8"/>
        <v>15300</v>
      </c>
      <c r="F79" s="107">
        <f t="shared" si="9"/>
        <v>3130.72</v>
      </c>
      <c r="G79" s="108">
        <f t="shared" si="10"/>
        <v>20.462222222222223</v>
      </c>
      <c r="H79" s="109" t="s">
        <v>48</v>
      </c>
      <c r="I79" s="110">
        <f t="shared" si="11"/>
        <v>0</v>
      </c>
      <c r="K79" s="103">
        <v>302</v>
      </c>
      <c r="L79" s="104" t="s">
        <v>199</v>
      </c>
      <c r="M79" s="105">
        <v>3130.72</v>
      </c>
      <c r="N79" s="105">
        <v>15300</v>
      </c>
      <c r="O79" s="29">
        <v>52</v>
      </c>
    </row>
    <row r="80" spans="2:15" ht="11.25" customHeight="1">
      <c r="B80" s="106">
        <f t="shared" si="6"/>
        <v>124</v>
      </c>
      <c r="C80" s="363" t="str">
        <f t="shared" si="7"/>
        <v>UNIMED DEL PERU</v>
      </c>
      <c r="D80" s="363"/>
      <c r="E80" s="111">
        <f t="shared" si="8"/>
        <v>53374.44</v>
      </c>
      <c r="F80" s="111">
        <f t="shared" si="9"/>
        <v>57217.62</v>
      </c>
      <c r="G80" s="112">
        <f t="shared" si="10"/>
        <v>107.20041278184839</v>
      </c>
      <c r="H80" s="113" t="s">
        <v>48</v>
      </c>
      <c r="I80" s="110">
        <f t="shared" si="11"/>
        <v>1</v>
      </c>
      <c r="K80" s="103">
        <v>124</v>
      </c>
      <c r="L80" s="104" t="s">
        <v>200</v>
      </c>
      <c r="M80" s="105">
        <v>57217.62</v>
      </c>
      <c r="N80" s="105">
        <v>53374.44</v>
      </c>
      <c r="O80" s="29">
        <v>53</v>
      </c>
    </row>
    <row r="81" spans="2:14" ht="11.25" customHeight="1">
      <c r="B81" s="106">
        <f t="shared" si="6"/>
        <v>127</v>
      </c>
      <c r="C81" s="363" t="str">
        <f t="shared" si="7"/>
        <v>VITAL CARE</v>
      </c>
      <c r="D81" s="363"/>
      <c r="E81" s="111">
        <f t="shared" si="8"/>
        <v>8199.1299999999992</v>
      </c>
      <c r="F81" s="111">
        <f t="shared" si="9"/>
        <v>8578.7900000000009</v>
      </c>
      <c r="G81" s="112">
        <f t="shared" si="10"/>
        <v>104.63049128383136</v>
      </c>
      <c r="H81" s="113" t="s">
        <v>48</v>
      </c>
      <c r="I81" s="110">
        <f t="shared" si="11"/>
        <v>1</v>
      </c>
      <c r="K81" s="103">
        <v>127</v>
      </c>
      <c r="L81" s="104" t="s">
        <v>201</v>
      </c>
      <c r="M81" s="105">
        <v>8578.7900000000009</v>
      </c>
      <c r="N81" s="105">
        <v>8199.1299999999992</v>
      </c>
    </row>
    <row r="82" spans="2:14" ht="11.25" customHeight="1">
      <c r="B82" s="106">
        <f t="shared" si="6"/>
        <v>128</v>
      </c>
      <c r="C82" s="363" t="str">
        <f t="shared" si="7"/>
        <v>VITALIS PERU</v>
      </c>
      <c r="D82" s="363"/>
      <c r="E82" s="111">
        <f t="shared" si="8"/>
        <v>1238.5</v>
      </c>
      <c r="F82" s="111">
        <f t="shared" si="9"/>
        <v>1278.27</v>
      </c>
      <c r="G82" s="112">
        <f t="shared" si="10"/>
        <v>103.21114251110214</v>
      </c>
      <c r="H82" s="113" t="s">
        <v>48</v>
      </c>
      <c r="I82" s="110">
        <f t="shared" si="11"/>
        <v>1</v>
      </c>
      <c r="K82" s="103">
        <v>128</v>
      </c>
      <c r="L82" s="104" t="s">
        <v>202</v>
      </c>
      <c r="M82" s="105">
        <v>1278.27</v>
      </c>
      <c r="N82" s="105">
        <v>1238.5</v>
      </c>
    </row>
    <row r="83" spans="2:14" ht="11.25" customHeight="1">
      <c r="B83" s="106">
        <f t="shared" si="6"/>
        <v>288</v>
      </c>
      <c r="C83" s="364" t="str">
        <f t="shared" si="7"/>
        <v>ZENNIT</v>
      </c>
      <c r="D83" s="364"/>
      <c r="E83" s="107">
        <f t="shared" si="8"/>
        <v>1154.69</v>
      </c>
      <c r="F83" s="107">
        <f t="shared" si="9"/>
        <v>741.6</v>
      </c>
      <c r="G83" s="108">
        <f t="shared" si="10"/>
        <v>64.225030094657441</v>
      </c>
      <c r="H83" s="109" t="s">
        <v>48</v>
      </c>
      <c r="I83" s="110">
        <f t="shared" si="11"/>
        <v>0</v>
      </c>
      <c r="K83" s="103">
        <v>288</v>
      </c>
      <c r="L83" s="104" t="s">
        <v>203</v>
      </c>
      <c r="M83" s="105">
        <v>741.6</v>
      </c>
      <c r="N83" s="105">
        <v>1154.69</v>
      </c>
    </row>
    <row r="84" spans="2:14">
      <c r="C84" s="365" t="s">
        <v>204</v>
      </c>
      <c r="D84" s="365"/>
      <c r="E84" s="114">
        <f>AVANCEVENDEDOR!G87</f>
        <v>2152050</v>
      </c>
      <c r="F84" s="115">
        <f>AVANCEVENDEDOR!F87</f>
        <v>1790274.7700000003</v>
      </c>
      <c r="G84" s="116">
        <f t="shared" si="10"/>
        <v>83.189273948096016</v>
      </c>
      <c r="H84" s="117" t="s">
        <v>48</v>
      </c>
      <c r="I84" s="114">
        <f>SUM(I28:I78)</f>
        <v>25</v>
      </c>
    </row>
    <row r="85" spans="2:14">
      <c r="C85" s="366"/>
      <c r="D85" s="366"/>
    </row>
  </sheetData>
  <autoFilter ref="B27:N27" xr:uid="{00000000-0009-0000-0000-000002000000}"/>
  <mergeCells count="60">
    <mergeCell ref="C81:D81"/>
    <mergeCell ref="C82:D82"/>
    <mergeCell ref="C83:D83"/>
    <mergeCell ref="C84:D84"/>
    <mergeCell ref="C85:D85"/>
    <mergeCell ref="C76:D76"/>
    <mergeCell ref="C77:D77"/>
    <mergeCell ref="C78:D78"/>
    <mergeCell ref="C79:D79"/>
    <mergeCell ref="C80:D80"/>
    <mergeCell ref="C71:D71"/>
    <mergeCell ref="C72:D72"/>
    <mergeCell ref="C73:D73"/>
    <mergeCell ref="C74:D74"/>
    <mergeCell ref="C75:D75"/>
    <mergeCell ref="C66:D66"/>
    <mergeCell ref="C67:D67"/>
    <mergeCell ref="C68:D68"/>
    <mergeCell ref="C69:D69"/>
    <mergeCell ref="C70:D70"/>
    <mergeCell ref="C61:D61"/>
    <mergeCell ref="C62:D62"/>
    <mergeCell ref="C63:D63"/>
    <mergeCell ref="C64:D64"/>
    <mergeCell ref="C65:D65"/>
    <mergeCell ref="C56:D56"/>
    <mergeCell ref="C57:D57"/>
    <mergeCell ref="C58:D58"/>
    <mergeCell ref="C59:D59"/>
    <mergeCell ref="C60:D60"/>
    <mergeCell ref="C51:D51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7:D27"/>
    <mergeCell ref="G27:H27"/>
    <mergeCell ref="C28:D28"/>
    <mergeCell ref="C29:D29"/>
    <mergeCell ref="C30:D30"/>
  </mergeCells>
  <pageMargins left="0.78749999999999998" right="0" top="0" bottom="0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K887"/>
  <sheetViews>
    <sheetView topLeftCell="A826" zoomScale="120" zoomScaleNormal="120" workbookViewId="0">
      <selection activeCell="J873" sqref="J873"/>
    </sheetView>
  </sheetViews>
  <sheetFormatPr baseColWidth="10" defaultColWidth="8.85546875" defaultRowHeight="15"/>
  <cols>
    <col min="1" max="1" width="6.140625" style="4" customWidth="1"/>
    <col min="2" max="2" width="8.5703125" style="4" customWidth="1"/>
    <col min="3" max="3" width="34.28515625" style="4" customWidth="1"/>
    <col min="4" max="4" width="13.42578125" style="4" customWidth="1"/>
    <col min="5" max="5" width="10" style="4" customWidth="1"/>
    <col min="6" max="6" width="11.42578125" style="4"/>
    <col min="7" max="7" width="10.42578125" style="4" customWidth="1"/>
    <col min="8" max="8" width="8.42578125" style="4" customWidth="1"/>
    <col min="9" max="9" width="8" style="4" customWidth="1"/>
    <col min="10" max="10" width="11.7109375" style="4" customWidth="1"/>
    <col min="11" max="11" width="12.7109375" style="4" customWidth="1"/>
    <col min="12" max="1025" width="11.42578125" style="4"/>
  </cols>
  <sheetData>
    <row r="1" spans="1:10">
      <c r="C1" s="4" t="s">
        <v>367</v>
      </c>
      <c r="D1" s="239" t="s">
        <v>368</v>
      </c>
    </row>
    <row r="3" spans="1:10">
      <c r="A3" s="13" t="s">
        <v>369</v>
      </c>
      <c r="B3" s="13" t="s">
        <v>370</v>
      </c>
      <c r="C3" s="13" t="s">
        <v>371</v>
      </c>
      <c r="D3" s="13" t="s">
        <v>372</v>
      </c>
      <c r="E3" s="13" t="s">
        <v>373</v>
      </c>
      <c r="F3" s="13" t="s">
        <v>374</v>
      </c>
      <c r="G3" s="13" t="s">
        <v>375</v>
      </c>
      <c r="H3" s="13" t="s">
        <v>376</v>
      </c>
      <c r="I3" s="13" t="s">
        <v>377</v>
      </c>
      <c r="J3" s="13" t="s">
        <v>378</v>
      </c>
    </row>
    <row r="4" spans="1:10">
      <c r="A4" s="13">
        <v>6</v>
      </c>
      <c r="B4" s="13">
        <v>408</v>
      </c>
      <c r="C4" s="13" t="s">
        <v>379</v>
      </c>
      <c r="D4" s="13" t="s">
        <v>380</v>
      </c>
      <c r="E4" s="240">
        <v>41828</v>
      </c>
      <c r="F4" s="240">
        <v>41934</v>
      </c>
      <c r="G4" s="13">
        <v>2100</v>
      </c>
      <c r="H4" s="13">
        <v>0</v>
      </c>
      <c r="I4" s="13">
        <v>1</v>
      </c>
      <c r="J4" s="13">
        <f>G4*I4%</f>
        <v>21</v>
      </c>
    </row>
    <row r="5" spans="1:10">
      <c r="A5" s="13">
        <v>6</v>
      </c>
      <c r="B5" s="13">
        <v>463</v>
      </c>
      <c r="C5" s="13" t="s">
        <v>379</v>
      </c>
      <c r="D5" s="13" t="s">
        <v>380</v>
      </c>
      <c r="E5" s="240">
        <v>41869</v>
      </c>
      <c r="F5" s="240">
        <v>41934</v>
      </c>
      <c r="G5" s="13">
        <v>4800</v>
      </c>
      <c r="H5" s="13">
        <v>0</v>
      </c>
      <c r="I5" s="13">
        <v>1</v>
      </c>
      <c r="J5" s="13">
        <f>G5*I5%</f>
        <v>48</v>
      </c>
    </row>
    <row r="6" spans="1:10">
      <c r="A6" s="13">
        <v>1</v>
      </c>
      <c r="B6" s="13">
        <v>201200</v>
      </c>
      <c r="C6" s="13" t="s">
        <v>381</v>
      </c>
      <c r="D6" s="13" t="s">
        <v>382</v>
      </c>
      <c r="E6" s="240">
        <v>40456</v>
      </c>
      <c r="F6" s="240">
        <v>41928</v>
      </c>
      <c r="G6" s="13">
        <v>342.7</v>
      </c>
      <c r="H6" s="13">
        <v>342.7</v>
      </c>
      <c r="I6" s="13">
        <v>1</v>
      </c>
      <c r="J6" s="13">
        <v>0</v>
      </c>
    </row>
    <row r="7" spans="1:10">
      <c r="F7" s="13" t="s">
        <v>14</v>
      </c>
      <c r="G7" s="13">
        <f>SUM(G4:G6)</f>
        <v>7242.7</v>
      </c>
      <c r="I7" s="13" t="s">
        <v>383</v>
      </c>
      <c r="J7" s="241">
        <f>SUM(J4:J6)</f>
        <v>69</v>
      </c>
    </row>
    <row r="9" spans="1:10">
      <c r="A9" s="4" t="s">
        <v>384</v>
      </c>
    </row>
    <row r="11" spans="1:10">
      <c r="A11" s="4" t="s">
        <v>385</v>
      </c>
      <c r="B11" s="4" t="s">
        <v>370</v>
      </c>
      <c r="C11" s="4" t="s">
        <v>371</v>
      </c>
      <c r="D11" s="4" t="s">
        <v>372</v>
      </c>
      <c r="E11" s="4" t="s">
        <v>386</v>
      </c>
    </row>
    <row r="12" spans="1:10">
      <c r="A12" s="4">
        <v>6</v>
      </c>
      <c r="B12" s="4">
        <v>743</v>
      </c>
      <c r="C12" s="4" t="s">
        <v>379</v>
      </c>
      <c r="D12" s="138" t="s">
        <v>380</v>
      </c>
      <c r="E12" s="242">
        <v>41913</v>
      </c>
      <c r="G12" s="4">
        <v>4745.76</v>
      </c>
      <c r="H12" s="4">
        <v>0</v>
      </c>
      <c r="I12" s="4">
        <v>854.24</v>
      </c>
      <c r="J12" s="4">
        <v>5600</v>
      </c>
    </row>
    <row r="13" spans="1:10">
      <c r="A13" s="4">
        <v>6</v>
      </c>
      <c r="B13" s="4">
        <v>742</v>
      </c>
      <c r="C13" s="4" t="s">
        <v>379</v>
      </c>
      <c r="D13" s="4" t="s">
        <v>380</v>
      </c>
      <c r="E13" s="242">
        <v>41913</v>
      </c>
      <c r="G13" s="4">
        <v>5932.2</v>
      </c>
      <c r="H13" s="4">
        <v>0</v>
      </c>
      <c r="I13" s="4">
        <v>1067.8</v>
      </c>
      <c r="J13" s="4">
        <v>7000</v>
      </c>
    </row>
    <row r="14" spans="1:10">
      <c r="A14" s="4">
        <v>6</v>
      </c>
      <c r="B14" s="4">
        <v>756</v>
      </c>
      <c r="C14" s="4" t="s">
        <v>379</v>
      </c>
      <c r="D14" s="4" t="s">
        <v>380</v>
      </c>
      <c r="E14" s="242">
        <v>41925</v>
      </c>
      <c r="G14" s="4">
        <v>974.58</v>
      </c>
      <c r="H14" s="4">
        <v>0</v>
      </c>
      <c r="I14" s="4">
        <v>175.42</v>
      </c>
      <c r="J14" s="4">
        <v>1150</v>
      </c>
    </row>
    <row r="15" spans="1:10">
      <c r="A15" s="4">
        <v>6</v>
      </c>
      <c r="B15" s="4">
        <v>774</v>
      </c>
      <c r="C15" s="4" t="s">
        <v>379</v>
      </c>
      <c r="D15" s="4" t="s">
        <v>380</v>
      </c>
      <c r="E15" s="242">
        <v>41930</v>
      </c>
      <c r="G15" s="4">
        <v>2269.0700000000002</v>
      </c>
      <c r="H15" s="4">
        <v>0</v>
      </c>
      <c r="I15" s="4">
        <v>408.43</v>
      </c>
      <c r="J15" s="4">
        <v>2677.5</v>
      </c>
    </row>
    <row r="16" spans="1:10">
      <c r="A16" s="4">
        <v>6</v>
      </c>
      <c r="B16" s="4">
        <v>778</v>
      </c>
      <c r="C16" s="4" t="s">
        <v>379</v>
      </c>
      <c r="D16" s="4" t="s">
        <v>380</v>
      </c>
      <c r="E16" s="242">
        <v>41933</v>
      </c>
      <c r="G16" s="4">
        <v>1864.41</v>
      </c>
      <c r="H16" s="4">
        <v>0</v>
      </c>
      <c r="I16" s="4">
        <v>335.59</v>
      </c>
      <c r="J16" s="4">
        <v>2200</v>
      </c>
    </row>
    <row r="17" spans="1:11">
      <c r="A17" s="4">
        <v>6</v>
      </c>
      <c r="B17" s="4">
        <v>777</v>
      </c>
      <c r="C17" s="4" t="s">
        <v>379</v>
      </c>
      <c r="D17" s="4" t="s">
        <v>380</v>
      </c>
      <c r="E17" s="242">
        <v>41933</v>
      </c>
      <c r="G17" s="4">
        <v>4711.8599999999997</v>
      </c>
      <c r="H17" s="4">
        <v>0</v>
      </c>
      <c r="I17" s="4">
        <v>848.13</v>
      </c>
      <c r="J17" s="4">
        <v>5559.99</v>
      </c>
    </row>
    <row r="18" spans="1:11">
      <c r="A18" s="4">
        <v>6</v>
      </c>
      <c r="B18" s="4">
        <v>779</v>
      </c>
      <c r="C18" s="4" t="s">
        <v>379</v>
      </c>
      <c r="D18" s="4" t="s">
        <v>380</v>
      </c>
      <c r="E18" s="242">
        <v>41934</v>
      </c>
      <c r="G18" s="4">
        <v>4237.2</v>
      </c>
      <c r="H18" s="4">
        <v>0</v>
      </c>
      <c r="I18" s="4">
        <v>762.7</v>
      </c>
      <c r="J18" s="4">
        <v>4999.8999999999996</v>
      </c>
    </row>
    <row r="19" spans="1:11">
      <c r="A19" s="4">
        <v>6</v>
      </c>
      <c r="B19" s="4">
        <v>788</v>
      </c>
      <c r="C19" s="4" t="s">
        <v>379</v>
      </c>
      <c r="D19" s="4" t="s">
        <v>380</v>
      </c>
      <c r="E19" s="242">
        <v>41941</v>
      </c>
      <c r="G19" s="4">
        <v>2499.85</v>
      </c>
      <c r="H19" s="4">
        <v>0</v>
      </c>
      <c r="I19" s="4">
        <v>449.97</v>
      </c>
      <c r="J19" s="4">
        <v>2949.82</v>
      </c>
    </row>
    <row r="20" spans="1:11">
      <c r="A20" s="4">
        <v>6</v>
      </c>
      <c r="B20" s="4">
        <v>787</v>
      </c>
      <c r="C20" s="4" t="s">
        <v>379</v>
      </c>
      <c r="D20" s="4" t="s">
        <v>380</v>
      </c>
      <c r="E20" s="242">
        <v>41941</v>
      </c>
      <c r="G20" s="4">
        <v>271.18</v>
      </c>
      <c r="H20" s="4">
        <v>0</v>
      </c>
      <c r="I20" s="4">
        <v>48.81</v>
      </c>
      <c r="J20" s="4">
        <v>319.99</v>
      </c>
    </row>
    <row r="21" spans="1:11">
      <c r="A21" s="4">
        <v>6</v>
      </c>
      <c r="B21" s="4">
        <v>789</v>
      </c>
      <c r="C21" s="4" t="s">
        <v>379</v>
      </c>
      <c r="D21" s="4" t="s">
        <v>380</v>
      </c>
      <c r="E21" s="242">
        <v>41941</v>
      </c>
      <c r="G21" s="4">
        <v>1220.3399999999999</v>
      </c>
      <c r="H21" s="4">
        <v>0</v>
      </c>
      <c r="I21" s="4">
        <v>219.66</v>
      </c>
      <c r="J21" s="4">
        <v>1440</v>
      </c>
    </row>
    <row r="22" spans="1:11">
      <c r="G22" s="144">
        <f>SUM(G12:G21)</f>
        <v>28726.449999999997</v>
      </c>
    </row>
    <row r="25" spans="1:11">
      <c r="A25" s="4" t="s">
        <v>387</v>
      </c>
    </row>
    <row r="27" spans="1:11">
      <c r="C27" s="138" t="s">
        <v>367</v>
      </c>
      <c r="D27" s="243" t="s">
        <v>388</v>
      </c>
    </row>
    <row r="29" spans="1:11" s="138" customFormat="1" ht="11.25">
      <c r="A29" s="241" t="s">
        <v>369</v>
      </c>
      <c r="B29" s="241" t="s">
        <v>370</v>
      </c>
      <c r="C29" s="241" t="s">
        <v>371</v>
      </c>
      <c r="D29" s="241" t="s">
        <v>372</v>
      </c>
      <c r="E29" s="241" t="s">
        <v>373</v>
      </c>
      <c r="F29" s="241" t="s">
        <v>374</v>
      </c>
      <c r="G29" s="241" t="s">
        <v>375</v>
      </c>
      <c r="H29" s="241" t="s">
        <v>376</v>
      </c>
      <c r="I29" s="241" t="s">
        <v>377</v>
      </c>
      <c r="J29" s="241" t="s">
        <v>378</v>
      </c>
    </row>
    <row r="30" spans="1:11">
      <c r="A30" s="13">
        <v>6</v>
      </c>
      <c r="B30" s="13">
        <v>519</v>
      </c>
      <c r="C30" s="13" t="s">
        <v>379</v>
      </c>
      <c r="D30" s="13" t="s">
        <v>380</v>
      </c>
      <c r="E30" s="240">
        <v>41905</v>
      </c>
      <c r="F30" s="240">
        <v>41968</v>
      </c>
      <c r="G30" s="13">
        <v>3140</v>
      </c>
      <c r="H30" s="13">
        <v>0</v>
      </c>
      <c r="I30" s="13">
        <v>1</v>
      </c>
      <c r="J30" s="12">
        <f>G30*I30%</f>
        <v>31.400000000000002</v>
      </c>
      <c r="K30" s="4">
        <f t="shared" ref="K30:K46" si="0">F30-E30</f>
        <v>63</v>
      </c>
    </row>
    <row r="31" spans="1:11">
      <c r="A31" s="13">
        <v>6</v>
      </c>
      <c r="B31" s="13">
        <v>520</v>
      </c>
      <c r="C31" s="13" t="s">
        <v>379</v>
      </c>
      <c r="D31" s="13" t="s">
        <v>380</v>
      </c>
      <c r="E31" s="240">
        <v>41905</v>
      </c>
      <c r="F31" s="240">
        <v>41946</v>
      </c>
      <c r="G31" s="13">
        <v>390</v>
      </c>
      <c r="H31" s="13">
        <v>0</v>
      </c>
      <c r="I31" s="13">
        <v>1</v>
      </c>
      <c r="J31" s="12">
        <f>G31*I31%</f>
        <v>3.9</v>
      </c>
      <c r="K31" s="4">
        <f t="shared" si="0"/>
        <v>41</v>
      </c>
    </row>
    <row r="32" spans="1:11">
      <c r="A32" s="13">
        <v>6</v>
      </c>
      <c r="B32" s="13">
        <v>407</v>
      </c>
      <c r="C32" s="13" t="s">
        <v>379</v>
      </c>
      <c r="D32" s="13" t="s">
        <v>380</v>
      </c>
      <c r="E32" s="240">
        <v>41827</v>
      </c>
      <c r="F32" s="240">
        <v>41946</v>
      </c>
      <c r="G32" s="13">
        <v>320</v>
      </c>
      <c r="H32" s="13">
        <v>0</v>
      </c>
      <c r="I32" s="13">
        <v>1</v>
      </c>
      <c r="J32" s="12">
        <v>0</v>
      </c>
      <c r="K32" s="4">
        <f t="shared" si="0"/>
        <v>119</v>
      </c>
    </row>
    <row r="33" spans="1:11">
      <c r="A33" s="13">
        <v>6</v>
      </c>
      <c r="B33" s="13">
        <v>394</v>
      </c>
      <c r="C33" s="13" t="s">
        <v>379</v>
      </c>
      <c r="D33" s="13" t="s">
        <v>380</v>
      </c>
      <c r="E33" s="240">
        <v>41817</v>
      </c>
      <c r="F33" s="240">
        <v>41969</v>
      </c>
      <c r="G33" s="13">
        <v>10950</v>
      </c>
      <c r="H33" s="13">
        <v>10950</v>
      </c>
      <c r="I33" s="13">
        <v>0</v>
      </c>
      <c r="J33" s="12">
        <f>G33*I33%</f>
        <v>0</v>
      </c>
      <c r="K33" s="4">
        <f t="shared" si="0"/>
        <v>152</v>
      </c>
    </row>
    <row r="34" spans="1:11">
      <c r="A34" s="13">
        <v>6</v>
      </c>
      <c r="B34" s="13">
        <v>530</v>
      </c>
      <c r="C34" s="13" t="s">
        <v>379</v>
      </c>
      <c r="D34" s="13" t="s">
        <v>380</v>
      </c>
      <c r="E34" s="240">
        <v>41913</v>
      </c>
      <c r="F34" s="240">
        <v>41950</v>
      </c>
      <c r="G34" s="13">
        <v>5600</v>
      </c>
      <c r="H34" s="13">
        <v>0</v>
      </c>
      <c r="I34" s="13">
        <v>1</v>
      </c>
      <c r="J34" s="12">
        <f>G34*I34%</f>
        <v>56</v>
      </c>
      <c r="K34" s="4">
        <f t="shared" si="0"/>
        <v>37</v>
      </c>
    </row>
    <row r="35" spans="1:11">
      <c r="A35" s="13">
        <v>6</v>
      </c>
      <c r="B35" s="13">
        <v>531</v>
      </c>
      <c r="C35" s="13" t="s">
        <v>379</v>
      </c>
      <c r="D35" s="13" t="s">
        <v>380</v>
      </c>
      <c r="E35" s="240">
        <v>41913</v>
      </c>
      <c r="F35" s="240">
        <v>41950</v>
      </c>
      <c r="G35" s="13">
        <v>7000</v>
      </c>
      <c r="H35" s="13">
        <v>0</v>
      </c>
      <c r="I35" s="13">
        <v>1</v>
      </c>
      <c r="J35" s="12">
        <v>1</v>
      </c>
      <c r="K35" s="4">
        <f t="shared" si="0"/>
        <v>37</v>
      </c>
    </row>
    <row r="36" spans="1:11">
      <c r="A36" s="13">
        <v>6</v>
      </c>
      <c r="B36" s="13">
        <v>552</v>
      </c>
      <c r="C36" s="13" t="s">
        <v>379</v>
      </c>
      <c r="D36" s="13" t="s">
        <v>380</v>
      </c>
      <c r="E36" s="240">
        <v>41925</v>
      </c>
      <c r="F36" s="240">
        <v>41956</v>
      </c>
      <c r="G36" s="13">
        <v>2300</v>
      </c>
      <c r="H36" s="13">
        <v>0</v>
      </c>
      <c r="I36" s="13">
        <v>1</v>
      </c>
      <c r="J36" s="12">
        <f>G36*I36%</f>
        <v>23</v>
      </c>
      <c r="K36" s="4">
        <f t="shared" si="0"/>
        <v>31</v>
      </c>
    </row>
    <row r="37" spans="1:11">
      <c r="A37" s="13">
        <v>6</v>
      </c>
      <c r="B37" s="13">
        <v>482</v>
      </c>
      <c r="C37" s="13" t="s">
        <v>379</v>
      </c>
      <c r="D37" s="13" t="s">
        <v>380</v>
      </c>
      <c r="E37" s="240">
        <v>41883</v>
      </c>
      <c r="F37" s="240">
        <v>41950</v>
      </c>
      <c r="G37" s="13">
        <v>4400</v>
      </c>
      <c r="H37" s="13">
        <v>0</v>
      </c>
      <c r="I37" s="13">
        <v>1</v>
      </c>
      <c r="J37" s="12">
        <f>G37*I37%</f>
        <v>44</v>
      </c>
      <c r="K37" s="4">
        <f t="shared" si="0"/>
        <v>67</v>
      </c>
    </row>
    <row r="38" spans="1:11">
      <c r="A38" s="13">
        <v>6</v>
      </c>
      <c r="B38" s="13">
        <v>485</v>
      </c>
      <c r="C38" s="13" t="s">
        <v>379</v>
      </c>
      <c r="D38" s="13" t="s">
        <v>380</v>
      </c>
      <c r="E38" s="240">
        <v>41886</v>
      </c>
      <c r="F38" s="240">
        <v>41956</v>
      </c>
      <c r="G38" s="13">
        <v>2600</v>
      </c>
      <c r="H38" s="13">
        <v>0</v>
      </c>
      <c r="I38" s="13">
        <v>1</v>
      </c>
      <c r="J38" s="12">
        <v>2</v>
      </c>
      <c r="K38" s="4">
        <f t="shared" si="0"/>
        <v>70</v>
      </c>
    </row>
    <row r="39" spans="1:11">
      <c r="A39" s="13">
        <v>6</v>
      </c>
      <c r="B39" s="13">
        <v>567</v>
      </c>
      <c r="C39" s="13" t="s">
        <v>379</v>
      </c>
      <c r="D39" s="13" t="s">
        <v>380</v>
      </c>
      <c r="E39" s="240">
        <v>41933</v>
      </c>
      <c r="F39" s="240">
        <v>41969</v>
      </c>
      <c r="G39" s="13">
        <v>5560</v>
      </c>
      <c r="H39" s="13">
        <v>5560</v>
      </c>
      <c r="I39" s="13">
        <v>0</v>
      </c>
      <c r="J39" s="12">
        <f>G39*I39%</f>
        <v>0</v>
      </c>
      <c r="K39" s="4">
        <f t="shared" si="0"/>
        <v>36</v>
      </c>
    </row>
    <row r="40" spans="1:11">
      <c r="A40" s="13">
        <v>6</v>
      </c>
      <c r="B40" s="13">
        <v>568</v>
      </c>
      <c r="C40" s="13" t="s">
        <v>379</v>
      </c>
      <c r="D40" s="13" t="s">
        <v>380</v>
      </c>
      <c r="E40" s="240">
        <v>41933</v>
      </c>
      <c r="F40" s="240">
        <v>41956</v>
      </c>
      <c r="G40" s="13">
        <v>2200</v>
      </c>
      <c r="H40" s="13">
        <v>0</v>
      </c>
      <c r="I40" s="13">
        <v>1</v>
      </c>
      <c r="J40" s="12">
        <f>G40*I40%</f>
        <v>22</v>
      </c>
      <c r="K40" s="4">
        <f t="shared" si="0"/>
        <v>23</v>
      </c>
    </row>
    <row r="41" spans="1:11">
      <c r="A41" s="13">
        <v>6</v>
      </c>
      <c r="B41" s="13">
        <v>578</v>
      </c>
      <c r="C41" s="13" t="s">
        <v>379</v>
      </c>
      <c r="D41" s="13" t="s">
        <v>380</v>
      </c>
      <c r="E41" s="240">
        <v>41941</v>
      </c>
      <c r="F41" s="240">
        <v>41968</v>
      </c>
      <c r="G41" s="13">
        <v>320</v>
      </c>
      <c r="H41" s="13">
        <v>0</v>
      </c>
      <c r="I41" s="13">
        <v>1</v>
      </c>
      <c r="J41" s="12">
        <v>3</v>
      </c>
      <c r="K41" s="4">
        <f t="shared" si="0"/>
        <v>27</v>
      </c>
    </row>
    <row r="42" spans="1:11">
      <c r="A42" s="13">
        <v>6</v>
      </c>
      <c r="B42" s="13">
        <v>579</v>
      </c>
      <c r="C42" s="13" t="s">
        <v>379</v>
      </c>
      <c r="D42" s="13" t="s">
        <v>380</v>
      </c>
      <c r="E42" s="240">
        <v>41941</v>
      </c>
      <c r="F42" s="240">
        <v>41968</v>
      </c>
      <c r="G42" s="13">
        <v>2949.8</v>
      </c>
      <c r="H42" s="13">
        <v>0</v>
      </c>
      <c r="I42" s="13">
        <v>1</v>
      </c>
      <c r="J42" s="12">
        <f>G42*I42%</f>
        <v>29.498000000000001</v>
      </c>
      <c r="K42" s="4">
        <f t="shared" si="0"/>
        <v>27</v>
      </c>
    </row>
    <row r="43" spans="1:11">
      <c r="A43" s="13">
        <v>6</v>
      </c>
      <c r="B43" s="13">
        <v>580</v>
      </c>
      <c r="C43" s="13" t="s">
        <v>379</v>
      </c>
      <c r="D43" s="13" t="s">
        <v>380</v>
      </c>
      <c r="E43" s="240">
        <v>41941</v>
      </c>
      <c r="F43" s="240">
        <v>41968</v>
      </c>
      <c r="G43" s="13">
        <v>1440</v>
      </c>
      <c r="H43" s="13">
        <v>0</v>
      </c>
      <c r="I43" s="13">
        <v>1</v>
      </c>
      <c r="J43" s="12">
        <f>G43*I43%</f>
        <v>14.4</v>
      </c>
      <c r="K43" s="4">
        <f t="shared" si="0"/>
        <v>27</v>
      </c>
    </row>
    <row r="44" spans="1:11">
      <c r="A44" s="13">
        <v>6</v>
      </c>
      <c r="B44" s="13">
        <v>602</v>
      </c>
      <c r="C44" s="13" t="s">
        <v>379</v>
      </c>
      <c r="D44" s="13" t="s">
        <v>380</v>
      </c>
      <c r="E44" s="240">
        <v>41948</v>
      </c>
      <c r="F44" s="240">
        <v>41968</v>
      </c>
      <c r="G44" s="13">
        <v>5500</v>
      </c>
      <c r="H44" s="13">
        <v>0</v>
      </c>
      <c r="I44" s="13">
        <v>1</v>
      </c>
      <c r="J44" s="12">
        <v>4</v>
      </c>
      <c r="K44" s="4">
        <f t="shared" si="0"/>
        <v>20</v>
      </c>
    </row>
    <row r="45" spans="1:11">
      <c r="A45" s="13">
        <v>6</v>
      </c>
      <c r="B45" s="13">
        <v>607</v>
      </c>
      <c r="C45" s="13" t="s">
        <v>379</v>
      </c>
      <c r="D45" s="13" t="s">
        <v>380</v>
      </c>
      <c r="E45" s="240">
        <v>41949</v>
      </c>
      <c r="F45" s="240">
        <v>41968</v>
      </c>
      <c r="G45" s="13">
        <v>7200</v>
      </c>
      <c r="H45" s="13">
        <v>0</v>
      </c>
      <c r="I45" s="13">
        <v>1</v>
      </c>
      <c r="J45" s="12">
        <f>G45*I45%</f>
        <v>72</v>
      </c>
      <c r="K45" s="4">
        <f t="shared" si="0"/>
        <v>19</v>
      </c>
    </row>
    <row r="46" spans="1:11">
      <c r="A46" s="13">
        <v>6</v>
      </c>
      <c r="B46" s="13">
        <v>611</v>
      </c>
      <c r="C46" s="13" t="s">
        <v>379</v>
      </c>
      <c r="D46" s="13" t="s">
        <v>380</v>
      </c>
      <c r="E46" s="240">
        <v>41953</v>
      </c>
      <c r="F46" s="240">
        <v>41968</v>
      </c>
      <c r="G46" s="13">
        <v>270</v>
      </c>
      <c r="H46" s="13">
        <v>0</v>
      </c>
      <c r="I46" s="13">
        <v>1</v>
      </c>
      <c r="J46" s="12">
        <f>G46*I46%</f>
        <v>2.7</v>
      </c>
      <c r="K46" s="4">
        <f t="shared" si="0"/>
        <v>15</v>
      </c>
    </row>
    <row r="47" spans="1:11">
      <c r="F47" s="241" t="s">
        <v>14</v>
      </c>
      <c r="G47" s="241">
        <f>SUM(G30:G46)</f>
        <v>62139.8</v>
      </c>
      <c r="H47" s="138"/>
      <c r="I47" s="241" t="s">
        <v>383</v>
      </c>
      <c r="J47" s="137">
        <f>SUM(J30:J46)</f>
        <v>308.89799999999997</v>
      </c>
    </row>
    <row r="51" spans="1:10">
      <c r="A51" s="4" t="s">
        <v>389</v>
      </c>
    </row>
    <row r="53" spans="1:10">
      <c r="A53" s="4">
        <v>6</v>
      </c>
      <c r="B53" s="4">
        <v>806</v>
      </c>
      <c r="C53" s="4" t="s">
        <v>379</v>
      </c>
      <c r="D53" s="4" t="s">
        <v>380</v>
      </c>
      <c r="E53" s="242">
        <v>41948</v>
      </c>
      <c r="G53" s="4">
        <v>4661</v>
      </c>
      <c r="H53" s="4">
        <v>0</v>
      </c>
      <c r="I53" s="4">
        <v>838.98</v>
      </c>
      <c r="J53" s="4">
        <v>5499.98</v>
      </c>
    </row>
    <row r="54" spans="1:10">
      <c r="A54" s="4">
        <v>6</v>
      </c>
      <c r="B54" s="4">
        <v>808</v>
      </c>
      <c r="C54" s="4" t="s">
        <v>379</v>
      </c>
      <c r="D54" s="4" t="s">
        <v>380</v>
      </c>
      <c r="E54" s="242">
        <v>41948</v>
      </c>
      <c r="G54" s="4">
        <v>3923.72</v>
      </c>
      <c r="H54" s="4">
        <v>0</v>
      </c>
      <c r="I54" s="4">
        <v>706.27</v>
      </c>
      <c r="J54" s="4">
        <v>4629.99</v>
      </c>
    </row>
    <row r="55" spans="1:10">
      <c r="A55" s="4">
        <v>6</v>
      </c>
      <c r="B55" s="4">
        <v>807</v>
      </c>
      <c r="C55" s="4" t="s">
        <v>379</v>
      </c>
      <c r="D55" s="4" t="s">
        <v>380</v>
      </c>
      <c r="E55" s="242">
        <v>41948</v>
      </c>
      <c r="G55" s="4">
        <v>488.14</v>
      </c>
      <c r="H55" s="4">
        <v>0</v>
      </c>
      <c r="I55" s="4">
        <v>87.87</v>
      </c>
      <c r="J55" s="4">
        <v>576.01</v>
      </c>
    </row>
    <row r="56" spans="1:10">
      <c r="A56" s="4">
        <v>6</v>
      </c>
      <c r="B56" s="4">
        <v>814</v>
      </c>
      <c r="C56" s="4" t="s">
        <v>379</v>
      </c>
      <c r="D56" s="4" t="s">
        <v>380</v>
      </c>
      <c r="E56" s="242">
        <v>41949</v>
      </c>
      <c r="G56" s="4">
        <v>5613.56</v>
      </c>
      <c r="H56" s="4">
        <v>0</v>
      </c>
      <c r="I56" s="4">
        <v>1010.44</v>
      </c>
      <c r="J56" s="4">
        <v>6624</v>
      </c>
    </row>
    <row r="57" spans="1:10">
      <c r="A57" s="4">
        <v>6</v>
      </c>
      <c r="B57" s="4">
        <v>813</v>
      </c>
      <c r="C57" s="4" t="s">
        <v>379</v>
      </c>
      <c r="D57" s="4" t="s">
        <v>380</v>
      </c>
      <c r="E57" s="242">
        <v>41949</v>
      </c>
      <c r="G57" s="4">
        <v>513.55999999999995</v>
      </c>
      <c r="H57" s="4">
        <v>0</v>
      </c>
      <c r="I57" s="4">
        <v>92.44</v>
      </c>
      <c r="J57" s="4">
        <v>606</v>
      </c>
    </row>
    <row r="58" spans="1:10">
      <c r="A58" s="4">
        <v>6</v>
      </c>
      <c r="B58" s="4">
        <v>816</v>
      </c>
      <c r="C58" s="4" t="s">
        <v>379</v>
      </c>
      <c r="D58" s="4" t="s">
        <v>380</v>
      </c>
      <c r="E58" s="242">
        <v>41953</v>
      </c>
      <c r="G58" s="4">
        <v>228.81</v>
      </c>
      <c r="H58" s="4">
        <v>0</v>
      </c>
      <c r="I58" s="4">
        <v>41.19</v>
      </c>
      <c r="J58" s="4">
        <v>270</v>
      </c>
    </row>
    <row r="59" spans="1:10">
      <c r="A59" s="4">
        <v>6</v>
      </c>
      <c r="B59" s="4">
        <v>819</v>
      </c>
      <c r="C59" s="4" t="s">
        <v>379</v>
      </c>
      <c r="D59" s="4" t="s">
        <v>380</v>
      </c>
      <c r="E59" s="242">
        <v>41956</v>
      </c>
      <c r="G59" s="4">
        <v>2203.39</v>
      </c>
      <c r="H59" s="4">
        <v>0</v>
      </c>
      <c r="I59" s="4">
        <v>396.61</v>
      </c>
      <c r="J59" s="4">
        <v>2600</v>
      </c>
    </row>
    <row r="60" spans="1:10">
      <c r="A60" s="4">
        <v>6</v>
      </c>
      <c r="B60" s="4">
        <v>835</v>
      </c>
      <c r="C60" s="4" t="s">
        <v>379</v>
      </c>
      <c r="D60" s="4" t="s">
        <v>380</v>
      </c>
      <c r="E60" s="242">
        <v>41967</v>
      </c>
      <c r="G60" s="4">
        <v>779.68</v>
      </c>
      <c r="H60" s="4">
        <v>0</v>
      </c>
      <c r="I60" s="4">
        <v>140.34</v>
      </c>
      <c r="J60" s="4">
        <v>920.02</v>
      </c>
    </row>
    <row r="61" spans="1:10">
      <c r="A61" s="4">
        <v>6</v>
      </c>
      <c r="B61" s="4">
        <v>838</v>
      </c>
      <c r="C61" s="4" t="s">
        <v>379</v>
      </c>
      <c r="D61" s="4" t="s">
        <v>380</v>
      </c>
      <c r="E61" s="242">
        <v>41968</v>
      </c>
      <c r="G61" s="4">
        <v>6238.56</v>
      </c>
      <c r="H61" s="4">
        <v>0</v>
      </c>
      <c r="I61" s="4">
        <v>1122.94</v>
      </c>
      <c r="J61" s="4">
        <v>7361.5</v>
      </c>
    </row>
    <row r="62" spans="1:10">
      <c r="A62" s="4">
        <v>6</v>
      </c>
      <c r="B62" s="4">
        <v>847</v>
      </c>
      <c r="C62" s="4" t="s">
        <v>379</v>
      </c>
      <c r="D62" s="4" t="s">
        <v>380</v>
      </c>
      <c r="E62" s="242">
        <v>41969</v>
      </c>
      <c r="G62" s="4">
        <v>4711.8</v>
      </c>
      <c r="H62" s="4">
        <v>0</v>
      </c>
      <c r="I62" s="4">
        <v>848.12</v>
      </c>
      <c r="J62" s="4">
        <v>5559.92</v>
      </c>
    </row>
    <row r="63" spans="1:10">
      <c r="A63" s="4">
        <v>6</v>
      </c>
      <c r="B63" s="4">
        <v>846</v>
      </c>
      <c r="C63" s="4" t="s">
        <v>379</v>
      </c>
      <c r="D63" s="4" t="s">
        <v>380</v>
      </c>
      <c r="E63" s="242">
        <v>41969</v>
      </c>
      <c r="G63" s="4">
        <v>9279.68</v>
      </c>
      <c r="H63" s="4">
        <v>0</v>
      </c>
      <c r="I63" s="4">
        <v>1670.34</v>
      </c>
      <c r="J63" s="4">
        <v>10950.02</v>
      </c>
    </row>
    <row r="64" spans="1:10">
      <c r="J64" s="4">
        <f>SUM(J53:J63)</f>
        <v>45597.440000000002</v>
      </c>
    </row>
    <row r="65" spans="1:11">
      <c r="C65" s="138" t="s">
        <v>367</v>
      </c>
      <c r="D65" s="243" t="s">
        <v>390</v>
      </c>
    </row>
    <row r="67" spans="1:11">
      <c r="A67" s="241" t="s">
        <v>369</v>
      </c>
      <c r="B67" s="241" t="s">
        <v>370</v>
      </c>
      <c r="C67" s="241" t="s">
        <v>371</v>
      </c>
      <c r="D67" s="241" t="s">
        <v>372</v>
      </c>
      <c r="E67" s="241" t="s">
        <v>373</v>
      </c>
      <c r="F67" s="241" t="s">
        <v>374</v>
      </c>
      <c r="G67" s="241" t="s">
        <v>375</v>
      </c>
      <c r="H67" s="241" t="s">
        <v>376</v>
      </c>
      <c r="I67" s="241" t="s">
        <v>377</v>
      </c>
      <c r="J67" s="241" t="s">
        <v>378</v>
      </c>
      <c r="K67" s="138"/>
    </row>
    <row r="68" spans="1:11">
      <c r="A68" s="13">
        <v>6</v>
      </c>
      <c r="B68" s="13">
        <v>398</v>
      </c>
      <c r="C68" s="13" t="s">
        <v>379</v>
      </c>
      <c r="D68" s="13" t="s">
        <v>380</v>
      </c>
      <c r="E68" s="240">
        <v>41820</v>
      </c>
      <c r="F68" s="240">
        <v>41988</v>
      </c>
      <c r="G68" s="13">
        <v>2880</v>
      </c>
      <c r="H68" s="13">
        <v>2880</v>
      </c>
      <c r="I68" s="13">
        <v>1</v>
      </c>
      <c r="J68" s="12">
        <v>0</v>
      </c>
      <c r="K68" s="4">
        <f>F68-E68</f>
        <v>168</v>
      </c>
    </row>
    <row r="69" spans="1:11">
      <c r="A69" s="13">
        <v>6</v>
      </c>
      <c r="B69" s="13">
        <v>562</v>
      </c>
      <c r="C69" s="13" t="s">
        <v>379</v>
      </c>
      <c r="D69" s="13" t="s">
        <v>380</v>
      </c>
      <c r="E69" s="240">
        <v>41930</v>
      </c>
      <c r="F69" s="240">
        <v>41988</v>
      </c>
      <c r="G69" s="13">
        <v>2677.5</v>
      </c>
      <c r="H69" s="13">
        <v>0</v>
      </c>
      <c r="I69" s="13">
        <v>1</v>
      </c>
      <c r="J69" s="12">
        <f>G69*I69%</f>
        <v>26.775000000000002</v>
      </c>
      <c r="K69" s="4">
        <f>F69-E69</f>
        <v>58</v>
      </c>
    </row>
    <row r="70" spans="1:11">
      <c r="A70" s="13">
        <v>6</v>
      </c>
      <c r="B70" s="13">
        <v>606</v>
      </c>
      <c r="C70" s="13" t="s">
        <v>379</v>
      </c>
      <c r="D70" s="13" t="s">
        <v>380</v>
      </c>
      <c r="E70" s="240">
        <v>41949</v>
      </c>
      <c r="F70" s="240">
        <v>41988</v>
      </c>
      <c r="G70" s="13">
        <v>606</v>
      </c>
      <c r="H70" s="13">
        <v>0</v>
      </c>
      <c r="I70" s="13">
        <v>1</v>
      </c>
      <c r="J70" s="12">
        <f>G70*I70%</f>
        <v>6.0600000000000005</v>
      </c>
      <c r="K70" s="4">
        <f>F70-E70</f>
        <v>39</v>
      </c>
    </row>
    <row r="71" spans="1:11">
      <c r="A71" s="13">
        <v>6</v>
      </c>
      <c r="B71" s="13">
        <v>622</v>
      </c>
      <c r="C71" s="13" t="s">
        <v>379</v>
      </c>
      <c r="D71" s="13" t="s">
        <v>380</v>
      </c>
      <c r="E71" s="240">
        <v>41956</v>
      </c>
      <c r="F71" s="240">
        <v>41976</v>
      </c>
      <c r="G71" s="13">
        <v>2600</v>
      </c>
      <c r="H71" s="13">
        <v>0</v>
      </c>
      <c r="I71" s="13">
        <v>1</v>
      </c>
      <c r="J71" s="12">
        <f>G71*I71%</f>
        <v>26</v>
      </c>
      <c r="K71" s="4">
        <f>F71-E71</f>
        <v>20</v>
      </c>
    </row>
    <row r="72" spans="1:11">
      <c r="A72" s="13">
        <v>6</v>
      </c>
      <c r="B72" s="13">
        <v>643</v>
      </c>
      <c r="C72" s="13" t="s">
        <v>379</v>
      </c>
      <c r="D72" s="13" t="s">
        <v>380</v>
      </c>
      <c r="E72" s="240">
        <v>41968</v>
      </c>
      <c r="F72" s="240">
        <v>41984</v>
      </c>
      <c r="G72" s="13">
        <v>7361.5</v>
      </c>
      <c r="H72" s="13">
        <v>0</v>
      </c>
      <c r="I72" s="13">
        <v>1</v>
      </c>
      <c r="J72" s="12">
        <f>G72*I72%</f>
        <v>73.614999999999995</v>
      </c>
      <c r="K72" s="4">
        <f>F72-E72</f>
        <v>16</v>
      </c>
    </row>
    <row r="73" spans="1:11">
      <c r="F73" s="241" t="s">
        <v>14</v>
      </c>
      <c r="G73" s="241">
        <f>SUM(G68:G72)</f>
        <v>16125</v>
      </c>
      <c r="H73" s="138"/>
      <c r="I73" s="241" t="s">
        <v>383</v>
      </c>
      <c r="J73" s="241">
        <f>SUM(J68:J72)</f>
        <v>132.44999999999999</v>
      </c>
    </row>
    <row r="75" spans="1:11">
      <c r="C75" s="138" t="s">
        <v>367</v>
      </c>
      <c r="D75" s="243" t="s">
        <v>391</v>
      </c>
    </row>
    <row r="77" spans="1:11">
      <c r="A77" s="241" t="s">
        <v>369</v>
      </c>
      <c r="B77" s="241" t="s">
        <v>370</v>
      </c>
      <c r="C77" s="241" t="s">
        <v>371</v>
      </c>
      <c r="D77" s="241" t="s">
        <v>372</v>
      </c>
      <c r="E77" s="241" t="s">
        <v>373</v>
      </c>
      <c r="F77" s="241" t="s">
        <v>374</v>
      </c>
      <c r="G77" s="241" t="s">
        <v>375</v>
      </c>
      <c r="H77" s="241" t="s">
        <v>376</v>
      </c>
      <c r="I77" s="241" t="s">
        <v>377</v>
      </c>
      <c r="J77" s="241" t="s">
        <v>378</v>
      </c>
      <c r="K77" s="138"/>
    </row>
    <row r="78" spans="1:11">
      <c r="A78" s="13">
        <v>6</v>
      </c>
      <c r="B78" s="13">
        <v>672</v>
      </c>
      <c r="C78" s="13" t="s">
        <v>379</v>
      </c>
      <c r="D78" s="13" t="s">
        <v>380</v>
      </c>
      <c r="E78" s="240">
        <v>41984</v>
      </c>
      <c r="F78" s="240">
        <v>42020</v>
      </c>
      <c r="G78" s="13">
        <v>5560</v>
      </c>
      <c r="H78" s="13">
        <v>5560</v>
      </c>
      <c r="I78" s="13">
        <v>1</v>
      </c>
      <c r="J78" s="13">
        <v>0</v>
      </c>
      <c r="K78" s="4">
        <f>F78-E78</f>
        <v>36</v>
      </c>
    </row>
    <row r="79" spans="1:11">
      <c r="A79" s="13">
        <v>6</v>
      </c>
      <c r="B79" s="13">
        <v>699</v>
      </c>
      <c r="C79" s="13" t="s">
        <v>379</v>
      </c>
      <c r="D79" s="13" t="s">
        <v>380</v>
      </c>
      <c r="E79" s="240">
        <v>41995</v>
      </c>
      <c r="F79" s="240">
        <v>42007</v>
      </c>
      <c r="G79" s="13">
        <v>11000</v>
      </c>
      <c r="H79" s="13">
        <v>0</v>
      </c>
      <c r="I79" s="13">
        <v>1</v>
      </c>
      <c r="J79" s="13">
        <v>110</v>
      </c>
      <c r="K79" s="4">
        <f>F79-E79</f>
        <v>12</v>
      </c>
    </row>
    <row r="80" spans="1:11">
      <c r="A80" s="13">
        <v>6</v>
      </c>
      <c r="B80" s="13">
        <v>701</v>
      </c>
      <c r="C80" s="13" t="s">
        <v>379</v>
      </c>
      <c r="D80" s="13" t="s">
        <v>380</v>
      </c>
      <c r="E80" s="240">
        <v>41995</v>
      </c>
      <c r="F80" s="240">
        <v>42007</v>
      </c>
      <c r="G80" s="13">
        <v>10000</v>
      </c>
      <c r="H80" s="13">
        <v>0</v>
      </c>
      <c r="I80" s="13">
        <v>1</v>
      </c>
      <c r="J80" s="13">
        <v>100</v>
      </c>
      <c r="K80" s="4">
        <f>F80-E80</f>
        <v>12</v>
      </c>
    </row>
    <row r="81" spans="1:21">
      <c r="A81" s="13">
        <v>6</v>
      </c>
      <c r="B81" s="13">
        <v>702</v>
      </c>
      <c r="C81" s="13" t="s">
        <v>379</v>
      </c>
      <c r="D81" s="13" t="s">
        <v>380</v>
      </c>
      <c r="E81" s="240">
        <v>41995</v>
      </c>
      <c r="F81" s="240">
        <v>42007</v>
      </c>
      <c r="G81" s="13">
        <v>8800</v>
      </c>
      <c r="H81" s="13">
        <v>0</v>
      </c>
      <c r="I81" s="13">
        <v>1</v>
      </c>
      <c r="J81" s="13">
        <v>88</v>
      </c>
      <c r="K81" s="4">
        <f>F81-E81</f>
        <v>12</v>
      </c>
    </row>
    <row r="82" spans="1:21">
      <c r="A82" s="13">
        <v>6</v>
      </c>
      <c r="B82" s="13">
        <v>698</v>
      </c>
      <c r="C82" s="13" t="s">
        <v>379</v>
      </c>
      <c r="D82" s="13" t="s">
        <v>380</v>
      </c>
      <c r="E82" s="240">
        <v>41995</v>
      </c>
      <c r="F82" s="240">
        <v>42017</v>
      </c>
      <c r="G82" s="13">
        <v>9900</v>
      </c>
      <c r="H82" s="13">
        <v>0</v>
      </c>
      <c r="I82" s="13">
        <v>1</v>
      </c>
      <c r="J82" s="13">
        <v>99</v>
      </c>
      <c r="K82" s="4">
        <f>F82-E82</f>
        <v>22</v>
      </c>
    </row>
    <row r="83" spans="1:21">
      <c r="F83" s="241" t="s">
        <v>14</v>
      </c>
      <c r="G83" s="241">
        <f>SUM(G78:G82)</f>
        <v>45260</v>
      </c>
      <c r="H83" s="138"/>
      <c r="I83" s="241" t="s">
        <v>383</v>
      </c>
      <c r="J83" s="241">
        <f>SUM(J78:J82)</f>
        <v>397</v>
      </c>
    </row>
    <row r="85" spans="1:21">
      <c r="C85" s="138" t="s">
        <v>367</v>
      </c>
      <c r="D85" s="243" t="s">
        <v>392</v>
      </c>
    </row>
    <row r="87" spans="1:21">
      <c r="A87" s="241" t="s">
        <v>369</v>
      </c>
      <c r="B87" s="241" t="s">
        <v>370</v>
      </c>
      <c r="C87" s="241" t="s">
        <v>371</v>
      </c>
      <c r="D87" s="241" t="s">
        <v>372</v>
      </c>
      <c r="E87" s="241" t="s">
        <v>373</v>
      </c>
      <c r="F87" s="241" t="s">
        <v>393</v>
      </c>
      <c r="G87" s="241" t="s">
        <v>375</v>
      </c>
      <c r="H87" s="241" t="s">
        <v>376</v>
      </c>
      <c r="I87" s="241" t="s">
        <v>377</v>
      </c>
      <c r="J87" s="241" t="s">
        <v>378</v>
      </c>
    </row>
    <row r="88" spans="1:21">
      <c r="A88" s="13">
        <v>6</v>
      </c>
      <c r="B88" s="13">
        <v>191</v>
      </c>
      <c r="C88" s="13" t="s">
        <v>381</v>
      </c>
      <c r="D88" s="13" t="s">
        <v>382</v>
      </c>
      <c r="E88" s="240">
        <v>41732</v>
      </c>
      <c r="F88" s="240">
        <v>42045</v>
      </c>
      <c r="G88" s="13">
        <v>342.7</v>
      </c>
      <c r="H88" s="13">
        <v>0</v>
      </c>
      <c r="I88" s="13">
        <v>1</v>
      </c>
      <c r="J88" s="13">
        <f>I88*G88%</f>
        <v>3.427</v>
      </c>
    </row>
    <row r="89" spans="1:21">
      <c r="F89" s="241" t="s">
        <v>14</v>
      </c>
      <c r="G89" s="241">
        <f>SUM(G84:G88)</f>
        <v>342.7</v>
      </c>
      <c r="H89" s="138"/>
      <c r="I89" s="241" t="s">
        <v>383</v>
      </c>
      <c r="J89" s="241">
        <f>SUM(J84:J88)</f>
        <v>3.427</v>
      </c>
    </row>
    <row r="93" spans="1:21">
      <c r="B93" s="138" t="s">
        <v>394</v>
      </c>
      <c r="C93" s="244" t="s">
        <v>367</v>
      </c>
      <c r="D93" s="138" t="s">
        <v>395</v>
      </c>
    </row>
    <row r="95" spans="1:21">
      <c r="A95" s="2" t="s">
        <v>385</v>
      </c>
      <c r="B95" s="2" t="s">
        <v>370</v>
      </c>
      <c r="C95" s="2" t="s">
        <v>371</v>
      </c>
      <c r="D95" s="2" t="s">
        <v>372</v>
      </c>
      <c r="E95" s="2" t="s">
        <v>386</v>
      </c>
      <c r="F95" s="2" t="s">
        <v>396</v>
      </c>
      <c r="G95" s="2" t="s">
        <v>14</v>
      </c>
      <c r="H95" s="2" t="s">
        <v>397</v>
      </c>
      <c r="I95" s="2" t="s">
        <v>398</v>
      </c>
      <c r="J95" s="2" t="s">
        <v>399</v>
      </c>
      <c r="K95" s="245"/>
    </row>
    <row r="96" spans="1:21">
      <c r="A96" s="13">
        <v>6</v>
      </c>
      <c r="B96" s="13">
        <v>791</v>
      </c>
      <c r="C96" s="13" t="s">
        <v>379</v>
      </c>
      <c r="D96" s="13" t="s">
        <v>380</v>
      </c>
      <c r="E96" s="240">
        <v>42066</v>
      </c>
      <c r="F96" s="13"/>
      <c r="G96" s="13">
        <v>4712.54</v>
      </c>
      <c r="H96" s="13">
        <v>0</v>
      </c>
      <c r="I96" s="13">
        <v>1</v>
      </c>
      <c r="J96" s="12">
        <f t="shared" ref="J96:J104" si="1">G96*I96%</f>
        <v>47.125399999999999</v>
      </c>
      <c r="P96" s="4">
        <v>0</v>
      </c>
      <c r="Q96" s="4">
        <v>848.26</v>
      </c>
      <c r="R96" s="4">
        <v>5560.8</v>
      </c>
      <c r="S96" s="4">
        <v>0</v>
      </c>
      <c r="T96" s="4">
        <v>4</v>
      </c>
      <c r="U96" s="4">
        <v>6</v>
      </c>
    </row>
    <row r="97" spans="1:21">
      <c r="A97" s="13">
        <v>4</v>
      </c>
      <c r="B97" s="13">
        <v>24820</v>
      </c>
      <c r="C97" s="13" t="s">
        <v>400</v>
      </c>
      <c r="D97" s="13" t="s">
        <v>380</v>
      </c>
      <c r="E97" s="240">
        <v>42083</v>
      </c>
      <c r="F97" s="13"/>
      <c r="G97" s="13">
        <v>102.12</v>
      </c>
      <c r="H97" s="13">
        <v>0</v>
      </c>
      <c r="I97" s="13">
        <v>1</v>
      </c>
      <c r="J97" s="12">
        <f t="shared" si="1"/>
        <v>1.0212000000000001</v>
      </c>
      <c r="P97" s="4">
        <v>0</v>
      </c>
      <c r="Q97" s="4">
        <v>18.38</v>
      </c>
      <c r="R97" s="4">
        <v>120.5</v>
      </c>
      <c r="S97" s="4">
        <v>0</v>
      </c>
      <c r="T97" s="4">
        <v>4</v>
      </c>
      <c r="U97" s="4">
        <v>3</v>
      </c>
    </row>
    <row r="98" spans="1:21">
      <c r="A98" s="13">
        <v>4</v>
      </c>
      <c r="B98" s="13">
        <v>24821</v>
      </c>
      <c r="C98" s="13" t="s">
        <v>400</v>
      </c>
      <c r="D98" s="13" t="s">
        <v>380</v>
      </c>
      <c r="E98" s="240">
        <v>42083</v>
      </c>
      <c r="F98" s="13"/>
      <c r="G98" s="13">
        <v>1272.96</v>
      </c>
      <c r="H98" s="13">
        <v>0</v>
      </c>
      <c r="I98" s="13">
        <v>1</v>
      </c>
      <c r="J98" s="12">
        <f t="shared" si="1"/>
        <v>12.729600000000001</v>
      </c>
      <c r="P98" s="4">
        <v>0</v>
      </c>
      <c r="Q98" s="4">
        <v>229.13</v>
      </c>
      <c r="R98" s="4">
        <v>1502.09</v>
      </c>
      <c r="S98" s="4">
        <v>0</v>
      </c>
      <c r="T98" s="4">
        <v>4</v>
      </c>
      <c r="U98" s="4">
        <v>3</v>
      </c>
    </row>
    <row r="99" spans="1:21">
      <c r="A99" s="13">
        <v>4</v>
      </c>
      <c r="B99" s="13">
        <v>24822</v>
      </c>
      <c r="C99" s="13" t="s">
        <v>400</v>
      </c>
      <c r="D99" s="13" t="s">
        <v>380</v>
      </c>
      <c r="E99" s="240">
        <v>42083</v>
      </c>
      <c r="F99" s="13"/>
      <c r="G99" s="13">
        <v>1860.69</v>
      </c>
      <c r="H99" s="13">
        <v>0</v>
      </c>
      <c r="I99" s="13">
        <v>1</v>
      </c>
      <c r="J99" s="12">
        <f t="shared" si="1"/>
        <v>18.6069</v>
      </c>
      <c r="P99" s="4">
        <v>0</v>
      </c>
      <c r="Q99" s="4">
        <v>334.92</v>
      </c>
      <c r="R99" s="4">
        <v>2195.61</v>
      </c>
      <c r="S99" s="4">
        <v>0</v>
      </c>
      <c r="T99" s="4">
        <v>4</v>
      </c>
      <c r="U99" s="4">
        <v>3</v>
      </c>
    </row>
    <row r="100" spans="1:21">
      <c r="A100" s="13">
        <v>6</v>
      </c>
      <c r="B100" s="13">
        <v>819</v>
      </c>
      <c r="C100" s="13" t="s">
        <v>401</v>
      </c>
      <c r="D100" s="13" t="s">
        <v>380</v>
      </c>
      <c r="E100" s="240">
        <v>42083</v>
      </c>
      <c r="F100" s="13"/>
      <c r="G100" s="13">
        <v>296.61</v>
      </c>
      <c r="H100" s="13">
        <v>0</v>
      </c>
      <c r="I100" s="13">
        <v>1</v>
      </c>
      <c r="J100" s="12">
        <f t="shared" si="1"/>
        <v>2.9661000000000004</v>
      </c>
      <c r="P100" s="4">
        <v>0</v>
      </c>
      <c r="Q100" s="4">
        <v>53.39</v>
      </c>
      <c r="R100" s="4">
        <v>350</v>
      </c>
      <c r="S100" s="4">
        <v>0</v>
      </c>
      <c r="T100" s="4">
        <v>4</v>
      </c>
      <c r="U100" s="4">
        <v>6</v>
      </c>
    </row>
    <row r="101" spans="1:21">
      <c r="A101" s="13">
        <v>4</v>
      </c>
      <c r="B101" s="13">
        <v>24816</v>
      </c>
      <c r="C101" s="13" t="s">
        <v>400</v>
      </c>
      <c r="D101" s="13" t="s">
        <v>380</v>
      </c>
      <c r="E101" s="240">
        <v>42083</v>
      </c>
      <c r="F101" s="13"/>
      <c r="G101" s="13">
        <v>10804.5</v>
      </c>
      <c r="H101" s="13">
        <v>0</v>
      </c>
      <c r="I101" s="13">
        <v>1</v>
      </c>
      <c r="J101" s="12">
        <f t="shared" si="1"/>
        <v>108.045</v>
      </c>
      <c r="P101" s="4">
        <v>0</v>
      </c>
      <c r="Q101" s="4">
        <v>1944.81</v>
      </c>
      <c r="R101" s="4">
        <v>12749.31</v>
      </c>
      <c r="S101" s="4">
        <v>0</v>
      </c>
      <c r="T101" s="4">
        <v>4</v>
      </c>
      <c r="U101" s="4">
        <v>3</v>
      </c>
    </row>
    <row r="102" spans="1:21">
      <c r="A102" s="13">
        <v>4</v>
      </c>
      <c r="B102" s="13">
        <v>24818</v>
      </c>
      <c r="C102" s="13" t="s">
        <v>400</v>
      </c>
      <c r="D102" s="13" t="s">
        <v>380</v>
      </c>
      <c r="E102" s="240">
        <v>42083</v>
      </c>
      <c r="F102" s="13"/>
      <c r="G102" s="13">
        <v>102.12</v>
      </c>
      <c r="H102" s="13">
        <v>0</v>
      </c>
      <c r="I102" s="13">
        <v>1</v>
      </c>
      <c r="J102" s="12">
        <f t="shared" si="1"/>
        <v>1.0212000000000001</v>
      </c>
      <c r="P102" s="4">
        <v>0</v>
      </c>
      <c r="Q102" s="4">
        <v>18.38</v>
      </c>
      <c r="R102" s="4">
        <v>120.5</v>
      </c>
      <c r="S102" s="4">
        <v>0</v>
      </c>
      <c r="T102" s="4">
        <v>4</v>
      </c>
      <c r="U102" s="4">
        <v>3</v>
      </c>
    </row>
    <row r="103" spans="1:21">
      <c r="A103" s="13">
        <v>4</v>
      </c>
      <c r="B103" s="13">
        <v>24819</v>
      </c>
      <c r="C103" s="13" t="s">
        <v>400</v>
      </c>
      <c r="D103" s="13" t="s">
        <v>380</v>
      </c>
      <c r="E103" s="240">
        <v>42083</v>
      </c>
      <c r="F103" s="13"/>
      <c r="G103" s="13">
        <v>7203</v>
      </c>
      <c r="H103" s="13">
        <v>0</v>
      </c>
      <c r="I103" s="13">
        <v>1</v>
      </c>
      <c r="J103" s="12">
        <f t="shared" si="1"/>
        <v>72.03</v>
      </c>
      <c r="P103" s="4">
        <v>0</v>
      </c>
      <c r="Q103" s="4">
        <v>1296.54</v>
      </c>
      <c r="R103" s="4">
        <v>8499.5400000000009</v>
      </c>
      <c r="S103" s="4">
        <v>0</v>
      </c>
      <c r="T103" s="4">
        <v>4</v>
      </c>
      <c r="U103" s="4">
        <v>3</v>
      </c>
    </row>
    <row r="104" spans="1:21">
      <c r="A104" s="13">
        <v>4</v>
      </c>
      <c r="B104" s="13">
        <v>25453</v>
      </c>
      <c r="C104" s="13" t="s">
        <v>402</v>
      </c>
      <c r="D104" s="13" t="s">
        <v>380</v>
      </c>
      <c r="E104" s="240">
        <v>42093</v>
      </c>
      <c r="F104" s="240">
        <v>42093</v>
      </c>
      <c r="G104" s="13">
        <v>2881.2</v>
      </c>
      <c r="H104" s="13">
        <v>0</v>
      </c>
      <c r="I104" s="13">
        <v>1</v>
      </c>
      <c r="J104" s="12">
        <f t="shared" si="1"/>
        <v>28.811999999999998</v>
      </c>
      <c r="P104" s="4">
        <v>0</v>
      </c>
      <c r="Q104" s="4">
        <v>518.62</v>
      </c>
      <c r="R104" s="4">
        <v>3399.82</v>
      </c>
      <c r="S104" s="4">
        <v>0</v>
      </c>
      <c r="T104" s="4">
        <v>4</v>
      </c>
      <c r="U104" s="4">
        <v>19</v>
      </c>
    </row>
    <row r="105" spans="1:21">
      <c r="G105" s="4">
        <f>SUM(G96:G104)</f>
        <v>29235.739999999998</v>
      </c>
      <c r="J105" s="137">
        <f>SUM(J96:J104)</f>
        <v>292.35739999999998</v>
      </c>
    </row>
    <row r="106" spans="1:21">
      <c r="J106" s="17"/>
    </row>
    <row r="107" spans="1:21">
      <c r="B107" s="138" t="s">
        <v>403</v>
      </c>
      <c r="C107" s="244" t="s">
        <v>367</v>
      </c>
      <c r="D107" s="138" t="s">
        <v>395</v>
      </c>
    </row>
    <row r="109" spans="1:21">
      <c r="A109" s="2" t="s">
        <v>385</v>
      </c>
      <c r="B109" s="2" t="s">
        <v>370</v>
      </c>
      <c r="C109" s="2" t="s">
        <v>371</v>
      </c>
      <c r="D109" s="2" t="s">
        <v>372</v>
      </c>
      <c r="E109" s="2" t="s">
        <v>386</v>
      </c>
      <c r="F109" s="2" t="s">
        <v>396</v>
      </c>
      <c r="G109" s="2" t="s">
        <v>14</v>
      </c>
      <c r="H109" s="2" t="s">
        <v>397</v>
      </c>
      <c r="I109" s="2" t="s">
        <v>398</v>
      </c>
      <c r="J109" s="2" t="s">
        <v>399</v>
      </c>
      <c r="P109" s="4">
        <v>0</v>
      </c>
      <c r="Q109" s="4">
        <v>1647.46</v>
      </c>
      <c r="R109" s="4">
        <v>10800</v>
      </c>
      <c r="S109" s="4">
        <v>0</v>
      </c>
      <c r="T109" s="4">
        <v>4</v>
      </c>
      <c r="U109" s="4">
        <v>6</v>
      </c>
    </row>
    <row r="110" spans="1:21">
      <c r="A110" s="13">
        <v>6</v>
      </c>
      <c r="B110" s="13">
        <v>670</v>
      </c>
      <c r="C110" s="13" t="s">
        <v>379</v>
      </c>
      <c r="D110" s="13" t="s">
        <v>380</v>
      </c>
      <c r="E110" s="240">
        <v>41984</v>
      </c>
      <c r="F110" s="240">
        <v>42075</v>
      </c>
      <c r="G110" s="13">
        <v>9152.5400000000009</v>
      </c>
      <c r="H110" s="13">
        <v>0</v>
      </c>
      <c r="I110" s="13">
        <v>1</v>
      </c>
      <c r="J110" s="12">
        <v>91.525400000000005</v>
      </c>
    </row>
    <row r="111" spans="1:21">
      <c r="A111" s="13">
        <v>6</v>
      </c>
      <c r="B111" s="13">
        <v>781</v>
      </c>
      <c r="C111" s="13" t="s">
        <v>401</v>
      </c>
      <c r="D111" s="13" t="s">
        <v>380</v>
      </c>
      <c r="E111" s="240">
        <v>42058</v>
      </c>
      <c r="F111" s="240">
        <v>42066</v>
      </c>
      <c r="G111" s="13">
        <v>4152.54</v>
      </c>
      <c r="H111" s="13">
        <v>0</v>
      </c>
      <c r="I111" s="13">
        <v>1</v>
      </c>
      <c r="J111" s="12">
        <v>41.525399999999998</v>
      </c>
    </row>
    <row r="112" spans="1:21">
      <c r="A112" s="13">
        <v>4</v>
      </c>
      <c r="B112" s="13">
        <v>25453</v>
      </c>
      <c r="C112" s="13" t="s">
        <v>402</v>
      </c>
      <c r="D112" s="13" t="s">
        <v>380</v>
      </c>
      <c r="E112" s="240">
        <v>42093</v>
      </c>
      <c r="F112" s="240">
        <v>42093</v>
      </c>
      <c r="G112" s="13">
        <v>2881.2</v>
      </c>
      <c r="H112" s="13">
        <v>0</v>
      </c>
      <c r="I112" s="13">
        <v>1</v>
      </c>
      <c r="J112" s="12">
        <v>28.812000000000001</v>
      </c>
    </row>
    <row r="113" spans="1:17">
      <c r="A113" s="13">
        <v>4</v>
      </c>
      <c r="B113" s="13">
        <v>20001</v>
      </c>
      <c r="C113" s="13" t="s">
        <v>400</v>
      </c>
      <c r="D113" s="13" t="s">
        <v>380</v>
      </c>
      <c r="E113" s="240">
        <v>42003</v>
      </c>
      <c r="F113" s="240">
        <v>42077</v>
      </c>
      <c r="G113" s="12">
        <v>10338.983050847501</v>
      </c>
      <c r="H113" s="13">
        <v>0</v>
      </c>
      <c r="I113" s="13">
        <v>1</v>
      </c>
      <c r="J113" s="12">
        <v>103.389830508475</v>
      </c>
    </row>
    <row r="114" spans="1:17">
      <c r="A114" s="13">
        <v>4</v>
      </c>
      <c r="B114" s="13">
        <v>19029</v>
      </c>
      <c r="C114" s="13" t="s">
        <v>400</v>
      </c>
      <c r="D114" s="13" t="s">
        <v>380</v>
      </c>
      <c r="E114" s="240">
        <v>41978</v>
      </c>
      <c r="F114" s="240">
        <v>42077</v>
      </c>
      <c r="G114" s="12">
        <v>10848</v>
      </c>
      <c r="H114" s="13">
        <v>0</v>
      </c>
      <c r="I114" s="13">
        <v>1</v>
      </c>
      <c r="J114" s="12">
        <v>108.48</v>
      </c>
    </row>
    <row r="115" spans="1:17">
      <c r="G115" s="246">
        <f>SUM(G110:G114)</f>
        <v>37373.263050847505</v>
      </c>
      <c r="J115" s="247">
        <f>SUM(J110:J114)</f>
        <v>373.73263050847504</v>
      </c>
    </row>
    <row r="117" spans="1:17">
      <c r="B117" s="138" t="s">
        <v>403</v>
      </c>
      <c r="C117" s="244" t="s">
        <v>367</v>
      </c>
      <c r="D117" s="138" t="s">
        <v>404</v>
      </c>
    </row>
    <row r="119" spans="1:17" s="138" customFormat="1" ht="11.25">
      <c r="A119" s="248" t="s">
        <v>385</v>
      </c>
      <c r="B119" s="248" t="s">
        <v>370</v>
      </c>
      <c r="C119" s="248" t="s">
        <v>371</v>
      </c>
      <c r="D119" s="248" t="s">
        <v>372</v>
      </c>
      <c r="E119" s="248" t="s">
        <v>386</v>
      </c>
      <c r="F119" s="248" t="s">
        <v>396</v>
      </c>
      <c r="G119" s="248" t="s">
        <v>14</v>
      </c>
      <c r="H119" s="248" t="s">
        <v>397</v>
      </c>
      <c r="I119" s="248" t="s">
        <v>398</v>
      </c>
      <c r="J119" s="248" t="s">
        <v>399</v>
      </c>
    </row>
    <row r="120" spans="1:17">
      <c r="A120" s="13">
        <v>4</v>
      </c>
      <c r="B120" s="13">
        <v>19028</v>
      </c>
      <c r="C120" s="13" t="s">
        <v>400</v>
      </c>
      <c r="D120" s="13" t="s">
        <v>380</v>
      </c>
      <c r="E120" s="240">
        <v>41978</v>
      </c>
      <c r="F120" s="240">
        <v>42118</v>
      </c>
      <c r="G120" s="13">
        <v>382.62</v>
      </c>
      <c r="H120" s="13">
        <v>0</v>
      </c>
      <c r="I120" s="13">
        <v>1</v>
      </c>
      <c r="J120" s="12">
        <f t="shared" ref="J120:J131" si="2">G120*I120%</f>
        <v>3.8262</v>
      </c>
      <c r="K120" s="4">
        <f t="shared" ref="K120:K131" si="3">F120-E120</f>
        <v>140</v>
      </c>
      <c r="N120" s="4">
        <v>0</v>
      </c>
      <c r="O120" s="4">
        <v>68.87</v>
      </c>
      <c r="P120" s="4">
        <v>451.49</v>
      </c>
      <c r="Q120" s="4">
        <v>0</v>
      </c>
    </row>
    <row r="121" spans="1:17">
      <c r="A121" s="13">
        <v>4</v>
      </c>
      <c r="B121" s="13">
        <v>20003</v>
      </c>
      <c r="C121" s="13" t="s">
        <v>400</v>
      </c>
      <c r="D121" s="13" t="s">
        <v>380</v>
      </c>
      <c r="E121" s="240">
        <v>42003</v>
      </c>
      <c r="F121" s="240">
        <v>42118</v>
      </c>
      <c r="G121" s="13">
        <v>1074.06</v>
      </c>
      <c r="H121" s="13">
        <v>0</v>
      </c>
      <c r="I121" s="13">
        <v>1</v>
      </c>
      <c r="J121" s="12">
        <f t="shared" si="2"/>
        <v>10.740599999999999</v>
      </c>
      <c r="K121" s="4">
        <f t="shared" si="3"/>
        <v>115</v>
      </c>
      <c r="N121" s="4">
        <v>0</v>
      </c>
      <c r="O121" s="4">
        <v>193.33</v>
      </c>
      <c r="P121" s="4">
        <v>1267.3900000000001</v>
      </c>
      <c r="Q121" s="4">
        <v>0</v>
      </c>
    </row>
    <row r="122" spans="1:17">
      <c r="A122" s="13">
        <v>4</v>
      </c>
      <c r="B122" s="13">
        <v>20002</v>
      </c>
      <c r="C122" s="13" t="s">
        <v>400</v>
      </c>
      <c r="D122" s="13" t="s">
        <v>380</v>
      </c>
      <c r="E122" s="240">
        <v>42003</v>
      </c>
      <c r="F122" s="240">
        <v>42118</v>
      </c>
      <c r="G122" s="13">
        <v>1834.64</v>
      </c>
      <c r="H122" s="13">
        <v>0</v>
      </c>
      <c r="I122" s="13">
        <v>1</v>
      </c>
      <c r="J122" s="12">
        <f t="shared" si="2"/>
        <v>18.346400000000003</v>
      </c>
      <c r="K122" s="4">
        <f t="shared" si="3"/>
        <v>115</v>
      </c>
      <c r="N122" s="4">
        <v>0</v>
      </c>
      <c r="O122" s="4">
        <v>330.24</v>
      </c>
      <c r="P122" s="4">
        <v>2164.88</v>
      </c>
      <c r="Q122" s="4">
        <v>0</v>
      </c>
    </row>
    <row r="123" spans="1:17">
      <c r="A123" s="13">
        <v>4</v>
      </c>
      <c r="B123" s="13">
        <v>21821</v>
      </c>
      <c r="C123" s="13" t="s">
        <v>400</v>
      </c>
      <c r="D123" s="13" t="s">
        <v>380</v>
      </c>
      <c r="E123" s="240">
        <v>42037</v>
      </c>
      <c r="F123" s="240">
        <v>42118</v>
      </c>
      <c r="G123" s="13">
        <v>10045.15</v>
      </c>
      <c r="H123" s="13">
        <v>0</v>
      </c>
      <c r="I123" s="13">
        <v>1</v>
      </c>
      <c r="J123" s="12">
        <f t="shared" si="2"/>
        <v>100.4515</v>
      </c>
      <c r="K123" s="4">
        <f t="shared" si="3"/>
        <v>81</v>
      </c>
      <c r="N123" s="4">
        <v>0</v>
      </c>
      <c r="O123" s="4">
        <v>1808.13</v>
      </c>
      <c r="P123" s="4">
        <v>11853.28</v>
      </c>
      <c r="Q123" s="4">
        <v>0</v>
      </c>
    </row>
    <row r="124" spans="1:17">
      <c r="A124" s="13">
        <v>4</v>
      </c>
      <c r="B124" s="13">
        <v>22448</v>
      </c>
      <c r="C124" s="13" t="s">
        <v>400</v>
      </c>
      <c r="D124" s="13" t="s">
        <v>380</v>
      </c>
      <c r="E124" s="240">
        <v>42047</v>
      </c>
      <c r="F124" s="240">
        <v>42118</v>
      </c>
      <c r="G124" s="13">
        <v>1452.02</v>
      </c>
      <c r="H124" s="13">
        <v>0</v>
      </c>
      <c r="I124" s="13">
        <v>1</v>
      </c>
      <c r="J124" s="12">
        <f t="shared" si="2"/>
        <v>14.520200000000001</v>
      </c>
      <c r="K124" s="4">
        <f t="shared" si="3"/>
        <v>71</v>
      </c>
      <c r="N124" s="4">
        <v>0</v>
      </c>
      <c r="O124" s="4">
        <v>261.36</v>
      </c>
      <c r="P124" s="4">
        <v>1713.38</v>
      </c>
      <c r="Q124" s="4">
        <v>0</v>
      </c>
    </row>
    <row r="125" spans="1:17">
      <c r="A125" s="13">
        <v>4</v>
      </c>
      <c r="B125" s="13">
        <v>23480</v>
      </c>
      <c r="C125" s="13" t="s">
        <v>400</v>
      </c>
      <c r="D125" s="13" t="s">
        <v>380</v>
      </c>
      <c r="E125" s="240">
        <v>42063</v>
      </c>
      <c r="F125" s="240">
        <v>42118</v>
      </c>
      <c r="G125" s="13">
        <v>11526</v>
      </c>
      <c r="H125" s="13">
        <v>0</v>
      </c>
      <c r="I125" s="13">
        <v>1</v>
      </c>
      <c r="J125" s="12">
        <f t="shared" si="2"/>
        <v>115.26</v>
      </c>
      <c r="K125" s="4">
        <f t="shared" si="3"/>
        <v>55</v>
      </c>
      <c r="N125" s="4">
        <v>0</v>
      </c>
      <c r="O125" s="4">
        <v>2074.6799999999998</v>
      </c>
      <c r="P125" s="4">
        <v>13600.68</v>
      </c>
      <c r="Q125" s="4">
        <v>0</v>
      </c>
    </row>
    <row r="126" spans="1:17">
      <c r="A126" s="13">
        <v>6</v>
      </c>
      <c r="B126" s="13">
        <v>791</v>
      </c>
      <c r="C126" s="13" t="s">
        <v>379</v>
      </c>
      <c r="D126" s="13" t="s">
        <v>380</v>
      </c>
      <c r="E126" s="240">
        <v>42066</v>
      </c>
      <c r="F126" s="240">
        <v>42101</v>
      </c>
      <c r="G126" s="13">
        <v>4712.54</v>
      </c>
      <c r="H126" s="13">
        <v>0</v>
      </c>
      <c r="I126" s="13">
        <v>1</v>
      </c>
      <c r="J126" s="12">
        <f t="shared" si="2"/>
        <v>47.125399999999999</v>
      </c>
      <c r="K126" s="4">
        <f t="shared" si="3"/>
        <v>35</v>
      </c>
      <c r="N126" s="4">
        <v>0</v>
      </c>
      <c r="O126" s="4">
        <v>848.26</v>
      </c>
      <c r="P126" s="4">
        <v>5560.8</v>
      </c>
      <c r="Q126" s="4">
        <v>0</v>
      </c>
    </row>
    <row r="127" spans="1:17">
      <c r="A127" s="13">
        <v>6</v>
      </c>
      <c r="B127" s="13">
        <v>819</v>
      </c>
      <c r="C127" s="13" t="s">
        <v>401</v>
      </c>
      <c r="D127" s="13" t="s">
        <v>380</v>
      </c>
      <c r="E127" s="240">
        <v>42083</v>
      </c>
      <c r="F127" s="240">
        <v>42101</v>
      </c>
      <c r="G127" s="13">
        <v>296.61</v>
      </c>
      <c r="H127" s="13">
        <v>0</v>
      </c>
      <c r="I127" s="13">
        <v>1</v>
      </c>
      <c r="J127" s="12">
        <f t="shared" si="2"/>
        <v>2.9661000000000004</v>
      </c>
      <c r="K127" s="4">
        <f t="shared" si="3"/>
        <v>18</v>
      </c>
      <c r="N127" s="4">
        <v>0</v>
      </c>
      <c r="O127" s="4">
        <v>53.39</v>
      </c>
      <c r="P127" s="4">
        <v>350</v>
      </c>
      <c r="Q127" s="4">
        <v>0</v>
      </c>
    </row>
    <row r="128" spans="1:17">
      <c r="A128" s="13">
        <v>4</v>
      </c>
      <c r="B128" s="13">
        <v>24818</v>
      </c>
      <c r="C128" s="13" t="s">
        <v>400</v>
      </c>
      <c r="D128" s="13" t="s">
        <v>380</v>
      </c>
      <c r="E128" s="240">
        <v>42083</v>
      </c>
      <c r="F128" s="240">
        <v>42118</v>
      </c>
      <c r="G128" s="13">
        <v>102.12</v>
      </c>
      <c r="H128" s="13">
        <v>0</v>
      </c>
      <c r="I128" s="13">
        <v>1</v>
      </c>
      <c r="J128" s="12">
        <f t="shared" si="2"/>
        <v>1.0212000000000001</v>
      </c>
      <c r="K128" s="4">
        <f t="shared" si="3"/>
        <v>35</v>
      </c>
      <c r="N128" s="4">
        <v>0</v>
      </c>
      <c r="O128" s="4">
        <v>18.38</v>
      </c>
      <c r="P128" s="4">
        <v>120.5</v>
      </c>
      <c r="Q128" s="4">
        <v>0</v>
      </c>
    </row>
    <row r="129" spans="1:17">
      <c r="A129" s="13">
        <v>4</v>
      </c>
      <c r="B129" s="13">
        <v>24820</v>
      </c>
      <c r="C129" s="13" t="s">
        <v>400</v>
      </c>
      <c r="D129" s="13" t="s">
        <v>380</v>
      </c>
      <c r="E129" s="240">
        <v>42083</v>
      </c>
      <c r="F129" s="240">
        <v>42118</v>
      </c>
      <c r="G129" s="13">
        <v>102.12</v>
      </c>
      <c r="H129" s="13">
        <v>0</v>
      </c>
      <c r="I129" s="13">
        <v>1</v>
      </c>
      <c r="J129" s="12">
        <f t="shared" si="2"/>
        <v>1.0212000000000001</v>
      </c>
      <c r="K129" s="4">
        <f t="shared" si="3"/>
        <v>35</v>
      </c>
      <c r="N129" s="4">
        <v>0</v>
      </c>
      <c r="O129" s="4">
        <v>18.38</v>
      </c>
      <c r="P129" s="4">
        <v>120.5</v>
      </c>
      <c r="Q129" s="4">
        <v>0</v>
      </c>
    </row>
    <row r="130" spans="1:17">
      <c r="A130" s="13">
        <v>4</v>
      </c>
      <c r="B130" s="13">
        <v>24816</v>
      </c>
      <c r="C130" s="13" t="s">
        <v>400</v>
      </c>
      <c r="D130" s="13" t="s">
        <v>380</v>
      </c>
      <c r="E130" s="240">
        <v>42083</v>
      </c>
      <c r="F130" s="240">
        <v>42118</v>
      </c>
      <c r="G130" s="13">
        <v>10804.5</v>
      </c>
      <c r="H130" s="13">
        <v>0</v>
      </c>
      <c r="I130" s="13">
        <v>1</v>
      </c>
      <c r="J130" s="12">
        <f t="shared" si="2"/>
        <v>108.045</v>
      </c>
      <c r="K130" s="4">
        <f t="shared" si="3"/>
        <v>35</v>
      </c>
      <c r="N130" s="4">
        <v>0</v>
      </c>
      <c r="O130" s="4">
        <v>1944.81</v>
      </c>
      <c r="P130" s="4">
        <v>12749.31</v>
      </c>
      <c r="Q130" s="4">
        <v>0</v>
      </c>
    </row>
    <row r="131" spans="1:17">
      <c r="A131" s="13">
        <v>4</v>
      </c>
      <c r="B131" s="13">
        <v>20004</v>
      </c>
      <c r="C131" s="13" t="s">
        <v>400</v>
      </c>
      <c r="D131" s="13" t="s">
        <v>380</v>
      </c>
      <c r="E131" s="240">
        <v>42003</v>
      </c>
      <c r="F131" s="240">
        <v>42118</v>
      </c>
      <c r="G131" s="13">
        <v>4068</v>
      </c>
      <c r="H131" s="13">
        <v>0</v>
      </c>
      <c r="I131" s="13">
        <v>1</v>
      </c>
      <c r="J131" s="12">
        <f t="shared" si="2"/>
        <v>40.68</v>
      </c>
      <c r="K131" s="4">
        <f t="shared" si="3"/>
        <v>115</v>
      </c>
      <c r="N131" s="4">
        <v>0</v>
      </c>
      <c r="O131" s="4">
        <v>732.24</v>
      </c>
      <c r="P131" s="4">
        <v>4800.24</v>
      </c>
      <c r="Q131" s="4">
        <v>0</v>
      </c>
    </row>
    <row r="132" spans="1:17" s="138" customFormat="1" ht="11.25">
      <c r="G132" s="241">
        <f>SUM(G120:G131)</f>
        <v>46400.38</v>
      </c>
      <c r="J132" s="137">
        <f>SUM(J120:J131)</f>
        <v>464.00380000000007</v>
      </c>
    </row>
    <row r="135" spans="1:17">
      <c r="B135" s="138" t="s">
        <v>403</v>
      </c>
      <c r="C135" s="244" t="s">
        <v>367</v>
      </c>
      <c r="D135" s="138" t="s">
        <v>405</v>
      </c>
    </row>
    <row r="137" spans="1:17">
      <c r="A137" s="248" t="s">
        <v>385</v>
      </c>
      <c r="B137" s="248" t="s">
        <v>370</v>
      </c>
      <c r="C137" s="248" t="s">
        <v>371</v>
      </c>
      <c r="D137" s="248" t="s">
        <v>372</v>
      </c>
      <c r="E137" s="248" t="s">
        <v>386</v>
      </c>
      <c r="F137" s="248" t="s">
        <v>396</v>
      </c>
      <c r="G137" s="248" t="s">
        <v>14</v>
      </c>
      <c r="H137" s="248" t="s">
        <v>397</v>
      </c>
      <c r="I137" s="248" t="s">
        <v>398</v>
      </c>
      <c r="J137" s="248" t="s">
        <v>399</v>
      </c>
    </row>
    <row r="138" spans="1:17">
      <c r="A138" s="13">
        <v>4</v>
      </c>
      <c r="B138" s="13">
        <v>24822</v>
      </c>
      <c r="C138" s="13" t="s">
        <v>400</v>
      </c>
      <c r="D138" s="13" t="s">
        <v>380</v>
      </c>
      <c r="E138" s="240">
        <v>42083</v>
      </c>
      <c r="F138" s="240">
        <v>42168</v>
      </c>
      <c r="G138" s="13">
        <v>1860.69</v>
      </c>
      <c r="H138" s="13">
        <v>0</v>
      </c>
      <c r="I138" s="13">
        <v>1</v>
      </c>
      <c r="J138" s="12">
        <f t="shared" ref="J138:J148" si="4">G138*I138%</f>
        <v>18.6069</v>
      </c>
      <c r="K138" s="4">
        <f t="shared" ref="K138:K148" si="5">F138-E138</f>
        <v>85</v>
      </c>
      <c r="N138" s="4">
        <v>0</v>
      </c>
      <c r="O138" s="4">
        <v>334.92</v>
      </c>
      <c r="P138" s="4">
        <v>2195.61</v>
      </c>
      <c r="Q138" s="4">
        <v>0</v>
      </c>
    </row>
    <row r="139" spans="1:17">
      <c r="A139" s="13">
        <v>4</v>
      </c>
      <c r="B139" s="13">
        <v>27732</v>
      </c>
      <c r="C139" s="13" t="s">
        <v>400</v>
      </c>
      <c r="D139" s="13" t="s">
        <v>380</v>
      </c>
      <c r="E139" s="240">
        <v>42124</v>
      </c>
      <c r="F139" s="240">
        <v>42168</v>
      </c>
      <c r="G139" s="13">
        <v>587.72</v>
      </c>
      <c r="H139" s="13">
        <v>0</v>
      </c>
      <c r="I139" s="13">
        <v>1</v>
      </c>
      <c r="J139" s="12">
        <f t="shared" si="4"/>
        <v>5.8772000000000002</v>
      </c>
      <c r="K139" s="4">
        <f t="shared" si="5"/>
        <v>44</v>
      </c>
      <c r="N139" s="4">
        <v>0</v>
      </c>
      <c r="O139" s="4">
        <v>105.79</v>
      </c>
      <c r="P139" s="4">
        <v>693.51</v>
      </c>
      <c r="Q139" s="4">
        <v>0</v>
      </c>
    </row>
    <row r="140" spans="1:17">
      <c r="A140" s="13">
        <v>4</v>
      </c>
      <c r="B140" s="13">
        <v>27733</v>
      </c>
      <c r="C140" s="13" t="s">
        <v>400</v>
      </c>
      <c r="D140" s="13" t="s">
        <v>380</v>
      </c>
      <c r="E140" s="240">
        <v>42124</v>
      </c>
      <c r="F140" s="240">
        <v>42168</v>
      </c>
      <c r="G140" s="13">
        <v>408.76</v>
      </c>
      <c r="H140" s="13">
        <v>0</v>
      </c>
      <c r="I140" s="13">
        <v>1</v>
      </c>
      <c r="J140" s="12">
        <f t="shared" si="4"/>
        <v>4.0876000000000001</v>
      </c>
      <c r="K140" s="4">
        <f t="shared" si="5"/>
        <v>44</v>
      </c>
      <c r="N140" s="4">
        <v>0</v>
      </c>
      <c r="O140" s="4">
        <v>73.58</v>
      </c>
      <c r="P140" s="4">
        <v>482.34</v>
      </c>
      <c r="Q140" s="4">
        <v>0</v>
      </c>
    </row>
    <row r="141" spans="1:17">
      <c r="A141" s="13">
        <v>4</v>
      </c>
      <c r="B141" s="13">
        <v>27729</v>
      </c>
      <c r="C141" s="13" t="s">
        <v>400</v>
      </c>
      <c r="D141" s="13" t="s">
        <v>380</v>
      </c>
      <c r="E141" s="240">
        <v>42124</v>
      </c>
      <c r="F141" s="240">
        <v>42168</v>
      </c>
      <c r="G141" s="13">
        <v>1452.02</v>
      </c>
      <c r="H141" s="13">
        <v>0</v>
      </c>
      <c r="I141" s="13">
        <v>1</v>
      </c>
      <c r="J141" s="12">
        <f t="shared" si="4"/>
        <v>14.520200000000001</v>
      </c>
      <c r="K141" s="4">
        <f t="shared" si="5"/>
        <v>44</v>
      </c>
      <c r="N141" s="4">
        <v>0</v>
      </c>
      <c r="O141" s="4">
        <v>261.36</v>
      </c>
      <c r="P141" s="4">
        <v>1713.38</v>
      </c>
      <c r="Q141" s="4">
        <v>0</v>
      </c>
    </row>
    <row r="142" spans="1:17">
      <c r="A142" s="13">
        <v>4</v>
      </c>
      <c r="B142" s="13">
        <v>27730</v>
      </c>
      <c r="C142" s="13" t="s">
        <v>400</v>
      </c>
      <c r="D142" s="13" t="s">
        <v>380</v>
      </c>
      <c r="E142" s="240">
        <v>42124</v>
      </c>
      <c r="F142" s="240">
        <v>42168</v>
      </c>
      <c r="G142" s="13">
        <v>408.76</v>
      </c>
      <c r="H142" s="13">
        <v>0</v>
      </c>
      <c r="I142" s="13">
        <v>1</v>
      </c>
      <c r="J142" s="12">
        <f t="shared" si="4"/>
        <v>4.0876000000000001</v>
      </c>
      <c r="K142" s="4">
        <f t="shared" si="5"/>
        <v>44</v>
      </c>
      <c r="N142" s="4">
        <v>0</v>
      </c>
      <c r="O142" s="4">
        <v>73.58</v>
      </c>
      <c r="P142" s="4">
        <v>482.34</v>
      </c>
      <c r="Q142" s="4">
        <v>0</v>
      </c>
    </row>
    <row r="143" spans="1:17">
      <c r="A143" s="13">
        <v>4</v>
      </c>
      <c r="B143" s="13">
        <v>27731</v>
      </c>
      <c r="C143" s="13" t="s">
        <v>400</v>
      </c>
      <c r="D143" s="13" t="s">
        <v>380</v>
      </c>
      <c r="E143" s="240">
        <v>42124</v>
      </c>
      <c r="F143" s="240">
        <v>42168</v>
      </c>
      <c r="G143" s="13">
        <v>4321.8</v>
      </c>
      <c r="H143" s="13">
        <v>0</v>
      </c>
      <c r="I143" s="13">
        <v>1</v>
      </c>
      <c r="J143" s="12">
        <f t="shared" si="4"/>
        <v>43.218000000000004</v>
      </c>
      <c r="K143" s="4">
        <f t="shared" si="5"/>
        <v>44</v>
      </c>
      <c r="N143" s="4">
        <v>0</v>
      </c>
      <c r="O143" s="4">
        <v>777.92</v>
      </c>
      <c r="P143" s="4">
        <v>5099.72</v>
      </c>
      <c r="Q143" s="4">
        <v>0</v>
      </c>
    </row>
    <row r="144" spans="1:17">
      <c r="A144" s="13">
        <v>4</v>
      </c>
      <c r="B144" s="13">
        <v>27728</v>
      </c>
      <c r="C144" s="13" t="s">
        <v>400</v>
      </c>
      <c r="D144" s="13" t="s">
        <v>380</v>
      </c>
      <c r="E144" s="240">
        <v>42124</v>
      </c>
      <c r="F144" s="240">
        <v>42185</v>
      </c>
      <c r="G144" s="13">
        <v>10804.5</v>
      </c>
      <c r="H144" s="13">
        <v>0</v>
      </c>
      <c r="I144" s="13">
        <v>1</v>
      </c>
      <c r="J144" s="12">
        <f t="shared" si="4"/>
        <v>108.045</v>
      </c>
      <c r="K144" s="4">
        <f t="shared" si="5"/>
        <v>61</v>
      </c>
      <c r="N144" s="4">
        <v>0</v>
      </c>
      <c r="O144" s="4">
        <v>1944.81</v>
      </c>
      <c r="P144" s="4">
        <v>12749.31</v>
      </c>
      <c r="Q144" s="4">
        <v>0</v>
      </c>
    </row>
    <row r="145" spans="1:17">
      <c r="A145" s="13">
        <v>4</v>
      </c>
      <c r="B145" s="13">
        <v>30649</v>
      </c>
      <c r="C145" s="13" t="s">
        <v>402</v>
      </c>
      <c r="D145" s="13" t="s">
        <v>380</v>
      </c>
      <c r="E145" s="240">
        <v>42167</v>
      </c>
      <c r="F145" s="240">
        <v>42168</v>
      </c>
      <c r="G145" s="13">
        <v>2881.2</v>
      </c>
      <c r="H145" s="13">
        <v>0</v>
      </c>
      <c r="I145" s="13">
        <v>1</v>
      </c>
      <c r="J145" s="12">
        <f t="shared" si="4"/>
        <v>28.811999999999998</v>
      </c>
      <c r="K145" s="4">
        <f t="shared" si="5"/>
        <v>1</v>
      </c>
      <c r="N145" s="4">
        <v>0</v>
      </c>
      <c r="O145" s="4">
        <v>518.62</v>
      </c>
      <c r="P145" s="4">
        <v>3399.82</v>
      </c>
      <c r="Q145" s="4">
        <v>0</v>
      </c>
    </row>
    <row r="146" spans="1:17">
      <c r="A146" s="13">
        <v>6</v>
      </c>
      <c r="B146" s="13">
        <v>863</v>
      </c>
      <c r="C146" s="13" t="s">
        <v>379</v>
      </c>
      <c r="D146" s="13" t="s">
        <v>380</v>
      </c>
      <c r="E146" s="240">
        <v>42108</v>
      </c>
      <c r="F146" s="240">
        <v>42160</v>
      </c>
      <c r="G146" s="13">
        <v>8008.47</v>
      </c>
      <c r="H146" s="13">
        <v>0</v>
      </c>
      <c r="I146" s="13">
        <v>1</v>
      </c>
      <c r="J146" s="12">
        <f t="shared" si="4"/>
        <v>80.084699999999998</v>
      </c>
      <c r="K146" s="4">
        <f t="shared" si="5"/>
        <v>52</v>
      </c>
      <c r="N146" s="4">
        <v>0</v>
      </c>
      <c r="O146" s="4">
        <v>1441.53</v>
      </c>
      <c r="P146" s="4">
        <v>9450</v>
      </c>
      <c r="Q146" s="4">
        <v>0</v>
      </c>
    </row>
    <row r="147" spans="1:17">
      <c r="A147" s="13">
        <v>6</v>
      </c>
      <c r="B147" s="13">
        <v>864</v>
      </c>
      <c r="C147" s="13" t="s">
        <v>379</v>
      </c>
      <c r="D147" s="13" t="s">
        <v>380</v>
      </c>
      <c r="E147" s="240">
        <v>42108</v>
      </c>
      <c r="F147" s="240">
        <v>42167</v>
      </c>
      <c r="G147" s="13">
        <v>7336.44</v>
      </c>
      <c r="H147" s="13">
        <v>0</v>
      </c>
      <c r="I147" s="13">
        <v>1</v>
      </c>
      <c r="J147" s="12">
        <f t="shared" si="4"/>
        <v>73.364400000000003</v>
      </c>
      <c r="K147" s="4">
        <f t="shared" si="5"/>
        <v>59</v>
      </c>
      <c r="N147" s="4">
        <v>0</v>
      </c>
      <c r="O147" s="4">
        <v>1320.56</v>
      </c>
      <c r="P147" s="4">
        <v>8657</v>
      </c>
      <c r="Q147" s="4">
        <v>0</v>
      </c>
    </row>
    <row r="148" spans="1:17">
      <c r="A148" s="13">
        <v>6</v>
      </c>
      <c r="B148" s="13">
        <v>878</v>
      </c>
      <c r="C148" s="13" t="s">
        <v>379</v>
      </c>
      <c r="D148" s="13" t="s">
        <v>380</v>
      </c>
      <c r="E148" s="240">
        <v>42112</v>
      </c>
      <c r="F148" s="240">
        <v>42160</v>
      </c>
      <c r="G148" s="13">
        <v>1855.93</v>
      </c>
      <c r="H148" s="13">
        <v>0</v>
      </c>
      <c r="I148" s="13">
        <v>1</v>
      </c>
      <c r="J148" s="12">
        <f t="shared" si="4"/>
        <v>18.5593</v>
      </c>
      <c r="K148" s="4">
        <f t="shared" si="5"/>
        <v>48</v>
      </c>
      <c r="N148" s="4">
        <v>0</v>
      </c>
      <c r="O148" s="4">
        <v>334.07</v>
      </c>
      <c r="P148" s="4">
        <v>2190</v>
      </c>
      <c r="Q148" s="4">
        <v>0</v>
      </c>
    </row>
    <row r="149" spans="1:17">
      <c r="G149" s="241">
        <f>SUM(G137:G148)</f>
        <v>39926.29</v>
      </c>
      <c r="H149" s="138"/>
      <c r="I149" s="138"/>
      <c r="J149" s="137">
        <f>SUM(J137:J148)</f>
        <v>399.2629</v>
      </c>
    </row>
    <row r="154" spans="1:17">
      <c r="B154" s="138" t="s">
        <v>403</v>
      </c>
      <c r="C154" s="244" t="s">
        <v>367</v>
      </c>
      <c r="D154" s="138" t="s">
        <v>406</v>
      </c>
    </row>
    <row r="156" spans="1:17" s="138" customFormat="1" ht="11.25">
      <c r="A156" s="248" t="s">
        <v>385</v>
      </c>
      <c r="B156" s="248" t="s">
        <v>370</v>
      </c>
      <c r="C156" s="248" t="s">
        <v>371</v>
      </c>
      <c r="D156" s="248" t="s">
        <v>372</v>
      </c>
      <c r="E156" s="248" t="s">
        <v>386</v>
      </c>
      <c r="F156" s="248" t="s">
        <v>396</v>
      </c>
      <c r="G156" s="248" t="s">
        <v>14</v>
      </c>
      <c r="H156" s="248" t="s">
        <v>397</v>
      </c>
      <c r="I156" s="248" t="s">
        <v>398</v>
      </c>
      <c r="J156" s="248" t="s">
        <v>399</v>
      </c>
    </row>
    <row r="157" spans="1:17">
      <c r="A157" s="13">
        <v>4</v>
      </c>
      <c r="B157" s="13">
        <v>24819</v>
      </c>
      <c r="C157" s="13" t="s">
        <v>400</v>
      </c>
      <c r="D157" s="13" t="s">
        <v>380</v>
      </c>
      <c r="E157" s="240">
        <v>42083</v>
      </c>
      <c r="F157" s="240">
        <v>42209</v>
      </c>
      <c r="G157" s="13">
        <v>7203</v>
      </c>
      <c r="H157" s="13">
        <v>0</v>
      </c>
      <c r="I157" s="13">
        <v>1</v>
      </c>
      <c r="J157" s="249">
        <f t="shared" ref="J157:J175" si="6">G157*I157%</f>
        <v>72.03</v>
      </c>
      <c r="M157" s="4">
        <v>0</v>
      </c>
      <c r="N157" s="4">
        <v>1296.54</v>
      </c>
      <c r="O157" s="4">
        <v>8499.5400000000009</v>
      </c>
      <c r="P157" s="4">
        <v>0</v>
      </c>
    </row>
    <row r="158" spans="1:17">
      <c r="A158" s="13">
        <v>4</v>
      </c>
      <c r="B158" s="13">
        <v>24821</v>
      </c>
      <c r="C158" s="13" t="s">
        <v>400</v>
      </c>
      <c r="D158" s="13" t="s">
        <v>380</v>
      </c>
      <c r="E158" s="240">
        <v>42083</v>
      </c>
      <c r="F158" s="240">
        <v>42209</v>
      </c>
      <c r="G158" s="13">
        <v>1272.96</v>
      </c>
      <c r="H158" s="13">
        <v>0</v>
      </c>
      <c r="I158" s="13">
        <v>1</v>
      </c>
      <c r="J158" s="249">
        <f t="shared" si="6"/>
        <v>12.729600000000001</v>
      </c>
      <c r="M158" s="4">
        <v>0</v>
      </c>
      <c r="N158" s="4">
        <v>229.13</v>
      </c>
      <c r="O158" s="4">
        <v>1502.09</v>
      </c>
      <c r="P158" s="4">
        <v>0</v>
      </c>
    </row>
    <row r="159" spans="1:17">
      <c r="A159" s="13">
        <v>4</v>
      </c>
      <c r="B159" s="13">
        <v>29617</v>
      </c>
      <c r="C159" s="13" t="s">
        <v>400</v>
      </c>
      <c r="D159" s="13" t="s">
        <v>380</v>
      </c>
      <c r="E159" s="240">
        <v>42152</v>
      </c>
      <c r="F159" s="240">
        <v>42209</v>
      </c>
      <c r="G159" s="13">
        <v>1667.16</v>
      </c>
      <c r="H159" s="13">
        <v>0</v>
      </c>
      <c r="I159" s="13">
        <v>1</v>
      </c>
      <c r="J159" s="249">
        <f t="shared" si="6"/>
        <v>16.671600000000002</v>
      </c>
      <c r="M159" s="4">
        <v>0</v>
      </c>
      <c r="N159" s="4">
        <v>300.08999999999997</v>
      </c>
      <c r="O159" s="4">
        <v>1967.25</v>
      </c>
      <c r="P159" s="4">
        <v>0</v>
      </c>
    </row>
    <row r="160" spans="1:17">
      <c r="A160" s="13">
        <v>4</v>
      </c>
      <c r="B160" s="13">
        <v>29616</v>
      </c>
      <c r="C160" s="13" t="s">
        <v>400</v>
      </c>
      <c r="D160" s="13" t="s">
        <v>380</v>
      </c>
      <c r="E160" s="240">
        <v>42152</v>
      </c>
      <c r="F160" s="240">
        <v>42209</v>
      </c>
      <c r="G160" s="13">
        <v>145.96</v>
      </c>
      <c r="H160" s="13">
        <v>0</v>
      </c>
      <c r="I160" s="13">
        <v>1</v>
      </c>
      <c r="J160" s="249">
        <f t="shared" si="6"/>
        <v>1.4596</v>
      </c>
      <c r="M160" s="4">
        <v>0</v>
      </c>
      <c r="N160" s="4">
        <v>26.27</v>
      </c>
      <c r="O160" s="4">
        <v>172.23</v>
      </c>
      <c r="P160" s="4">
        <v>0</v>
      </c>
    </row>
    <row r="161" spans="1:16">
      <c r="A161" s="13">
        <v>4</v>
      </c>
      <c r="B161" s="13">
        <v>29615</v>
      </c>
      <c r="C161" s="13" t="s">
        <v>400</v>
      </c>
      <c r="D161" s="13" t="s">
        <v>380</v>
      </c>
      <c r="E161" s="240">
        <v>42152</v>
      </c>
      <c r="F161" s="240">
        <v>42209</v>
      </c>
      <c r="G161" s="13">
        <v>10804.5</v>
      </c>
      <c r="H161" s="13">
        <v>0</v>
      </c>
      <c r="I161" s="13">
        <v>1</v>
      </c>
      <c r="J161" s="249">
        <f t="shared" si="6"/>
        <v>108.045</v>
      </c>
      <c r="M161" s="4">
        <v>0</v>
      </c>
      <c r="N161" s="4">
        <v>1944.81</v>
      </c>
      <c r="O161" s="4">
        <v>12749.31</v>
      </c>
      <c r="P161" s="4">
        <v>0</v>
      </c>
    </row>
    <row r="162" spans="1:16">
      <c r="A162" s="13">
        <v>4</v>
      </c>
      <c r="B162" s="13">
        <v>30606</v>
      </c>
      <c r="C162" s="13" t="s">
        <v>400</v>
      </c>
      <c r="D162" s="13" t="s">
        <v>380</v>
      </c>
      <c r="E162" s="240">
        <v>42167</v>
      </c>
      <c r="F162" s="240">
        <v>42209</v>
      </c>
      <c r="G162" s="13">
        <v>248.37</v>
      </c>
      <c r="H162" s="13">
        <v>0</v>
      </c>
      <c r="I162" s="13">
        <v>1</v>
      </c>
      <c r="J162" s="249">
        <f t="shared" si="6"/>
        <v>2.4837000000000002</v>
      </c>
      <c r="M162" s="4">
        <v>0</v>
      </c>
      <c r="N162" s="4">
        <v>44.71</v>
      </c>
      <c r="O162" s="4">
        <v>293.08</v>
      </c>
      <c r="P162" s="4">
        <v>0</v>
      </c>
    </row>
    <row r="163" spans="1:16">
      <c r="A163" s="13">
        <v>4</v>
      </c>
      <c r="B163" s="13">
        <v>31689</v>
      </c>
      <c r="C163" s="13" t="s">
        <v>400</v>
      </c>
      <c r="D163" s="13" t="s">
        <v>380</v>
      </c>
      <c r="E163" s="240">
        <v>42181</v>
      </c>
      <c r="F163" s="240">
        <v>42212</v>
      </c>
      <c r="G163" s="13">
        <v>21609</v>
      </c>
      <c r="H163" s="13">
        <v>0</v>
      </c>
      <c r="I163" s="13">
        <v>1</v>
      </c>
      <c r="J163" s="249">
        <f t="shared" si="6"/>
        <v>216.09</v>
      </c>
      <c r="M163" s="4">
        <v>0</v>
      </c>
      <c r="N163" s="4">
        <v>3889.62</v>
      </c>
      <c r="O163" s="4">
        <v>25498.62</v>
      </c>
      <c r="P163" s="4">
        <v>0</v>
      </c>
    </row>
    <row r="164" spans="1:16">
      <c r="A164" s="13">
        <v>4</v>
      </c>
      <c r="B164" s="13">
        <v>31692</v>
      </c>
      <c r="C164" s="13" t="s">
        <v>400</v>
      </c>
      <c r="D164" s="13" t="s">
        <v>380</v>
      </c>
      <c r="E164" s="240">
        <v>42181</v>
      </c>
      <c r="F164" s="240">
        <v>42209</v>
      </c>
      <c r="G164" s="13">
        <v>430.27</v>
      </c>
      <c r="H164" s="13">
        <v>0</v>
      </c>
      <c r="I164" s="13">
        <v>1</v>
      </c>
      <c r="J164" s="249">
        <f t="shared" si="6"/>
        <v>4.3026999999999997</v>
      </c>
      <c r="M164" s="4">
        <v>0</v>
      </c>
      <c r="N164" s="4">
        <v>77.45</v>
      </c>
      <c r="O164" s="4">
        <v>507.72</v>
      </c>
      <c r="P164" s="4">
        <v>0</v>
      </c>
    </row>
    <row r="165" spans="1:16">
      <c r="A165" s="13">
        <v>6</v>
      </c>
      <c r="B165" s="13">
        <v>641</v>
      </c>
      <c r="C165" s="13" t="s">
        <v>379</v>
      </c>
      <c r="D165" s="13" t="s">
        <v>380</v>
      </c>
      <c r="E165" s="240">
        <v>41967</v>
      </c>
      <c r="F165" s="240">
        <v>42202</v>
      </c>
      <c r="G165" s="13">
        <v>4703.3900000000003</v>
      </c>
      <c r="H165" s="13">
        <v>0</v>
      </c>
      <c r="I165" s="13">
        <v>1</v>
      </c>
      <c r="J165" s="249">
        <f t="shared" si="6"/>
        <v>47.033900000000003</v>
      </c>
      <c r="M165" s="4">
        <v>0</v>
      </c>
      <c r="N165" s="4">
        <v>846.61</v>
      </c>
      <c r="O165" s="4">
        <v>5550</v>
      </c>
      <c r="P165" s="4">
        <v>0</v>
      </c>
    </row>
    <row r="166" spans="1:16">
      <c r="A166" s="13">
        <v>6</v>
      </c>
      <c r="B166" s="13">
        <v>651</v>
      </c>
      <c r="C166" s="13" t="s">
        <v>379</v>
      </c>
      <c r="D166" s="13" t="s">
        <v>380</v>
      </c>
      <c r="E166" s="240">
        <v>41969</v>
      </c>
      <c r="F166" s="240">
        <v>42202</v>
      </c>
      <c r="G166" s="13">
        <v>4711.8599999999997</v>
      </c>
      <c r="H166" s="13">
        <v>0</v>
      </c>
      <c r="I166" s="13">
        <v>1</v>
      </c>
      <c r="J166" s="249">
        <f t="shared" si="6"/>
        <v>47.118600000000001</v>
      </c>
      <c r="M166" s="4">
        <v>0</v>
      </c>
      <c r="N166" s="4">
        <v>848.14</v>
      </c>
      <c r="O166" s="4">
        <v>5560</v>
      </c>
      <c r="P166" s="4">
        <v>0</v>
      </c>
    </row>
    <row r="167" spans="1:16">
      <c r="A167" s="13">
        <v>6</v>
      </c>
      <c r="B167" s="13">
        <v>650</v>
      </c>
      <c r="C167" s="13" t="s">
        <v>379</v>
      </c>
      <c r="D167" s="13" t="s">
        <v>380</v>
      </c>
      <c r="E167" s="240">
        <v>41969</v>
      </c>
      <c r="F167" s="240">
        <v>42202</v>
      </c>
      <c r="G167" s="13">
        <v>9279.66</v>
      </c>
      <c r="H167" s="13">
        <v>0</v>
      </c>
      <c r="I167" s="13">
        <v>1</v>
      </c>
      <c r="J167" s="249">
        <f t="shared" si="6"/>
        <v>92.796599999999998</v>
      </c>
      <c r="M167" s="4">
        <v>0</v>
      </c>
      <c r="N167" s="4">
        <v>1670.34</v>
      </c>
      <c r="O167" s="4">
        <v>10950</v>
      </c>
      <c r="P167" s="4">
        <v>0</v>
      </c>
    </row>
    <row r="168" spans="1:16">
      <c r="A168" s="13">
        <v>6</v>
      </c>
      <c r="B168" s="13">
        <v>667</v>
      </c>
      <c r="C168" s="13" t="s">
        <v>379</v>
      </c>
      <c r="D168" s="13" t="s">
        <v>380</v>
      </c>
      <c r="E168" s="240">
        <v>41978</v>
      </c>
      <c r="F168" s="240">
        <v>42202</v>
      </c>
      <c r="G168" s="13">
        <v>5593.22</v>
      </c>
      <c r="H168" s="13">
        <v>0</v>
      </c>
      <c r="I168" s="13">
        <v>1</v>
      </c>
      <c r="J168" s="249">
        <f t="shared" si="6"/>
        <v>55.932200000000002</v>
      </c>
      <c r="M168" s="4">
        <v>0</v>
      </c>
      <c r="N168" s="4">
        <v>1006.78</v>
      </c>
      <c r="O168" s="4">
        <v>6600</v>
      </c>
      <c r="P168" s="4">
        <v>0</v>
      </c>
    </row>
    <row r="169" spans="1:16">
      <c r="A169" s="13">
        <v>6</v>
      </c>
      <c r="B169" s="13">
        <v>673</v>
      </c>
      <c r="C169" s="13" t="s">
        <v>379</v>
      </c>
      <c r="D169" s="13" t="s">
        <v>380</v>
      </c>
      <c r="E169" s="240">
        <v>41985</v>
      </c>
      <c r="F169" s="240">
        <v>42202</v>
      </c>
      <c r="G169" s="13">
        <v>5483.05</v>
      </c>
      <c r="H169" s="13">
        <v>0</v>
      </c>
      <c r="I169" s="13">
        <v>1</v>
      </c>
      <c r="J169" s="249">
        <f t="shared" si="6"/>
        <v>54.830500000000001</v>
      </c>
      <c r="M169" s="4">
        <v>0</v>
      </c>
      <c r="N169" s="4">
        <v>986.95</v>
      </c>
      <c r="O169" s="4">
        <v>6470</v>
      </c>
      <c r="P169" s="4">
        <v>0</v>
      </c>
    </row>
    <row r="170" spans="1:16">
      <c r="A170" s="13">
        <v>6</v>
      </c>
      <c r="B170" s="13">
        <v>677</v>
      </c>
      <c r="C170" s="13" t="s">
        <v>379</v>
      </c>
      <c r="D170" s="13" t="s">
        <v>380</v>
      </c>
      <c r="E170" s="240">
        <v>41988</v>
      </c>
      <c r="F170" s="240">
        <v>42202</v>
      </c>
      <c r="G170" s="13">
        <v>2440.6799999999998</v>
      </c>
      <c r="H170" s="13">
        <v>0</v>
      </c>
      <c r="I170" s="13">
        <v>1</v>
      </c>
      <c r="J170" s="249">
        <f t="shared" si="6"/>
        <v>24.4068</v>
      </c>
      <c r="M170" s="4">
        <v>0</v>
      </c>
      <c r="N170" s="4">
        <v>439.32</v>
      </c>
      <c r="O170" s="4">
        <v>2880</v>
      </c>
      <c r="P170" s="4">
        <v>0</v>
      </c>
    </row>
    <row r="171" spans="1:16">
      <c r="A171" s="13">
        <v>6</v>
      </c>
      <c r="B171" s="13">
        <v>700</v>
      </c>
      <c r="C171" s="13" t="s">
        <v>379</v>
      </c>
      <c r="D171" s="13" t="s">
        <v>380</v>
      </c>
      <c r="E171" s="240">
        <v>41995</v>
      </c>
      <c r="F171" s="240">
        <v>42202</v>
      </c>
      <c r="G171" s="13">
        <v>3135.59</v>
      </c>
      <c r="H171" s="13">
        <v>0</v>
      </c>
      <c r="I171" s="13">
        <v>1</v>
      </c>
      <c r="J171" s="249">
        <f t="shared" si="6"/>
        <v>31.355900000000002</v>
      </c>
      <c r="M171" s="4">
        <v>0</v>
      </c>
      <c r="N171" s="4">
        <v>564.41</v>
      </c>
      <c r="O171" s="4">
        <v>3700</v>
      </c>
      <c r="P171" s="4">
        <v>0</v>
      </c>
    </row>
    <row r="172" spans="1:16">
      <c r="A172" s="13">
        <v>6</v>
      </c>
      <c r="B172" s="13">
        <v>862</v>
      </c>
      <c r="C172" s="13" t="s">
        <v>379</v>
      </c>
      <c r="D172" s="13" t="s">
        <v>380</v>
      </c>
      <c r="E172" s="240">
        <v>42108</v>
      </c>
      <c r="F172" s="240">
        <v>42212</v>
      </c>
      <c r="G172" s="13">
        <v>3101.69</v>
      </c>
      <c r="H172" s="13">
        <v>0</v>
      </c>
      <c r="I172" s="13">
        <v>1</v>
      </c>
      <c r="J172" s="249">
        <f t="shared" si="6"/>
        <v>31.0169</v>
      </c>
      <c r="M172" s="4">
        <v>0</v>
      </c>
      <c r="N172" s="4">
        <v>558.30999999999995</v>
      </c>
      <c r="O172" s="4">
        <v>3660</v>
      </c>
      <c r="P172" s="4">
        <v>0</v>
      </c>
    </row>
    <row r="173" spans="1:16">
      <c r="A173" s="13">
        <v>6</v>
      </c>
      <c r="B173" s="13">
        <v>918</v>
      </c>
      <c r="C173" s="13" t="s">
        <v>379</v>
      </c>
      <c r="D173" s="13" t="s">
        <v>380</v>
      </c>
      <c r="E173" s="240">
        <v>42132</v>
      </c>
      <c r="F173" s="240">
        <v>42186</v>
      </c>
      <c r="G173" s="13">
        <v>8703.98</v>
      </c>
      <c r="H173" s="13">
        <v>0</v>
      </c>
      <c r="I173" s="13">
        <v>1</v>
      </c>
      <c r="J173" s="249">
        <f t="shared" si="6"/>
        <v>87.0398</v>
      </c>
      <c r="M173" s="4">
        <v>0</v>
      </c>
      <c r="N173" s="4">
        <v>1566.72</v>
      </c>
      <c r="O173" s="4">
        <v>10270.700000000001</v>
      </c>
      <c r="P173" s="4">
        <v>0</v>
      </c>
    </row>
    <row r="174" spans="1:16">
      <c r="A174" s="13">
        <v>6</v>
      </c>
      <c r="B174" s="13">
        <v>935</v>
      </c>
      <c r="C174" s="13" t="s">
        <v>379</v>
      </c>
      <c r="D174" s="13" t="s">
        <v>380</v>
      </c>
      <c r="E174" s="240">
        <v>42149</v>
      </c>
      <c r="F174" s="240">
        <v>42198</v>
      </c>
      <c r="G174" s="13">
        <v>188.14</v>
      </c>
      <c r="H174" s="13">
        <v>0</v>
      </c>
      <c r="I174" s="13">
        <v>1</v>
      </c>
      <c r="J174" s="249">
        <f t="shared" si="6"/>
        <v>1.8814</v>
      </c>
      <c r="M174" s="4">
        <v>0</v>
      </c>
      <c r="N174" s="4">
        <v>33.86</v>
      </c>
      <c r="O174" s="4">
        <v>222</v>
      </c>
      <c r="P174" s="4">
        <v>0</v>
      </c>
    </row>
    <row r="175" spans="1:16">
      <c r="A175" s="13">
        <v>6</v>
      </c>
      <c r="B175" s="13">
        <v>940</v>
      </c>
      <c r="C175" s="13" t="s">
        <v>379</v>
      </c>
      <c r="D175" s="13" t="s">
        <v>380</v>
      </c>
      <c r="E175" s="240">
        <v>42152</v>
      </c>
      <c r="F175" s="240">
        <v>42216</v>
      </c>
      <c r="G175" s="13">
        <v>2288.14</v>
      </c>
      <c r="H175" s="13">
        <v>0</v>
      </c>
      <c r="I175" s="13">
        <v>1</v>
      </c>
      <c r="J175" s="249">
        <f t="shared" si="6"/>
        <v>22.881399999999999</v>
      </c>
      <c r="M175" s="4">
        <v>0</v>
      </c>
      <c r="N175" s="4">
        <v>411.86</v>
      </c>
      <c r="O175" s="4">
        <v>2700</v>
      </c>
      <c r="P175" s="4">
        <v>0</v>
      </c>
    </row>
    <row r="176" spans="1:16">
      <c r="G176" s="241">
        <f>SUM(G157:G175)</f>
        <v>93010.619999999981</v>
      </c>
      <c r="J176" s="137">
        <f>SUM(J157:J175)</f>
        <v>930.10619999999994</v>
      </c>
    </row>
    <row r="180" spans="1:17">
      <c r="B180" s="138" t="s">
        <v>403</v>
      </c>
      <c r="C180" s="244" t="s">
        <v>367</v>
      </c>
      <c r="D180" s="138" t="s">
        <v>407</v>
      </c>
    </row>
    <row r="182" spans="1:17">
      <c r="A182" s="248" t="s">
        <v>385</v>
      </c>
      <c r="B182" s="248" t="s">
        <v>370</v>
      </c>
      <c r="C182" s="248" t="s">
        <v>371</v>
      </c>
      <c r="D182" s="248" t="s">
        <v>372</v>
      </c>
      <c r="E182" s="248" t="s">
        <v>386</v>
      </c>
      <c r="F182" s="248" t="s">
        <v>396</v>
      </c>
      <c r="G182" s="248" t="s">
        <v>14</v>
      </c>
      <c r="H182" s="248" t="s">
        <v>397</v>
      </c>
      <c r="I182" s="248" t="s">
        <v>398</v>
      </c>
      <c r="J182" s="248" t="s">
        <v>399</v>
      </c>
    </row>
    <row r="183" spans="1:17">
      <c r="A183" s="13">
        <v>4</v>
      </c>
      <c r="B183" s="13">
        <v>15494</v>
      </c>
      <c r="C183" s="13" t="s">
        <v>400</v>
      </c>
      <c r="D183" s="13" t="s">
        <v>380</v>
      </c>
      <c r="E183" s="240">
        <v>41929</v>
      </c>
      <c r="F183" s="240">
        <v>42229</v>
      </c>
      <c r="G183" s="13">
        <v>1255.6199999999999</v>
      </c>
      <c r="H183" s="12">
        <v>0</v>
      </c>
      <c r="I183" s="12">
        <v>1</v>
      </c>
      <c r="J183" s="12">
        <f>G183*I183%</f>
        <v>12.556199999999999</v>
      </c>
      <c r="L183" s="4">
        <v>0</v>
      </c>
      <c r="M183" s="4">
        <v>226.01</v>
      </c>
      <c r="N183" s="4">
        <v>1481.63</v>
      </c>
      <c r="O183" s="4">
        <v>0</v>
      </c>
    </row>
    <row r="184" spans="1:17">
      <c r="A184" s="13">
        <v>6</v>
      </c>
      <c r="B184" s="13">
        <v>1013</v>
      </c>
      <c r="C184" s="13" t="s">
        <v>379</v>
      </c>
      <c r="D184" s="13" t="s">
        <v>380</v>
      </c>
      <c r="E184" s="240">
        <v>42205</v>
      </c>
      <c r="F184" s="240">
        <v>42244</v>
      </c>
      <c r="G184" s="13">
        <v>847.46</v>
      </c>
      <c r="H184" s="12">
        <v>0</v>
      </c>
      <c r="I184" s="12">
        <v>1</v>
      </c>
      <c r="J184" s="12">
        <f>G184*I184%</f>
        <v>8.4746000000000006</v>
      </c>
      <c r="L184" s="4">
        <v>0</v>
      </c>
      <c r="M184" s="4">
        <v>152.54</v>
      </c>
      <c r="N184" s="4">
        <v>1000</v>
      </c>
      <c r="O184" s="4">
        <v>0</v>
      </c>
    </row>
    <row r="185" spans="1:17">
      <c r="G185" s="241">
        <f>SUM(G183:G184)</f>
        <v>2103.08</v>
      </c>
      <c r="J185" s="137">
        <f>SUM(J183:J184)</f>
        <v>21.030799999999999</v>
      </c>
    </row>
    <row r="187" spans="1:17">
      <c r="B187" s="138" t="s">
        <v>394</v>
      </c>
      <c r="C187" s="244" t="s">
        <v>367</v>
      </c>
      <c r="D187" s="138" t="s">
        <v>407</v>
      </c>
    </row>
    <row r="189" spans="1:17">
      <c r="A189" s="248" t="s">
        <v>385</v>
      </c>
      <c r="B189" s="248" t="s">
        <v>370</v>
      </c>
      <c r="C189" s="248" t="s">
        <v>371</v>
      </c>
      <c r="D189" s="248" t="s">
        <v>372</v>
      </c>
      <c r="E189" s="248" t="s">
        <v>386</v>
      </c>
      <c r="F189" s="248" t="s">
        <v>396</v>
      </c>
      <c r="G189" s="248" t="s">
        <v>14</v>
      </c>
      <c r="H189" s="248" t="s">
        <v>397</v>
      </c>
      <c r="I189" s="248" t="s">
        <v>398</v>
      </c>
      <c r="J189" s="248" t="s">
        <v>399</v>
      </c>
    </row>
    <row r="190" spans="1:17">
      <c r="A190" s="13">
        <v>4</v>
      </c>
      <c r="B190" s="13">
        <v>32626</v>
      </c>
      <c r="C190" s="13" t="s">
        <v>400</v>
      </c>
      <c r="D190" s="13" t="s">
        <v>380</v>
      </c>
      <c r="E190" s="240">
        <v>42193</v>
      </c>
      <c r="F190" s="13"/>
      <c r="G190" s="13">
        <v>2581.63</v>
      </c>
      <c r="H190" s="12">
        <v>0</v>
      </c>
      <c r="I190" s="13">
        <v>1</v>
      </c>
      <c r="J190" s="12">
        <f t="shared" ref="J190:J199" si="7">G190*I190%</f>
        <v>25.816300000000002</v>
      </c>
      <c r="N190" s="4">
        <v>0</v>
      </c>
      <c r="O190" s="4">
        <v>464.69</v>
      </c>
      <c r="P190" s="4">
        <v>3046.32</v>
      </c>
      <c r="Q190" s="4">
        <v>0</v>
      </c>
    </row>
    <row r="191" spans="1:17">
      <c r="A191" s="13">
        <v>4</v>
      </c>
      <c r="B191" s="13">
        <v>32625</v>
      </c>
      <c r="C191" s="13" t="s">
        <v>400</v>
      </c>
      <c r="D191" s="13" t="s">
        <v>380</v>
      </c>
      <c r="E191" s="240">
        <v>42193</v>
      </c>
      <c r="F191" s="13"/>
      <c r="G191" s="13">
        <v>860.54</v>
      </c>
      <c r="H191" s="12">
        <v>0</v>
      </c>
      <c r="I191" s="13">
        <v>1</v>
      </c>
      <c r="J191" s="12">
        <f t="shared" si="7"/>
        <v>8.6053999999999995</v>
      </c>
      <c r="N191" s="4">
        <v>0</v>
      </c>
      <c r="O191" s="4">
        <v>154.9</v>
      </c>
      <c r="P191" s="4">
        <v>1015.44</v>
      </c>
      <c r="Q191" s="4">
        <v>0</v>
      </c>
    </row>
    <row r="192" spans="1:17">
      <c r="A192" s="13">
        <v>4</v>
      </c>
      <c r="B192" s="13">
        <v>34255</v>
      </c>
      <c r="C192" s="13" t="s">
        <v>400</v>
      </c>
      <c r="D192" s="13" t="s">
        <v>380</v>
      </c>
      <c r="E192" s="240">
        <v>42215</v>
      </c>
      <c r="F192" s="13"/>
      <c r="G192" s="13">
        <v>430.27</v>
      </c>
      <c r="H192" s="12">
        <v>0</v>
      </c>
      <c r="I192" s="13">
        <v>1</v>
      </c>
      <c r="J192" s="12">
        <f t="shared" si="7"/>
        <v>4.3026999999999997</v>
      </c>
      <c r="N192" s="4">
        <v>0</v>
      </c>
      <c r="O192" s="4">
        <v>77.45</v>
      </c>
      <c r="P192" s="4">
        <v>507.72</v>
      </c>
      <c r="Q192" s="4">
        <v>0</v>
      </c>
    </row>
    <row r="193" spans="1:18">
      <c r="A193" s="13">
        <v>4</v>
      </c>
      <c r="B193" s="13">
        <v>34303</v>
      </c>
      <c r="C193" s="13" t="s">
        <v>400</v>
      </c>
      <c r="D193" s="13" t="s">
        <v>380</v>
      </c>
      <c r="E193" s="240">
        <v>42216</v>
      </c>
      <c r="F193" s="13"/>
      <c r="G193" s="13">
        <v>10804.51</v>
      </c>
      <c r="H193" s="12">
        <v>0</v>
      </c>
      <c r="I193" s="13">
        <v>1</v>
      </c>
      <c r="J193" s="12">
        <f t="shared" si="7"/>
        <v>108.04510000000001</v>
      </c>
      <c r="N193" s="4">
        <v>0</v>
      </c>
      <c r="O193" s="4">
        <v>1944.81</v>
      </c>
      <c r="P193" s="4">
        <v>12749.32</v>
      </c>
      <c r="Q193" s="4">
        <v>0</v>
      </c>
    </row>
    <row r="194" spans="1:18">
      <c r="A194" s="13">
        <v>4</v>
      </c>
      <c r="B194" s="13">
        <v>34302</v>
      </c>
      <c r="C194" s="13" t="s">
        <v>400</v>
      </c>
      <c r="D194" s="13" t="s">
        <v>380</v>
      </c>
      <c r="E194" s="240">
        <v>42216</v>
      </c>
      <c r="F194" s="13"/>
      <c r="G194" s="13">
        <v>4321.8</v>
      </c>
      <c r="H194" s="12">
        <v>0</v>
      </c>
      <c r="I194" s="13">
        <v>1</v>
      </c>
      <c r="J194" s="12">
        <f t="shared" si="7"/>
        <v>43.218000000000004</v>
      </c>
      <c r="N194" s="4">
        <v>0</v>
      </c>
      <c r="O194" s="4">
        <v>777.92</v>
      </c>
      <c r="P194" s="4">
        <v>5099.72</v>
      </c>
      <c r="Q194" s="4">
        <v>0</v>
      </c>
    </row>
    <row r="195" spans="1:18">
      <c r="A195" s="13">
        <v>4</v>
      </c>
      <c r="B195" s="13">
        <v>33385</v>
      </c>
      <c r="C195" s="13" t="s">
        <v>400</v>
      </c>
      <c r="D195" s="13" t="s">
        <v>380</v>
      </c>
      <c r="E195" s="240">
        <v>42202</v>
      </c>
      <c r="F195" s="13"/>
      <c r="G195" s="13">
        <v>192.75</v>
      </c>
      <c r="H195" s="12">
        <v>0</v>
      </c>
      <c r="I195" s="13">
        <v>1</v>
      </c>
      <c r="J195" s="12">
        <f t="shared" si="7"/>
        <v>1.9275</v>
      </c>
      <c r="N195" s="4">
        <v>0</v>
      </c>
      <c r="O195" s="4">
        <v>34.700000000000003</v>
      </c>
      <c r="P195" s="4">
        <v>227.45</v>
      </c>
      <c r="Q195" s="4">
        <v>0</v>
      </c>
    </row>
    <row r="196" spans="1:18">
      <c r="A196" s="13">
        <v>4</v>
      </c>
      <c r="B196" s="13">
        <v>34256</v>
      </c>
      <c r="C196" s="13" t="s">
        <v>400</v>
      </c>
      <c r="D196" s="13" t="s">
        <v>380</v>
      </c>
      <c r="E196" s="240">
        <v>42215</v>
      </c>
      <c r="F196" s="13"/>
      <c r="G196" s="13">
        <v>860.54</v>
      </c>
      <c r="H196" s="12">
        <v>0</v>
      </c>
      <c r="I196" s="13">
        <v>1</v>
      </c>
      <c r="J196" s="12">
        <f t="shared" si="7"/>
        <v>8.6053999999999995</v>
      </c>
      <c r="N196" s="4">
        <v>0</v>
      </c>
      <c r="O196" s="4">
        <v>154.9</v>
      </c>
      <c r="P196" s="4">
        <v>1015.44</v>
      </c>
      <c r="Q196" s="4">
        <v>0</v>
      </c>
    </row>
    <row r="197" spans="1:18">
      <c r="A197" s="13">
        <v>6</v>
      </c>
      <c r="B197" s="13">
        <v>1008</v>
      </c>
      <c r="C197" s="13" t="s">
        <v>379</v>
      </c>
      <c r="D197" s="13" t="s">
        <v>380</v>
      </c>
      <c r="E197" s="240">
        <v>42200</v>
      </c>
      <c r="F197" s="13"/>
      <c r="G197" s="13">
        <v>6868.31</v>
      </c>
      <c r="H197" s="12">
        <v>0</v>
      </c>
      <c r="I197" s="13">
        <v>1</v>
      </c>
      <c r="J197" s="12">
        <f t="shared" si="7"/>
        <v>68.68310000000001</v>
      </c>
      <c r="N197" s="4">
        <v>0</v>
      </c>
      <c r="O197" s="4">
        <v>1236.29</v>
      </c>
      <c r="P197" s="4">
        <v>8104.6</v>
      </c>
      <c r="Q197" s="4">
        <v>0</v>
      </c>
    </row>
    <row r="198" spans="1:18">
      <c r="A198" s="13">
        <v>6</v>
      </c>
      <c r="B198" s="13">
        <v>1014</v>
      </c>
      <c r="C198" s="13" t="s">
        <v>379</v>
      </c>
      <c r="D198" s="13" t="s">
        <v>380</v>
      </c>
      <c r="E198" s="240">
        <v>42206</v>
      </c>
      <c r="F198" s="13"/>
      <c r="G198" s="13">
        <v>8855.93</v>
      </c>
      <c r="H198" s="12">
        <v>0</v>
      </c>
      <c r="I198" s="13">
        <v>1</v>
      </c>
      <c r="J198" s="12">
        <f t="shared" si="7"/>
        <v>88.559300000000007</v>
      </c>
      <c r="N198" s="4">
        <v>0</v>
      </c>
      <c r="O198" s="4">
        <v>1594.07</v>
      </c>
      <c r="P198" s="4">
        <v>10450</v>
      </c>
      <c r="Q198" s="4">
        <v>0</v>
      </c>
    </row>
    <row r="199" spans="1:18">
      <c r="A199" s="13">
        <v>6</v>
      </c>
      <c r="B199" s="13">
        <v>1013</v>
      </c>
      <c r="C199" s="13" t="s">
        <v>379</v>
      </c>
      <c r="D199" s="13" t="s">
        <v>380</v>
      </c>
      <c r="E199" s="240">
        <v>42205</v>
      </c>
      <c r="F199" s="240">
        <v>42244</v>
      </c>
      <c r="G199" s="13">
        <v>847.46</v>
      </c>
      <c r="H199" s="12">
        <v>0</v>
      </c>
      <c r="I199" s="13">
        <v>1</v>
      </c>
      <c r="J199" s="12">
        <f t="shared" si="7"/>
        <v>8.4746000000000006</v>
      </c>
      <c r="N199" s="4">
        <v>0</v>
      </c>
      <c r="O199" s="4">
        <v>152.54</v>
      </c>
      <c r="P199" s="4">
        <v>1000</v>
      </c>
      <c r="Q199" s="4">
        <v>0</v>
      </c>
    </row>
    <row r="200" spans="1:18">
      <c r="G200" s="241">
        <f>SUM(G190:G199)</f>
        <v>36623.74</v>
      </c>
      <c r="J200" s="137">
        <f>SUM(J190:J199)</f>
        <v>366.23740000000004</v>
      </c>
    </row>
    <row r="203" spans="1:18">
      <c r="B203" s="138" t="s">
        <v>403</v>
      </c>
      <c r="C203" s="244" t="s">
        <v>367</v>
      </c>
      <c r="D203" s="138" t="s">
        <v>408</v>
      </c>
    </row>
    <row r="205" spans="1:18">
      <c r="A205" s="248" t="s">
        <v>385</v>
      </c>
      <c r="B205" s="248" t="s">
        <v>370</v>
      </c>
      <c r="C205" s="248" t="s">
        <v>371</v>
      </c>
      <c r="D205" s="248" t="s">
        <v>372</v>
      </c>
      <c r="E205" s="248" t="s">
        <v>386</v>
      </c>
      <c r="F205" s="248" t="s">
        <v>396</v>
      </c>
      <c r="G205" s="248" t="s">
        <v>14</v>
      </c>
      <c r="H205" s="248" t="s">
        <v>397</v>
      </c>
      <c r="I205" s="248" t="s">
        <v>398</v>
      </c>
      <c r="J205" s="248" t="s">
        <v>399</v>
      </c>
    </row>
    <row r="206" spans="1:18">
      <c r="A206" s="13">
        <v>4</v>
      </c>
      <c r="B206" s="13">
        <v>31691</v>
      </c>
      <c r="C206" s="13" t="s">
        <v>400</v>
      </c>
      <c r="D206" s="13" t="s">
        <v>380</v>
      </c>
      <c r="E206" s="240">
        <v>42181</v>
      </c>
      <c r="F206" s="240">
        <v>42265</v>
      </c>
      <c r="G206" s="13">
        <v>10804.5</v>
      </c>
      <c r="H206" s="12">
        <v>0</v>
      </c>
      <c r="I206" s="12">
        <v>1</v>
      </c>
      <c r="J206" s="12">
        <f t="shared" ref="J206:J216" si="8">G206*I206%</f>
        <v>108.045</v>
      </c>
      <c r="K206" s="242"/>
      <c r="L206" s="242"/>
      <c r="M206" s="242"/>
      <c r="N206" s="4">
        <v>10804.5</v>
      </c>
      <c r="O206" s="4">
        <v>0</v>
      </c>
      <c r="P206" s="4">
        <v>1944.81</v>
      </c>
      <c r="Q206" s="4">
        <v>12749.31</v>
      </c>
      <c r="R206" s="4">
        <v>0</v>
      </c>
    </row>
    <row r="207" spans="1:18">
      <c r="A207" s="13">
        <v>4</v>
      </c>
      <c r="B207" s="13">
        <v>33385</v>
      </c>
      <c r="C207" s="13" t="s">
        <v>400</v>
      </c>
      <c r="D207" s="13" t="s">
        <v>380</v>
      </c>
      <c r="E207" s="240">
        <v>42202</v>
      </c>
      <c r="F207" s="240">
        <v>42265</v>
      </c>
      <c r="G207" s="13">
        <v>192.75</v>
      </c>
      <c r="H207" s="12">
        <v>0</v>
      </c>
      <c r="I207" s="12">
        <v>1</v>
      </c>
      <c r="J207" s="12">
        <f t="shared" si="8"/>
        <v>1.9275</v>
      </c>
      <c r="K207" s="242"/>
      <c r="L207" s="242"/>
      <c r="M207" s="242"/>
      <c r="N207" s="4">
        <v>192.75</v>
      </c>
      <c r="O207" s="4">
        <v>0</v>
      </c>
      <c r="P207" s="4">
        <v>34.700000000000003</v>
      </c>
      <c r="Q207" s="4">
        <v>227.45</v>
      </c>
      <c r="R207" s="4">
        <v>0</v>
      </c>
    </row>
    <row r="208" spans="1:18">
      <c r="A208" s="13">
        <v>4</v>
      </c>
      <c r="B208" s="13">
        <v>34255</v>
      </c>
      <c r="C208" s="13" t="s">
        <v>400</v>
      </c>
      <c r="D208" s="13" t="s">
        <v>380</v>
      </c>
      <c r="E208" s="240">
        <v>42215</v>
      </c>
      <c r="F208" s="240">
        <v>42265</v>
      </c>
      <c r="G208" s="13">
        <v>430.27</v>
      </c>
      <c r="H208" s="12">
        <v>0</v>
      </c>
      <c r="I208" s="12">
        <v>1</v>
      </c>
      <c r="J208" s="12">
        <f t="shared" si="8"/>
        <v>4.3026999999999997</v>
      </c>
      <c r="K208" s="242"/>
      <c r="L208" s="242"/>
      <c r="M208" s="242"/>
      <c r="N208" s="4">
        <v>430.27</v>
      </c>
      <c r="O208" s="4">
        <v>0</v>
      </c>
      <c r="P208" s="4">
        <v>77.45</v>
      </c>
      <c r="Q208" s="4">
        <v>507.72</v>
      </c>
      <c r="R208" s="4">
        <v>0</v>
      </c>
    </row>
    <row r="209" spans="1:18">
      <c r="A209" s="13">
        <v>4</v>
      </c>
      <c r="B209" s="13">
        <v>34256</v>
      </c>
      <c r="C209" s="13" t="s">
        <v>400</v>
      </c>
      <c r="D209" s="13" t="s">
        <v>380</v>
      </c>
      <c r="E209" s="240">
        <v>42215</v>
      </c>
      <c r="F209" s="240">
        <v>42269</v>
      </c>
      <c r="G209" s="13">
        <v>860.54</v>
      </c>
      <c r="H209" s="12">
        <v>0</v>
      </c>
      <c r="I209" s="12">
        <v>1</v>
      </c>
      <c r="J209" s="12">
        <f t="shared" si="8"/>
        <v>8.6053999999999995</v>
      </c>
      <c r="K209" s="242"/>
      <c r="L209" s="242"/>
      <c r="M209" s="242"/>
      <c r="N209" s="4">
        <v>860.54</v>
      </c>
      <c r="O209" s="4">
        <v>0</v>
      </c>
      <c r="P209" s="4">
        <v>154.9</v>
      </c>
      <c r="Q209" s="4">
        <v>1015.44</v>
      </c>
      <c r="R209" s="4">
        <v>0</v>
      </c>
    </row>
    <row r="210" spans="1:18">
      <c r="A210" s="13">
        <v>4</v>
      </c>
      <c r="B210" s="13">
        <v>31690</v>
      </c>
      <c r="C210" s="13" t="s">
        <v>400</v>
      </c>
      <c r="D210" s="13" t="s">
        <v>380</v>
      </c>
      <c r="E210" s="240">
        <v>42181</v>
      </c>
      <c r="F210" s="240">
        <v>42265</v>
      </c>
      <c r="G210" s="13">
        <v>860.54</v>
      </c>
      <c r="H210" s="12">
        <v>0</v>
      </c>
      <c r="I210" s="12">
        <v>1</v>
      </c>
      <c r="J210" s="12">
        <f t="shared" si="8"/>
        <v>8.6053999999999995</v>
      </c>
      <c r="K210" s="242"/>
      <c r="L210" s="242"/>
      <c r="M210" s="242"/>
      <c r="N210" s="4">
        <v>860.54</v>
      </c>
      <c r="O210" s="4">
        <v>0</v>
      </c>
      <c r="P210" s="4">
        <v>154.9</v>
      </c>
      <c r="Q210" s="4">
        <v>1015.44</v>
      </c>
      <c r="R210" s="4">
        <v>0</v>
      </c>
    </row>
    <row r="211" spans="1:18">
      <c r="A211" s="13">
        <v>4</v>
      </c>
      <c r="B211" s="13">
        <v>32625</v>
      </c>
      <c r="C211" s="13" t="s">
        <v>400</v>
      </c>
      <c r="D211" s="13" t="s">
        <v>380</v>
      </c>
      <c r="E211" s="240">
        <v>42193</v>
      </c>
      <c r="F211" s="240">
        <v>42265</v>
      </c>
      <c r="G211" s="13">
        <v>860.54</v>
      </c>
      <c r="H211" s="12">
        <v>0</v>
      </c>
      <c r="I211" s="12">
        <v>1</v>
      </c>
      <c r="J211" s="12">
        <f t="shared" si="8"/>
        <v>8.6053999999999995</v>
      </c>
      <c r="K211" s="242"/>
      <c r="L211" s="242"/>
      <c r="M211" s="242"/>
      <c r="N211" s="4">
        <v>860.54</v>
      </c>
      <c r="O211" s="4">
        <v>0</v>
      </c>
      <c r="P211" s="4">
        <v>154.9</v>
      </c>
      <c r="Q211" s="4">
        <v>1015.44</v>
      </c>
      <c r="R211" s="4">
        <v>0</v>
      </c>
    </row>
    <row r="212" spans="1:18">
      <c r="A212" s="13">
        <v>4</v>
      </c>
      <c r="B212" s="13">
        <v>32626</v>
      </c>
      <c r="C212" s="13" t="s">
        <v>400</v>
      </c>
      <c r="D212" s="13" t="s">
        <v>380</v>
      </c>
      <c r="E212" s="240">
        <v>42193</v>
      </c>
      <c r="F212" s="240">
        <v>42265</v>
      </c>
      <c r="G212" s="13">
        <v>2581.63</v>
      </c>
      <c r="H212" s="12">
        <v>0</v>
      </c>
      <c r="I212" s="12">
        <v>1</v>
      </c>
      <c r="J212" s="12">
        <f t="shared" si="8"/>
        <v>25.816300000000002</v>
      </c>
      <c r="K212" s="242"/>
      <c r="L212" s="242"/>
      <c r="M212" s="242"/>
      <c r="N212" s="4">
        <v>2581.63</v>
      </c>
      <c r="O212" s="4">
        <v>0</v>
      </c>
      <c r="P212" s="4">
        <v>464.69</v>
      </c>
      <c r="Q212" s="4">
        <v>3046.32</v>
      </c>
      <c r="R212" s="4">
        <v>0</v>
      </c>
    </row>
    <row r="213" spans="1:18">
      <c r="A213" s="13">
        <v>6</v>
      </c>
      <c r="B213" s="13">
        <v>1008</v>
      </c>
      <c r="C213" s="13" t="s">
        <v>379</v>
      </c>
      <c r="D213" s="13" t="s">
        <v>380</v>
      </c>
      <c r="E213" s="240">
        <v>42200</v>
      </c>
      <c r="F213" s="240">
        <v>42271</v>
      </c>
      <c r="G213" s="13">
        <v>6868.31</v>
      </c>
      <c r="H213" s="12">
        <v>0</v>
      </c>
      <c r="I213" s="12">
        <v>1</v>
      </c>
      <c r="J213" s="12">
        <f t="shared" si="8"/>
        <v>68.68310000000001</v>
      </c>
      <c r="K213" s="242"/>
      <c r="L213" s="242"/>
      <c r="M213" s="242"/>
      <c r="N213" s="4">
        <v>6868.31</v>
      </c>
      <c r="O213" s="4">
        <v>0</v>
      </c>
      <c r="P213" s="4">
        <v>1236.29</v>
      </c>
      <c r="Q213" s="4">
        <v>8104.6</v>
      </c>
      <c r="R213" s="4">
        <v>0</v>
      </c>
    </row>
    <row r="214" spans="1:18">
      <c r="A214" s="13">
        <v>6</v>
      </c>
      <c r="B214" s="13">
        <v>1014</v>
      </c>
      <c r="C214" s="13" t="s">
        <v>379</v>
      </c>
      <c r="D214" s="13" t="s">
        <v>380</v>
      </c>
      <c r="E214" s="240">
        <v>42206</v>
      </c>
      <c r="F214" s="240">
        <v>42270</v>
      </c>
      <c r="G214" s="13">
        <v>8855.93</v>
      </c>
      <c r="H214" s="12">
        <v>0</v>
      </c>
      <c r="I214" s="12">
        <v>1</v>
      </c>
      <c r="J214" s="12">
        <f t="shared" si="8"/>
        <v>88.559300000000007</v>
      </c>
      <c r="K214" s="242"/>
      <c r="L214" s="242"/>
      <c r="M214" s="242"/>
      <c r="N214" s="4">
        <v>8855.93</v>
      </c>
      <c r="O214" s="4">
        <v>0</v>
      </c>
      <c r="P214" s="4">
        <v>1594.07</v>
      </c>
      <c r="Q214" s="4">
        <v>10450</v>
      </c>
      <c r="R214" s="4">
        <v>0</v>
      </c>
    </row>
    <row r="215" spans="1:18">
      <c r="A215" s="13">
        <v>6</v>
      </c>
      <c r="B215" s="13">
        <v>1042</v>
      </c>
      <c r="C215" s="13" t="s">
        <v>379</v>
      </c>
      <c r="D215" s="13" t="s">
        <v>380</v>
      </c>
      <c r="E215" s="240">
        <v>42233</v>
      </c>
      <c r="F215" s="240">
        <v>42271</v>
      </c>
      <c r="G215" s="13">
        <v>3282.2</v>
      </c>
      <c r="H215" s="12">
        <v>0</v>
      </c>
      <c r="I215" s="12">
        <v>1</v>
      </c>
      <c r="J215" s="12">
        <f t="shared" si="8"/>
        <v>32.821999999999996</v>
      </c>
      <c r="K215" s="242"/>
      <c r="L215" s="242"/>
      <c r="M215" s="242"/>
      <c r="N215" s="4">
        <v>3282.2</v>
      </c>
      <c r="O215" s="4">
        <v>0</v>
      </c>
      <c r="P215" s="4">
        <v>590.79999999999995</v>
      </c>
      <c r="Q215" s="4">
        <v>3873</v>
      </c>
      <c r="R215" s="4">
        <v>0</v>
      </c>
    </row>
    <row r="216" spans="1:18">
      <c r="A216" s="13">
        <v>6</v>
      </c>
      <c r="B216" s="13">
        <v>1075</v>
      </c>
      <c r="C216" s="13" t="s">
        <v>379</v>
      </c>
      <c r="D216" s="13" t="s">
        <v>380</v>
      </c>
      <c r="E216" s="240">
        <v>42252</v>
      </c>
      <c r="F216" s="240">
        <v>42270</v>
      </c>
      <c r="G216" s="13">
        <v>4322.03</v>
      </c>
      <c r="H216" s="12">
        <v>0</v>
      </c>
      <c r="I216" s="12">
        <v>1</v>
      </c>
      <c r="J216" s="12">
        <f t="shared" si="8"/>
        <v>43.220300000000002</v>
      </c>
      <c r="K216" s="242"/>
      <c r="L216" s="242"/>
      <c r="M216" s="242"/>
      <c r="N216" s="4">
        <v>4322.03</v>
      </c>
      <c r="O216" s="4">
        <v>0</v>
      </c>
      <c r="P216" s="4">
        <v>777.97</v>
      </c>
      <c r="Q216" s="4">
        <v>5100</v>
      </c>
      <c r="R216" s="4">
        <v>0</v>
      </c>
    </row>
    <row r="217" spans="1:18">
      <c r="G217" s="241">
        <f>SUM(G206:G216)</f>
        <v>39919.240000000005</v>
      </c>
      <c r="J217" s="137">
        <f>SUM(J206:J216)</f>
        <v>399.19240000000002</v>
      </c>
    </row>
    <row r="220" spans="1:18">
      <c r="B220" s="138" t="s">
        <v>403</v>
      </c>
      <c r="C220" s="244" t="s">
        <v>367</v>
      </c>
      <c r="D220" s="243" t="s">
        <v>409</v>
      </c>
    </row>
    <row r="222" spans="1:18">
      <c r="A222" s="248" t="s">
        <v>385</v>
      </c>
      <c r="B222" s="248" t="s">
        <v>370</v>
      </c>
      <c r="C222" s="248" t="s">
        <v>371</v>
      </c>
      <c r="D222" s="248" t="s">
        <v>372</v>
      </c>
      <c r="E222" s="248" t="s">
        <v>386</v>
      </c>
      <c r="F222" s="248" t="s">
        <v>396</v>
      </c>
      <c r="G222" s="248" t="s">
        <v>14</v>
      </c>
      <c r="H222" s="248" t="s">
        <v>397</v>
      </c>
      <c r="I222" s="248" t="s">
        <v>398</v>
      </c>
      <c r="J222" s="248" t="s">
        <v>399</v>
      </c>
    </row>
    <row r="223" spans="1:18">
      <c r="A223" s="13">
        <v>1</v>
      </c>
      <c r="B223" s="13">
        <v>313713</v>
      </c>
      <c r="C223" s="13" t="s">
        <v>402</v>
      </c>
      <c r="D223" s="13" t="s">
        <v>380</v>
      </c>
      <c r="E223" s="240">
        <v>42299</v>
      </c>
      <c r="F223" s="240">
        <v>42299</v>
      </c>
      <c r="G223" s="13">
        <f>L223+M223</f>
        <v>2881.2</v>
      </c>
      <c r="H223" s="12">
        <f>P223</f>
        <v>0</v>
      </c>
      <c r="I223" s="12">
        <v>1</v>
      </c>
      <c r="J223" s="12">
        <f>G223*I223%</f>
        <v>28.811999999999998</v>
      </c>
      <c r="K223" s="242"/>
      <c r="L223" s="4">
        <v>2881.2</v>
      </c>
      <c r="M223" s="4">
        <v>0</v>
      </c>
      <c r="N223" s="4">
        <v>518.62</v>
      </c>
      <c r="O223" s="4">
        <v>3399.82</v>
      </c>
      <c r="P223" s="4">
        <v>0</v>
      </c>
    </row>
    <row r="224" spans="1:18">
      <c r="A224" s="13">
        <v>4</v>
      </c>
      <c r="B224" s="13">
        <v>34302</v>
      </c>
      <c r="C224" s="13" t="s">
        <v>400</v>
      </c>
      <c r="D224" s="13" t="s">
        <v>380</v>
      </c>
      <c r="E224" s="240">
        <v>42216</v>
      </c>
      <c r="F224" s="240">
        <v>42292</v>
      </c>
      <c r="G224" s="13">
        <f>L224+M224</f>
        <v>4321.8</v>
      </c>
      <c r="H224" s="12">
        <f>P224</f>
        <v>0</v>
      </c>
      <c r="I224" s="12">
        <v>1</v>
      </c>
      <c r="J224" s="12">
        <f>G224*I224%</f>
        <v>43.218000000000004</v>
      </c>
      <c r="K224" s="242"/>
      <c r="L224" s="4">
        <v>4321.8</v>
      </c>
      <c r="M224" s="4">
        <v>0</v>
      </c>
      <c r="N224" s="4">
        <v>777.92</v>
      </c>
      <c r="O224" s="4">
        <v>5099.72</v>
      </c>
      <c r="P224" s="4">
        <v>0</v>
      </c>
    </row>
    <row r="225" spans="1:16">
      <c r="A225" s="13">
        <v>4</v>
      </c>
      <c r="B225" s="13">
        <v>34303</v>
      </c>
      <c r="C225" s="13" t="s">
        <v>400</v>
      </c>
      <c r="D225" s="13" t="s">
        <v>380</v>
      </c>
      <c r="E225" s="240">
        <v>42216</v>
      </c>
      <c r="F225" s="240">
        <v>42292</v>
      </c>
      <c r="G225" s="13">
        <f>L225+M225</f>
        <v>10804.51</v>
      </c>
      <c r="H225" s="12">
        <f>P225</f>
        <v>0</v>
      </c>
      <c r="I225" s="12">
        <v>1</v>
      </c>
      <c r="J225" s="12">
        <f>G225*I225%</f>
        <v>108.04510000000001</v>
      </c>
      <c r="K225" s="242"/>
      <c r="L225" s="4">
        <v>10804.51</v>
      </c>
      <c r="M225" s="4">
        <v>0</v>
      </c>
      <c r="N225" s="4">
        <v>1944.81</v>
      </c>
      <c r="O225" s="4">
        <v>12749.32</v>
      </c>
      <c r="P225" s="4">
        <v>0</v>
      </c>
    </row>
    <row r="226" spans="1:16">
      <c r="A226" s="13">
        <v>6</v>
      </c>
      <c r="B226" s="13">
        <v>1041</v>
      </c>
      <c r="C226" s="13" t="s">
        <v>379</v>
      </c>
      <c r="D226" s="13" t="s">
        <v>380</v>
      </c>
      <c r="E226" s="240">
        <v>42233</v>
      </c>
      <c r="F226" s="240">
        <v>42284</v>
      </c>
      <c r="G226" s="13">
        <f>L226+M226</f>
        <v>2101.69</v>
      </c>
      <c r="H226" s="12">
        <f>P226</f>
        <v>0</v>
      </c>
      <c r="I226" s="12">
        <v>1</v>
      </c>
      <c r="J226" s="12">
        <f>G226*I226%</f>
        <v>21.0169</v>
      </c>
      <c r="K226" s="242"/>
      <c r="L226" s="4">
        <v>2101.69</v>
      </c>
      <c r="M226" s="4">
        <v>0</v>
      </c>
      <c r="N226" s="4">
        <v>378.31</v>
      </c>
      <c r="O226" s="4">
        <v>2480</v>
      </c>
      <c r="P226" s="4">
        <v>0</v>
      </c>
    </row>
    <row r="227" spans="1:16">
      <c r="A227" s="13">
        <v>6</v>
      </c>
      <c r="B227" s="13">
        <v>1044</v>
      </c>
      <c r="C227" s="13" t="s">
        <v>379</v>
      </c>
      <c r="D227" s="13" t="s">
        <v>380</v>
      </c>
      <c r="E227" s="240">
        <v>42234</v>
      </c>
      <c r="F227" s="240">
        <v>42304</v>
      </c>
      <c r="G227" s="13">
        <f>L227+M227</f>
        <v>6604.15</v>
      </c>
      <c r="H227" s="12">
        <f>P227</f>
        <v>0</v>
      </c>
      <c r="I227" s="12">
        <v>1</v>
      </c>
      <c r="J227" s="12">
        <f>G227*I227%</f>
        <v>66.041499999999999</v>
      </c>
      <c r="K227" s="242"/>
      <c r="L227" s="4">
        <v>6174.15</v>
      </c>
      <c r="M227" s="4">
        <v>430</v>
      </c>
      <c r="N227" s="4">
        <v>1111.3499999999999</v>
      </c>
      <c r="O227" s="4">
        <v>7715.5</v>
      </c>
      <c r="P227" s="4">
        <v>0</v>
      </c>
    </row>
    <row r="228" spans="1:16">
      <c r="G228" s="241">
        <f>SUM(G223:G227)</f>
        <v>26713.35</v>
      </c>
      <c r="J228" s="137">
        <f>SUM(J223:J227)</f>
        <v>267.13350000000003</v>
      </c>
    </row>
    <row r="232" spans="1:16">
      <c r="B232" s="138" t="s">
        <v>403</v>
      </c>
      <c r="C232" s="244" t="s">
        <v>367</v>
      </c>
      <c r="D232" s="243" t="s">
        <v>410</v>
      </c>
    </row>
    <row r="234" spans="1:16">
      <c r="A234" s="248" t="s">
        <v>385</v>
      </c>
      <c r="B234" s="248" t="s">
        <v>370</v>
      </c>
      <c r="C234" s="248" t="s">
        <v>371</v>
      </c>
      <c r="D234" s="248" t="s">
        <v>372</v>
      </c>
      <c r="E234" s="248" t="s">
        <v>386</v>
      </c>
      <c r="F234" s="248" t="s">
        <v>396</v>
      </c>
      <c r="G234" s="248" t="s">
        <v>14</v>
      </c>
      <c r="H234" s="248" t="s">
        <v>397</v>
      </c>
      <c r="I234" s="248" t="s">
        <v>398</v>
      </c>
      <c r="J234" s="248" t="s">
        <v>399</v>
      </c>
      <c r="K234" s="4" t="s">
        <v>411</v>
      </c>
    </row>
    <row r="235" spans="1:16">
      <c r="A235" s="13">
        <v>1</v>
      </c>
      <c r="B235" s="13">
        <v>307529</v>
      </c>
      <c r="C235" s="13" t="s">
        <v>400</v>
      </c>
      <c r="D235" s="13" t="s">
        <v>380</v>
      </c>
      <c r="E235" s="240">
        <v>42226</v>
      </c>
      <c r="F235" s="240">
        <v>42317</v>
      </c>
      <c r="G235" s="13">
        <v>871.37</v>
      </c>
      <c r="H235" s="12">
        <f t="shared" ref="H235:H252" si="9">P235</f>
        <v>0</v>
      </c>
      <c r="I235" s="12">
        <v>1</v>
      </c>
      <c r="J235" s="12">
        <f t="shared" ref="J235:J252" si="10">G235*I235%</f>
        <v>8.7137000000000011</v>
      </c>
      <c r="K235" s="4">
        <f t="shared" ref="K235:K252" si="11">F235-E235</f>
        <v>91</v>
      </c>
      <c r="L235" s="4">
        <v>0</v>
      </c>
      <c r="M235" s="4">
        <v>156.85</v>
      </c>
      <c r="N235" s="4">
        <v>1028.22</v>
      </c>
      <c r="O235" s="4">
        <v>0</v>
      </c>
    </row>
    <row r="236" spans="1:16">
      <c r="A236" s="13">
        <v>1</v>
      </c>
      <c r="B236" s="13">
        <v>307511</v>
      </c>
      <c r="C236" s="13" t="s">
        <v>400</v>
      </c>
      <c r="D236" s="13" t="s">
        <v>380</v>
      </c>
      <c r="E236" s="240">
        <v>42226</v>
      </c>
      <c r="F236" s="240">
        <v>42317</v>
      </c>
      <c r="G236" s="13">
        <v>2614.1</v>
      </c>
      <c r="H236" s="12">
        <f t="shared" si="9"/>
        <v>0</v>
      </c>
      <c r="I236" s="12">
        <v>1</v>
      </c>
      <c r="J236" s="12">
        <f t="shared" si="10"/>
        <v>26.140999999999998</v>
      </c>
      <c r="K236" s="4">
        <f t="shared" si="11"/>
        <v>91</v>
      </c>
      <c r="L236" s="4">
        <v>0</v>
      </c>
      <c r="M236" s="4">
        <v>470.54</v>
      </c>
      <c r="N236" s="4">
        <v>3084.64</v>
      </c>
      <c r="O236" s="4">
        <v>0</v>
      </c>
    </row>
    <row r="237" spans="1:16">
      <c r="A237" s="13">
        <v>1</v>
      </c>
      <c r="B237" s="13">
        <v>309320</v>
      </c>
      <c r="C237" s="13" t="s">
        <v>400</v>
      </c>
      <c r="D237" s="13" t="s">
        <v>380</v>
      </c>
      <c r="E237" s="240">
        <v>42247</v>
      </c>
      <c r="F237" s="240">
        <v>42317</v>
      </c>
      <c r="G237" s="13">
        <v>435.68</v>
      </c>
      <c r="H237" s="12">
        <f t="shared" si="9"/>
        <v>0</v>
      </c>
      <c r="I237" s="12">
        <v>1</v>
      </c>
      <c r="J237" s="12">
        <f t="shared" si="10"/>
        <v>4.3567999999999998</v>
      </c>
      <c r="K237" s="4">
        <f t="shared" si="11"/>
        <v>70</v>
      </c>
      <c r="L237" s="4">
        <v>0</v>
      </c>
      <c r="M237" s="4">
        <v>78.42</v>
      </c>
      <c r="N237" s="4">
        <v>514.1</v>
      </c>
      <c r="O237" s="4">
        <v>0</v>
      </c>
    </row>
    <row r="238" spans="1:16">
      <c r="A238" s="13">
        <v>1</v>
      </c>
      <c r="B238" s="13">
        <v>309321</v>
      </c>
      <c r="C238" s="13" t="s">
        <v>400</v>
      </c>
      <c r="D238" s="13" t="s">
        <v>380</v>
      </c>
      <c r="E238" s="240">
        <v>42247</v>
      </c>
      <c r="F238" s="240">
        <v>42317</v>
      </c>
      <c r="G238" s="13">
        <v>871.37</v>
      </c>
      <c r="H238" s="12">
        <f t="shared" si="9"/>
        <v>0</v>
      </c>
      <c r="I238" s="12">
        <v>1</v>
      </c>
      <c r="J238" s="12">
        <f t="shared" si="10"/>
        <v>8.7137000000000011</v>
      </c>
      <c r="K238" s="4">
        <f t="shared" si="11"/>
        <v>70</v>
      </c>
      <c r="L238" s="4">
        <v>0</v>
      </c>
      <c r="M238" s="4">
        <v>156.85</v>
      </c>
      <c r="N238" s="4">
        <v>1028.22</v>
      </c>
      <c r="O238" s="4">
        <v>0</v>
      </c>
    </row>
    <row r="239" spans="1:16">
      <c r="A239" s="13">
        <v>1</v>
      </c>
      <c r="B239" s="13">
        <v>309396</v>
      </c>
      <c r="C239" s="13" t="s">
        <v>400</v>
      </c>
      <c r="D239" s="13" t="s">
        <v>380</v>
      </c>
      <c r="E239" s="240">
        <v>42247</v>
      </c>
      <c r="F239" s="240">
        <v>42317</v>
      </c>
      <c r="G239" s="13">
        <v>2614.1</v>
      </c>
      <c r="H239" s="12">
        <f t="shared" si="9"/>
        <v>0</v>
      </c>
      <c r="I239" s="12">
        <v>1</v>
      </c>
      <c r="J239" s="12">
        <f t="shared" si="10"/>
        <v>26.140999999999998</v>
      </c>
      <c r="K239" s="4">
        <f t="shared" si="11"/>
        <v>70</v>
      </c>
      <c r="L239" s="4">
        <v>0</v>
      </c>
      <c r="M239" s="4">
        <v>470.54</v>
      </c>
      <c r="N239" s="4">
        <v>3084.64</v>
      </c>
      <c r="O239" s="4">
        <v>0</v>
      </c>
    </row>
    <row r="240" spans="1:16">
      <c r="A240" s="13">
        <v>1</v>
      </c>
      <c r="B240" s="13">
        <v>309404</v>
      </c>
      <c r="C240" s="13" t="s">
        <v>400</v>
      </c>
      <c r="D240" s="13" t="s">
        <v>380</v>
      </c>
      <c r="E240" s="240">
        <v>42247</v>
      </c>
      <c r="F240" s="240">
        <v>42317</v>
      </c>
      <c r="G240" s="13">
        <v>1307.05</v>
      </c>
      <c r="H240" s="12">
        <f t="shared" si="9"/>
        <v>0</v>
      </c>
      <c r="I240" s="12">
        <v>1</v>
      </c>
      <c r="J240" s="12">
        <f t="shared" si="10"/>
        <v>13.070499999999999</v>
      </c>
      <c r="K240" s="4">
        <f t="shared" si="11"/>
        <v>70</v>
      </c>
      <c r="L240" s="4">
        <v>0</v>
      </c>
      <c r="M240" s="4">
        <v>235.27</v>
      </c>
      <c r="N240" s="4">
        <v>1542.32</v>
      </c>
      <c r="O240" s="4">
        <v>0</v>
      </c>
    </row>
    <row r="241" spans="1:15">
      <c r="A241" s="13">
        <v>4</v>
      </c>
      <c r="B241" s="13">
        <v>10887</v>
      </c>
      <c r="C241" s="13" t="s">
        <v>400</v>
      </c>
      <c r="D241" s="13" t="s">
        <v>380</v>
      </c>
      <c r="E241" s="240">
        <v>41865</v>
      </c>
      <c r="F241" s="240">
        <v>42317</v>
      </c>
      <c r="G241" s="13">
        <v>190.67</v>
      </c>
      <c r="H241" s="12">
        <f t="shared" si="9"/>
        <v>0</v>
      </c>
      <c r="I241" s="12">
        <v>1</v>
      </c>
      <c r="J241" s="12">
        <f t="shared" si="10"/>
        <v>1.9066999999999998</v>
      </c>
      <c r="K241" s="4">
        <f t="shared" si="11"/>
        <v>452</v>
      </c>
      <c r="L241" s="4">
        <v>0</v>
      </c>
      <c r="M241" s="4">
        <v>34.32</v>
      </c>
      <c r="N241" s="4">
        <v>224.99</v>
      </c>
      <c r="O241" s="4">
        <v>0</v>
      </c>
    </row>
    <row r="242" spans="1:15">
      <c r="A242" s="13">
        <v>6</v>
      </c>
      <c r="B242" s="13">
        <v>1164</v>
      </c>
      <c r="C242" s="13" t="s">
        <v>381</v>
      </c>
      <c r="D242" s="13" t="s">
        <v>382</v>
      </c>
      <c r="E242" s="240">
        <v>42311</v>
      </c>
      <c r="F242" s="240">
        <v>42331</v>
      </c>
      <c r="G242" s="13">
        <v>4131.3599999999997</v>
      </c>
      <c r="H242" s="12">
        <f t="shared" si="9"/>
        <v>0</v>
      </c>
      <c r="I242" s="12">
        <v>1</v>
      </c>
      <c r="J242" s="12">
        <f t="shared" si="10"/>
        <v>41.313600000000001</v>
      </c>
      <c r="K242" s="4">
        <f t="shared" si="11"/>
        <v>20</v>
      </c>
      <c r="L242" s="4">
        <v>0</v>
      </c>
      <c r="M242" s="4">
        <v>743.64</v>
      </c>
      <c r="N242" s="4">
        <v>4875</v>
      </c>
      <c r="O242" s="4">
        <v>0</v>
      </c>
    </row>
    <row r="243" spans="1:15">
      <c r="A243" s="13">
        <v>6</v>
      </c>
      <c r="B243" s="13">
        <v>1165</v>
      </c>
      <c r="C243" s="13" t="s">
        <v>381</v>
      </c>
      <c r="D243" s="13" t="s">
        <v>382</v>
      </c>
      <c r="E243" s="240">
        <v>42311</v>
      </c>
      <c r="F243" s="240">
        <v>42331</v>
      </c>
      <c r="G243" s="13">
        <v>8262.7099999999991</v>
      </c>
      <c r="H243" s="12">
        <f t="shared" si="9"/>
        <v>0</v>
      </c>
      <c r="I243" s="12">
        <v>1</v>
      </c>
      <c r="J243" s="12">
        <f t="shared" si="10"/>
        <v>82.627099999999999</v>
      </c>
      <c r="K243" s="4">
        <f t="shared" si="11"/>
        <v>20</v>
      </c>
      <c r="L243" s="4">
        <v>0</v>
      </c>
      <c r="M243" s="4">
        <v>1487.29</v>
      </c>
      <c r="N243" s="4">
        <v>9750</v>
      </c>
      <c r="O243" s="4">
        <v>0</v>
      </c>
    </row>
    <row r="244" spans="1:15">
      <c r="A244" s="13">
        <v>6</v>
      </c>
      <c r="B244" s="13">
        <v>1163</v>
      </c>
      <c r="C244" s="13" t="s">
        <v>381</v>
      </c>
      <c r="D244" s="13" t="s">
        <v>382</v>
      </c>
      <c r="E244" s="240">
        <v>42311</v>
      </c>
      <c r="F244" s="240">
        <v>42331</v>
      </c>
      <c r="G244" s="13">
        <v>6197.03</v>
      </c>
      <c r="H244" s="12">
        <f t="shared" si="9"/>
        <v>0</v>
      </c>
      <c r="I244" s="12">
        <v>1</v>
      </c>
      <c r="J244" s="12">
        <f t="shared" si="10"/>
        <v>61.970300000000002</v>
      </c>
      <c r="K244" s="4">
        <f t="shared" si="11"/>
        <v>20</v>
      </c>
      <c r="L244" s="4">
        <v>0</v>
      </c>
      <c r="M244" s="4">
        <v>1115.47</v>
      </c>
      <c r="N244" s="4">
        <v>7312.5</v>
      </c>
      <c r="O244" s="4">
        <v>0</v>
      </c>
    </row>
    <row r="245" spans="1:15">
      <c r="A245" s="13">
        <v>6</v>
      </c>
      <c r="B245" s="13">
        <v>1146</v>
      </c>
      <c r="C245" s="13" t="s">
        <v>379</v>
      </c>
      <c r="D245" s="13" t="s">
        <v>380</v>
      </c>
      <c r="E245" s="240">
        <v>42301</v>
      </c>
      <c r="F245" s="240">
        <v>42313</v>
      </c>
      <c r="G245" s="13">
        <v>9423.73</v>
      </c>
      <c r="H245" s="12">
        <f t="shared" si="9"/>
        <v>0</v>
      </c>
      <c r="I245" s="12">
        <v>1</v>
      </c>
      <c r="J245" s="12">
        <f t="shared" si="10"/>
        <v>94.237299999999991</v>
      </c>
      <c r="K245" s="4">
        <f t="shared" si="11"/>
        <v>12</v>
      </c>
      <c r="L245" s="4">
        <v>0</v>
      </c>
      <c r="M245" s="4">
        <v>1696.27</v>
      </c>
      <c r="N245" s="4">
        <v>11120</v>
      </c>
      <c r="O245" s="4">
        <v>0</v>
      </c>
    </row>
    <row r="246" spans="1:15">
      <c r="A246" s="13">
        <v>6</v>
      </c>
      <c r="B246" s="13">
        <v>1147</v>
      </c>
      <c r="C246" s="13" t="s">
        <v>379</v>
      </c>
      <c r="D246" s="13" t="s">
        <v>380</v>
      </c>
      <c r="E246" s="240">
        <v>42303</v>
      </c>
      <c r="F246" s="240">
        <v>42319</v>
      </c>
      <c r="G246" s="13">
        <v>9521.19</v>
      </c>
      <c r="H246" s="12">
        <f t="shared" si="9"/>
        <v>0</v>
      </c>
      <c r="I246" s="12">
        <v>1</v>
      </c>
      <c r="J246" s="12">
        <f t="shared" si="10"/>
        <v>95.2119</v>
      </c>
      <c r="K246" s="4">
        <f t="shared" si="11"/>
        <v>16</v>
      </c>
      <c r="L246" s="4">
        <v>0</v>
      </c>
      <c r="M246" s="4">
        <v>1713.81</v>
      </c>
      <c r="N246" s="4">
        <v>11235</v>
      </c>
      <c r="O246" s="4">
        <v>0</v>
      </c>
    </row>
    <row r="247" spans="1:15">
      <c r="A247" s="13">
        <v>6</v>
      </c>
      <c r="B247" s="13">
        <v>1151</v>
      </c>
      <c r="C247" s="13" t="s">
        <v>379</v>
      </c>
      <c r="D247" s="13" t="s">
        <v>380</v>
      </c>
      <c r="E247" s="240">
        <v>42303</v>
      </c>
      <c r="F247" s="240">
        <v>42319</v>
      </c>
      <c r="G247" s="13">
        <v>8983.0499999999993</v>
      </c>
      <c r="H247" s="12">
        <f t="shared" si="9"/>
        <v>0</v>
      </c>
      <c r="I247" s="12">
        <v>1</v>
      </c>
      <c r="J247" s="12">
        <f t="shared" si="10"/>
        <v>89.830500000000001</v>
      </c>
      <c r="K247" s="4">
        <f t="shared" si="11"/>
        <v>16</v>
      </c>
      <c r="L247" s="4">
        <v>0</v>
      </c>
      <c r="M247" s="4">
        <v>1616.95</v>
      </c>
      <c r="N247" s="4">
        <v>10600</v>
      </c>
      <c r="O247" s="4">
        <v>0</v>
      </c>
    </row>
    <row r="248" spans="1:15">
      <c r="A248" s="13">
        <v>6</v>
      </c>
      <c r="B248" s="13">
        <v>1150</v>
      </c>
      <c r="C248" s="13" t="s">
        <v>379</v>
      </c>
      <c r="D248" s="13" t="s">
        <v>380</v>
      </c>
      <c r="E248" s="240">
        <v>42303</v>
      </c>
      <c r="F248" s="240">
        <v>42319</v>
      </c>
      <c r="G248" s="13">
        <v>8996.61</v>
      </c>
      <c r="H248" s="12">
        <f t="shared" si="9"/>
        <v>0</v>
      </c>
      <c r="I248" s="12">
        <v>1</v>
      </c>
      <c r="J248" s="12">
        <f t="shared" si="10"/>
        <v>89.966100000000012</v>
      </c>
      <c r="K248" s="4">
        <f t="shared" si="11"/>
        <v>16</v>
      </c>
      <c r="L248" s="4">
        <v>0</v>
      </c>
      <c r="M248" s="4">
        <v>1619.39</v>
      </c>
      <c r="N248" s="4">
        <v>10616</v>
      </c>
      <c r="O248" s="4">
        <v>0</v>
      </c>
    </row>
    <row r="249" spans="1:15">
      <c r="A249" s="13">
        <v>6</v>
      </c>
      <c r="B249" s="13">
        <v>1149</v>
      </c>
      <c r="C249" s="13" t="s">
        <v>379</v>
      </c>
      <c r="D249" s="13" t="s">
        <v>380</v>
      </c>
      <c r="E249" s="240">
        <v>42303</v>
      </c>
      <c r="F249" s="240">
        <v>42327</v>
      </c>
      <c r="G249" s="13">
        <v>7494.92</v>
      </c>
      <c r="H249" s="12">
        <f t="shared" si="9"/>
        <v>0</v>
      </c>
      <c r="I249" s="12">
        <v>1</v>
      </c>
      <c r="J249" s="12">
        <f t="shared" si="10"/>
        <v>74.949200000000005</v>
      </c>
      <c r="K249" s="4">
        <f t="shared" si="11"/>
        <v>24</v>
      </c>
      <c r="L249" s="4">
        <v>0</v>
      </c>
      <c r="M249" s="4">
        <v>1349.08</v>
      </c>
      <c r="N249" s="4">
        <v>8844</v>
      </c>
      <c r="O249" s="4">
        <v>0</v>
      </c>
    </row>
    <row r="250" spans="1:15">
      <c r="A250" s="13">
        <v>6</v>
      </c>
      <c r="B250" s="13">
        <v>1148</v>
      </c>
      <c r="C250" s="13" t="s">
        <v>379</v>
      </c>
      <c r="D250" s="13" t="s">
        <v>380</v>
      </c>
      <c r="E250" s="240">
        <v>42303</v>
      </c>
      <c r="F250" s="240">
        <v>42321</v>
      </c>
      <c r="G250" s="13">
        <v>9727.33</v>
      </c>
      <c r="H250" s="12">
        <f t="shared" si="9"/>
        <v>0</v>
      </c>
      <c r="I250" s="12">
        <v>1</v>
      </c>
      <c r="J250" s="12">
        <f t="shared" si="10"/>
        <v>97.273300000000006</v>
      </c>
      <c r="K250" s="4">
        <f t="shared" si="11"/>
        <v>18</v>
      </c>
      <c r="L250" s="4">
        <v>0</v>
      </c>
      <c r="M250" s="4">
        <v>1750.92</v>
      </c>
      <c r="N250" s="4">
        <v>11478.25</v>
      </c>
      <c r="O250" s="4">
        <v>0</v>
      </c>
    </row>
    <row r="251" spans="1:15">
      <c r="A251" s="13">
        <v>6</v>
      </c>
      <c r="B251" s="13">
        <v>1157</v>
      </c>
      <c r="C251" s="13" t="s">
        <v>379</v>
      </c>
      <c r="D251" s="13" t="s">
        <v>380</v>
      </c>
      <c r="E251" s="240">
        <v>42306</v>
      </c>
      <c r="F251" s="240">
        <v>42319</v>
      </c>
      <c r="G251" s="13">
        <v>3850.08</v>
      </c>
      <c r="H251" s="12">
        <f t="shared" si="9"/>
        <v>0</v>
      </c>
      <c r="I251" s="12">
        <v>1</v>
      </c>
      <c r="J251" s="12">
        <f t="shared" si="10"/>
        <v>38.500799999999998</v>
      </c>
      <c r="K251" s="4">
        <f t="shared" si="11"/>
        <v>13</v>
      </c>
      <c r="L251" s="4">
        <v>845</v>
      </c>
      <c r="M251" s="4">
        <v>540.91999999999996</v>
      </c>
      <c r="N251" s="4">
        <v>4391</v>
      </c>
      <c r="O251" s="4">
        <v>0</v>
      </c>
    </row>
    <row r="252" spans="1:15">
      <c r="A252" s="13">
        <v>6</v>
      </c>
      <c r="B252" s="13">
        <v>1162</v>
      </c>
      <c r="C252" s="13" t="s">
        <v>379</v>
      </c>
      <c r="D252" s="13" t="s">
        <v>380</v>
      </c>
      <c r="E252" s="240">
        <v>42311</v>
      </c>
      <c r="F252" s="240">
        <v>42331</v>
      </c>
      <c r="G252" s="13">
        <v>9729.66</v>
      </c>
      <c r="H252" s="12">
        <f t="shared" si="9"/>
        <v>0</v>
      </c>
      <c r="I252" s="12">
        <v>1</v>
      </c>
      <c r="J252" s="12">
        <f t="shared" si="10"/>
        <v>97.296599999999998</v>
      </c>
      <c r="K252" s="4">
        <f t="shared" si="11"/>
        <v>20</v>
      </c>
      <c r="L252" s="4">
        <v>0</v>
      </c>
      <c r="M252" s="4">
        <v>1751.34</v>
      </c>
      <c r="N252" s="4">
        <v>11481</v>
      </c>
      <c r="O252" s="4">
        <v>0</v>
      </c>
    </row>
    <row r="253" spans="1:15">
      <c r="G253" s="138">
        <f>SUM(G235:G252)</f>
        <v>95222.010000000009</v>
      </c>
      <c r="J253" s="250">
        <f>SUM(J235:J252)</f>
        <v>952.22010000000012</v>
      </c>
    </row>
    <row r="256" spans="1:15">
      <c r="B256" s="138" t="s">
        <v>403</v>
      </c>
      <c r="C256" s="244" t="s">
        <v>367</v>
      </c>
      <c r="D256" s="243" t="s">
        <v>412</v>
      </c>
    </row>
    <row r="258" spans="1:15">
      <c r="A258" s="248" t="s">
        <v>385</v>
      </c>
      <c r="B258" s="248" t="s">
        <v>370</v>
      </c>
      <c r="C258" s="248" t="s">
        <v>371</v>
      </c>
      <c r="D258" s="248" t="s">
        <v>372</v>
      </c>
      <c r="E258" s="248" t="s">
        <v>386</v>
      </c>
      <c r="F258" s="248" t="s">
        <v>396</v>
      </c>
      <c r="G258" s="248" t="s">
        <v>14</v>
      </c>
      <c r="H258" s="248" t="s">
        <v>397</v>
      </c>
      <c r="I258" s="248" t="s">
        <v>398</v>
      </c>
      <c r="J258" s="248" t="s">
        <v>399</v>
      </c>
      <c r="K258" s="4" t="s">
        <v>411</v>
      </c>
    </row>
    <row r="259" spans="1:15">
      <c r="A259" s="13">
        <v>6</v>
      </c>
      <c r="B259" s="13">
        <v>757</v>
      </c>
      <c r="C259" s="13" t="s">
        <v>381</v>
      </c>
      <c r="D259" s="13" t="s">
        <v>382</v>
      </c>
      <c r="E259" s="240">
        <v>42038</v>
      </c>
      <c r="F259" s="240">
        <v>42052</v>
      </c>
      <c r="G259" s="13">
        <v>5974.58</v>
      </c>
      <c r="H259" s="12">
        <f t="shared" ref="H259:H267" si="12">P259</f>
        <v>0</v>
      </c>
      <c r="I259" s="12">
        <v>1</v>
      </c>
      <c r="J259" s="12">
        <f t="shared" ref="J259:J267" si="13">G259*I259%</f>
        <v>59.745800000000003</v>
      </c>
      <c r="K259" s="4">
        <f t="shared" ref="K259:K267" si="14">F259-E259</f>
        <v>14</v>
      </c>
      <c r="L259" s="4">
        <v>0</v>
      </c>
      <c r="M259" s="4">
        <v>1075.42</v>
      </c>
      <c r="N259" s="4">
        <v>7050</v>
      </c>
      <c r="O259" s="4">
        <v>0</v>
      </c>
    </row>
    <row r="260" spans="1:15">
      <c r="A260" s="13">
        <v>6</v>
      </c>
      <c r="B260" s="13">
        <v>759</v>
      </c>
      <c r="C260" s="13" t="s">
        <v>381</v>
      </c>
      <c r="D260" s="13" t="s">
        <v>382</v>
      </c>
      <c r="E260" s="240">
        <v>42038</v>
      </c>
      <c r="F260" s="240">
        <v>42052</v>
      </c>
      <c r="G260" s="13">
        <v>5974.58</v>
      </c>
      <c r="H260" s="12">
        <f t="shared" si="12"/>
        <v>0</v>
      </c>
      <c r="I260" s="12">
        <v>1</v>
      </c>
      <c r="J260" s="12">
        <f t="shared" si="13"/>
        <v>59.745800000000003</v>
      </c>
      <c r="K260" s="4">
        <f t="shared" si="14"/>
        <v>14</v>
      </c>
      <c r="L260" s="4">
        <v>0</v>
      </c>
      <c r="M260" s="4">
        <v>1075.42</v>
      </c>
      <c r="N260" s="4">
        <v>7050</v>
      </c>
      <c r="O260" s="4">
        <v>0</v>
      </c>
    </row>
    <row r="261" spans="1:15">
      <c r="A261" s="13">
        <v>6</v>
      </c>
      <c r="B261" s="13">
        <v>761</v>
      </c>
      <c r="C261" s="13" t="s">
        <v>381</v>
      </c>
      <c r="D261" s="13" t="s">
        <v>382</v>
      </c>
      <c r="E261" s="240">
        <v>42038</v>
      </c>
      <c r="F261" s="240">
        <v>42052</v>
      </c>
      <c r="G261" s="13">
        <v>7966.1</v>
      </c>
      <c r="H261" s="12">
        <f t="shared" si="12"/>
        <v>0</v>
      </c>
      <c r="I261" s="12">
        <v>1</v>
      </c>
      <c r="J261" s="12">
        <f t="shared" si="13"/>
        <v>79.661000000000001</v>
      </c>
      <c r="K261" s="4">
        <f t="shared" si="14"/>
        <v>14</v>
      </c>
      <c r="L261" s="4">
        <v>0</v>
      </c>
      <c r="M261" s="4">
        <v>1433.9</v>
      </c>
      <c r="N261" s="4">
        <v>9400</v>
      </c>
      <c r="O261" s="4">
        <v>0</v>
      </c>
    </row>
    <row r="262" spans="1:15">
      <c r="A262" s="13">
        <v>6</v>
      </c>
      <c r="B262" s="13">
        <v>756</v>
      </c>
      <c r="C262" s="13" t="s">
        <v>381</v>
      </c>
      <c r="D262" s="13" t="s">
        <v>382</v>
      </c>
      <c r="E262" s="240">
        <v>42038</v>
      </c>
      <c r="F262" s="240">
        <v>42052</v>
      </c>
      <c r="G262" s="13">
        <v>7966.1</v>
      </c>
      <c r="H262" s="12">
        <f t="shared" si="12"/>
        <v>0</v>
      </c>
      <c r="I262" s="12">
        <v>1</v>
      </c>
      <c r="J262" s="12">
        <f t="shared" si="13"/>
        <v>79.661000000000001</v>
      </c>
      <c r="K262" s="4">
        <f t="shared" si="14"/>
        <v>14</v>
      </c>
      <c r="L262" s="4">
        <v>0</v>
      </c>
      <c r="M262" s="4">
        <v>1433.9</v>
      </c>
      <c r="N262" s="4">
        <v>9400</v>
      </c>
      <c r="O262" s="4">
        <v>0</v>
      </c>
    </row>
    <row r="263" spans="1:15">
      <c r="A263" s="13">
        <v>6</v>
      </c>
      <c r="B263" s="13">
        <v>760</v>
      </c>
      <c r="C263" s="13" t="s">
        <v>381</v>
      </c>
      <c r="D263" s="13" t="s">
        <v>382</v>
      </c>
      <c r="E263" s="240">
        <v>42038</v>
      </c>
      <c r="F263" s="240">
        <v>42052</v>
      </c>
      <c r="G263" s="13">
        <v>7966.1</v>
      </c>
      <c r="H263" s="12">
        <f t="shared" si="12"/>
        <v>0</v>
      </c>
      <c r="I263" s="12">
        <v>1</v>
      </c>
      <c r="J263" s="12">
        <f t="shared" si="13"/>
        <v>79.661000000000001</v>
      </c>
      <c r="K263" s="4">
        <f t="shared" si="14"/>
        <v>14</v>
      </c>
      <c r="L263" s="4">
        <v>0</v>
      </c>
      <c r="M263" s="4">
        <v>1433.9</v>
      </c>
      <c r="N263" s="4">
        <v>9400</v>
      </c>
      <c r="O263" s="4">
        <v>0</v>
      </c>
    </row>
    <row r="264" spans="1:15">
      <c r="A264" s="13">
        <v>6</v>
      </c>
      <c r="B264" s="13">
        <v>1049</v>
      </c>
      <c r="C264" s="13" t="s">
        <v>381</v>
      </c>
      <c r="D264" s="13" t="s">
        <v>382</v>
      </c>
      <c r="E264" s="240">
        <v>42238</v>
      </c>
      <c r="F264" s="240">
        <v>42263</v>
      </c>
      <c r="G264" s="13">
        <v>9758.4699999999993</v>
      </c>
      <c r="H264" s="12">
        <f t="shared" si="12"/>
        <v>0</v>
      </c>
      <c r="I264" s="12">
        <v>1</v>
      </c>
      <c r="J264" s="12">
        <f t="shared" si="13"/>
        <v>97.584699999999998</v>
      </c>
      <c r="K264" s="4">
        <f t="shared" si="14"/>
        <v>25</v>
      </c>
      <c r="L264" s="4">
        <v>0</v>
      </c>
      <c r="M264" s="4">
        <v>1756.53</v>
      </c>
      <c r="N264" s="4">
        <v>11515</v>
      </c>
      <c r="O264" s="4">
        <v>0</v>
      </c>
    </row>
    <row r="265" spans="1:15">
      <c r="A265" s="13">
        <v>6</v>
      </c>
      <c r="B265" s="13">
        <v>1081</v>
      </c>
      <c r="C265" s="13" t="s">
        <v>381</v>
      </c>
      <c r="D265" s="13" t="s">
        <v>382</v>
      </c>
      <c r="E265" s="240">
        <v>42258</v>
      </c>
      <c r="F265" s="240">
        <v>42284</v>
      </c>
      <c r="G265" s="13">
        <v>5974.58</v>
      </c>
      <c r="H265" s="12">
        <f t="shared" si="12"/>
        <v>0</v>
      </c>
      <c r="I265" s="12">
        <v>1</v>
      </c>
      <c r="J265" s="12">
        <f t="shared" si="13"/>
        <v>59.745800000000003</v>
      </c>
      <c r="K265" s="4">
        <f t="shared" si="14"/>
        <v>26</v>
      </c>
      <c r="L265" s="4">
        <v>0</v>
      </c>
      <c r="M265" s="4">
        <v>1075.42</v>
      </c>
      <c r="N265" s="4">
        <v>7050</v>
      </c>
      <c r="O265" s="4">
        <v>0</v>
      </c>
    </row>
    <row r="266" spans="1:15">
      <c r="A266" s="13">
        <v>6</v>
      </c>
      <c r="B266" s="13">
        <v>956</v>
      </c>
      <c r="C266" s="13" t="s">
        <v>381</v>
      </c>
      <c r="D266" s="13" t="s">
        <v>382</v>
      </c>
      <c r="E266" s="240">
        <v>42166</v>
      </c>
      <c r="F266" s="240">
        <v>42263</v>
      </c>
      <c r="G266" s="13">
        <v>8961.86</v>
      </c>
      <c r="H266" s="12">
        <f t="shared" si="12"/>
        <v>0</v>
      </c>
      <c r="I266" s="12">
        <v>1</v>
      </c>
      <c r="J266" s="12">
        <f t="shared" si="13"/>
        <v>89.618600000000001</v>
      </c>
      <c r="K266" s="4">
        <f t="shared" si="14"/>
        <v>97</v>
      </c>
      <c r="L266" s="4">
        <v>0</v>
      </c>
      <c r="M266" s="4">
        <v>1613.14</v>
      </c>
      <c r="N266" s="4">
        <v>10575</v>
      </c>
      <c r="O266" s="4">
        <v>0</v>
      </c>
    </row>
    <row r="267" spans="1:15">
      <c r="A267" s="13">
        <v>6</v>
      </c>
      <c r="B267" s="13">
        <v>1048</v>
      </c>
      <c r="C267" s="13" t="s">
        <v>381</v>
      </c>
      <c r="D267" s="13" t="s">
        <v>382</v>
      </c>
      <c r="E267" s="240">
        <v>42238</v>
      </c>
      <c r="F267" s="240">
        <v>42263</v>
      </c>
      <c r="G267" s="13">
        <v>4875.25</v>
      </c>
      <c r="H267" s="12">
        <f t="shared" si="12"/>
        <v>0</v>
      </c>
      <c r="I267" s="12">
        <v>1</v>
      </c>
      <c r="J267" s="12">
        <f t="shared" si="13"/>
        <v>48.752499999999998</v>
      </c>
      <c r="K267" s="4">
        <f t="shared" si="14"/>
        <v>25</v>
      </c>
      <c r="L267" s="4">
        <v>0</v>
      </c>
      <c r="M267" s="4">
        <v>877.55</v>
      </c>
      <c r="N267" s="4">
        <v>5752.8</v>
      </c>
      <c r="O267" s="4">
        <v>0</v>
      </c>
    </row>
    <row r="268" spans="1:15">
      <c r="G268" s="4">
        <f>SUM(G259:G267)</f>
        <v>65417.62</v>
      </c>
      <c r="J268" s="4">
        <f>SUM(J259:J267)</f>
        <v>654.17620000000011</v>
      </c>
    </row>
    <row r="270" spans="1:15">
      <c r="B270" s="138" t="s">
        <v>403</v>
      </c>
      <c r="C270" s="244" t="s">
        <v>367</v>
      </c>
      <c r="D270" s="243" t="s">
        <v>413</v>
      </c>
    </row>
    <row r="272" spans="1:15">
      <c r="A272" s="248" t="s">
        <v>385</v>
      </c>
      <c r="B272" s="248" t="s">
        <v>370</v>
      </c>
      <c r="C272" s="248" t="s">
        <v>371</v>
      </c>
      <c r="D272" s="248" t="s">
        <v>372</v>
      </c>
      <c r="E272" s="248" t="s">
        <v>386</v>
      </c>
      <c r="F272" s="248" t="s">
        <v>396</v>
      </c>
      <c r="G272" s="248" t="s">
        <v>14</v>
      </c>
      <c r="H272" s="248" t="s">
        <v>397</v>
      </c>
      <c r="I272" s="248" t="s">
        <v>398</v>
      </c>
      <c r="J272" s="248" t="s">
        <v>399</v>
      </c>
      <c r="K272" s="4" t="s">
        <v>411</v>
      </c>
    </row>
    <row r="273" spans="1:15">
      <c r="A273" s="13">
        <v>1</v>
      </c>
      <c r="B273" s="13">
        <v>309312</v>
      </c>
      <c r="C273" s="13" t="s">
        <v>400</v>
      </c>
      <c r="D273" s="13" t="s">
        <v>380</v>
      </c>
      <c r="E273" s="240">
        <v>42247</v>
      </c>
      <c r="F273" s="240">
        <v>42353</v>
      </c>
      <c r="G273" s="12">
        <v>14406</v>
      </c>
      <c r="H273" s="12">
        <v>0</v>
      </c>
      <c r="I273" s="12">
        <v>1</v>
      </c>
      <c r="J273" s="12">
        <f t="shared" ref="J273:J292" si="15">G273*I273%</f>
        <v>144.06</v>
      </c>
      <c r="K273" s="4">
        <f t="shared" ref="K273:K292" si="16">F273-E273</f>
        <v>106</v>
      </c>
      <c r="L273" s="4">
        <v>0</v>
      </c>
      <c r="M273" s="4">
        <v>2593.08</v>
      </c>
      <c r="N273" s="4">
        <v>16999.080000000002</v>
      </c>
      <c r="O273" s="4">
        <v>0</v>
      </c>
    </row>
    <row r="274" spans="1:15">
      <c r="A274" s="13">
        <v>1</v>
      </c>
      <c r="B274" s="13">
        <v>309314</v>
      </c>
      <c r="C274" s="13" t="s">
        <v>400</v>
      </c>
      <c r="D274" s="13" t="s">
        <v>380</v>
      </c>
      <c r="E274" s="240">
        <v>42247</v>
      </c>
      <c r="F274" s="240">
        <v>42368</v>
      </c>
      <c r="G274" s="12">
        <v>6338.64</v>
      </c>
      <c r="H274" s="12">
        <v>0</v>
      </c>
      <c r="I274" s="12">
        <v>1</v>
      </c>
      <c r="J274" s="12">
        <f t="shared" si="15"/>
        <v>63.386400000000002</v>
      </c>
      <c r="K274" s="4">
        <f t="shared" si="16"/>
        <v>121</v>
      </c>
      <c r="L274" s="4">
        <v>0</v>
      </c>
      <c r="M274" s="4">
        <v>1140.96</v>
      </c>
      <c r="N274" s="4">
        <v>7479.6</v>
      </c>
      <c r="O274" s="4">
        <v>0</v>
      </c>
    </row>
    <row r="275" spans="1:15">
      <c r="A275" s="13">
        <v>1</v>
      </c>
      <c r="B275" s="13">
        <v>311672</v>
      </c>
      <c r="C275" s="13" t="s">
        <v>400</v>
      </c>
      <c r="D275" s="13" t="s">
        <v>380</v>
      </c>
      <c r="E275" s="240">
        <v>42275</v>
      </c>
      <c r="F275" s="240">
        <v>42366</v>
      </c>
      <c r="G275" s="12">
        <v>3485.47</v>
      </c>
      <c r="H275" s="12">
        <v>0</v>
      </c>
      <c r="I275" s="12">
        <v>1</v>
      </c>
      <c r="J275" s="12">
        <f t="shared" si="15"/>
        <v>34.854700000000001</v>
      </c>
      <c r="K275" s="4">
        <f t="shared" si="16"/>
        <v>91</v>
      </c>
      <c r="L275" s="4">
        <v>0</v>
      </c>
      <c r="M275" s="4">
        <v>627.38</v>
      </c>
      <c r="N275" s="4">
        <v>4112.8500000000004</v>
      </c>
      <c r="O275" s="4">
        <v>0</v>
      </c>
    </row>
    <row r="276" spans="1:15">
      <c r="A276" s="13">
        <v>1</v>
      </c>
      <c r="B276" s="13">
        <v>311673</v>
      </c>
      <c r="C276" s="13" t="s">
        <v>400</v>
      </c>
      <c r="D276" s="13" t="s">
        <v>380</v>
      </c>
      <c r="E276" s="240">
        <v>42275</v>
      </c>
      <c r="F276" s="240">
        <v>42368</v>
      </c>
      <c r="G276" s="12">
        <v>1307.05</v>
      </c>
      <c r="H276" s="12">
        <v>0</v>
      </c>
      <c r="I276" s="12">
        <v>1</v>
      </c>
      <c r="J276" s="12">
        <f t="shared" si="15"/>
        <v>13.070499999999999</v>
      </c>
      <c r="K276" s="4">
        <f t="shared" si="16"/>
        <v>93</v>
      </c>
      <c r="L276" s="4">
        <v>0</v>
      </c>
      <c r="M276" s="4">
        <v>235.27</v>
      </c>
      <c r="N276" s="4">
        <v>1542.32</v>
      </c>
      <c r="O276" s="4">
        <v>0</v>
      </c>
    </row>
    <row r="277" spans="1:15">
      <c r="A277" s="13">
        <v>1</v>
      </c>
      <c r="B277" s="13">
        <v>311905</v>
      </c>
      <c r="C277" s="13" t="s">
        <v>400</v>
      </c>
      <c r="D277" s="13" t="s">
        <v>380</v>
      </c>
      <c r="E277" s="240">
        <v>42277</v>
      </c>
      <c r="F277" s="240">
        <v>42368</v>
      </c>
      <c r="G277" s="12">
        <v>10804.5</v>
      </c>
      <c r="H277" s="12">
        <v>0</v>
      </c>
      <c r="I277" s="12">
        <v>1</v>
      </c>
      <c r="J277" s="12">
        <f t="shared" si="15"/>
        <v>108.045</v>
      </c>
      <c r="K277" s="4">
        <f t="shared" si="16"/>
        <v>91</v>
      </c>
      <c r="L277" s="4">
        <v>0</v>
      </c>
      <c r="M277" s="4">
        <v>1944.81</v>
      </c>
      <c r="N277" s="4">
        <v>12749.31</v>
      </c>
      <c r="O277" s="4">
        <v>0</v>
      </c>
    </row>
    <row r="278" spans="1:15">
      <c r="A278" s="13">
        <v>1</v>
      </c>
      <c r="B278" s="13">
        <v>311904</v>
      </c>
      <c r="C278" s="13" t="s">
        <v>400</v>
      </c>
      <c r="D278" s="13" t="s">
        <v>380</v>
      </c>
      <c r="E278" s="240">
        <v>42277</v>
      </c>
      <c r="F278" s="240">
        <v>42366</v>
      </c>
      <c r="G278" s="12">
        <v>5402.25</v>
      </c>
      <c r="H278" s="12">
        <v>0</v>
      </c>
      <c r="I278" s="12">
        <v>1</v>
      </c>
      <c r="J278" s="12">
        <f t="shared" si="15"/>
        <v>54.022500000000001</v>
      </c>
      <c r="K278" s="4">
        <f t="shared" si="16"/>
        <v>89</v>
      </c>
      <c r="L278" s="4">
        <v>0</v>
      </c>
      <c r="M278" s="4">
        <v>972.41</v>
      </c>
      <c r="N278" s="4">
        <v>6374.66</v>
      </c>
      <c r="O278" s="4">
        <v>0</v>
      </c>
    </row>
    <row r="279" spans="1:15">
      <c r="A279" s="13">
        <v>1</v>
      </c>
      <c r="B279" s="13">
        <v>314298</v>
      </c>
      <c r="C279" s="13" t="s">
        <v>400</v>
      </c>
      <c r="D279" s="13" t="s">
        <v>380</v>
      </c>
      <c r="E279" s="240">
        <v>42306</v>
      </c>
      <c r="F279" s="240">
        <v>42368</v>
      </c>
      <c r="G279" s="12">
        <v>1307.05</v>
      </c>
      <c r="H279" s="12">
        <v>0</v>
      </c>
      <c r="I279" s="12">
        <v>1</v>
      </c>
      <c r="J279" s="12">
        <f t="shared" si="15"/>
        <v>13.070499999999999</v>
      </c>
      <c r="K279" s="4">
        <f t="shared" si="16"/>
        <v>62</v>
      </c>
      <c r="L279" s="4">
        <v>0</v>
      </c>
      <c r="M279" s="4">
        <v>235.27</v>
      </c>
      <c r="N279" s="4">
        <v>1542.32</v>
      </c>
      <c r="O279" s="4">
        <v>0</v>
      </c>
    </row>
    <row r="280" spans="1:15">
      <c r="A280" s="13">
        <v>1</v>
      </c>
      <c r="B280" s="13">
        <v>314299</v>
      </c>
      <c r="C280" s="13" t="s">
        <v>400</v>
      </c>
      <c r="D280" s="13" t="s">
        <v>380</v>
      </c>
      <c r="E280" s="240">
        <v>42306</v>
      </c>
      <c r="F280" s="240">
        <v>42368</v>
      </c>
      <c r="G280" s="12">
        <v>3485.47</v>
      </c>
      <c r="H280" s="12">
        <v>0</v>
      </c>
      <c r="I280" s="12">
        <v>1</v>
      </c>
      <c r="J280" s="12">
        <f t="shared" si="15"/>
        <v>34.854700000000001</v>
      </c>
      <c r="K280" s="4">
        <f t="shared" si="16"/>
        <v>62</v>
      </c>
      <c r="L280" s="4">
        <v>0</v>
      </c>
      <c r="M280" s="4">
        <v>627.38</v>
      </c>
      <c r="N280" s="4">
        <v>4112.8500000000004</v>
      </c>
      <c r="O280" s="4">
        <v>0</v>
      </c>
    </row>
    <row r="281" spans="1:15">
      <c r="A281" s="13">
        <v>6</v>
      </c>
      <c r="B281" s="13">
        <v>1196</v>
      </c>
      <c r="C281" s="13" t="s">
        <v>401</v>
      </c>
      <c r="D281" s="13" t="s">
        <v>380</v>
      </c>
      <c r="E281" s="240">
        <v>42327</v>
      </c>
      <c r="F281" s="240">
        <v>42341</v>
      </c>
      <c r="G281" s="12">
        <v>1911.86</v>
      </c>
      <c r="H281" s="12">
        <v>0</v>
      </c>
      <c r="I281" s="12">
        <v>1</v>
      </c>
      <c r="J281" s="12">
        <f t="shared" si="15"/>
        <v>19.118600000000001</v>
      </c>
      <c r="K281" s="4">
        <f t="shared" si="16"/>
        <v>14</v>
      </c>
      <c r="L281" s="4">
        <v>0</v>
      </c>
      <c r="M281" s="4">
        <v>344.14</v>
      </c>
      <c r="N281" s="4">
        <v>2256</v>
      </c>
      <c r="O281" s="4">
        <v>0</v>
      </c>
    </row>
    <row r="282" spans="1:15">
      <c r="A282" s="13">
        <v>6</v>
      </c>
      <c r="B282" s="13">
        <v>1231</v>
      </c>
      <c r="C282" s="13" t="s">
        <v>401</v>
      </c>
      <c r="D282" s="13" t="s">
        <v>380</v>
      </c>
      <c r="E282" s="240">
        <v>42355</v>
      </c>
      <c r="F282" s="240">
        <v>42368</v>
      </c>
      <c r="G282" s="12">
        <v>1331.78</v>
      </c>
      <c r="H282" s="12">
        <v>0</v>
      </c>
      <c r="I282" s="12">
        <v>1</v>
      </c>
      <c r="J282" s="12">
        <f t="shared" si="15"/>
        <v>13.3178</v>
      </c>
      <c r="K282" s="4">
        <f t="shared" si="16"/>
        <v>13</v>
      </c>
      <c r="L282" s="4">
        <v>0</v>
      </c>
      <c r="M282" s="4">
        <v>239.72</v>
      </c>
      <c r="N282" s="4">
        <v>1571.5</v>
      </c>
      <c r="O282" s="4">
        <v>0</v>
      </c>
    </row>
    <row r="283" spans="1:15">
      <c r="A283" s="13">
        <v>6</v>
      </c>
      <c r="B283" s="13">
        <v>1235</v>
      </c>
      <c r="C283" s="13" t="s">
        <v>401</v>
      </c>
      <c r="D283" s="13" t="s">
        <v>380</v>
      </c>
      <c r="E283" s="240">
        <v>42357</v>
      </c>
      <c r="F283" s="240">
        <v>42368</v>
      </c>
      <c r="G283" s="12">
        <v>1016.95</v>
      </c>
      <c r="H283" s="12">
        <v>0</v>
      </c>
      <c r="I283" s="12">
        <v>1</v>
      </c>
      <c r="J283" s="12">
        <f t="shared" si="15"/>
        <v>10.169500000000001</v>
      </c>
      <c r="K283" s="4">
        <f t="shared" si="16"/>
        <v>11</v>
      </c>
      <c r="L283" s="4">
        <v>0</v>
      </c>
      <c r="M283" s="4">
        <v>183.05</v>
      </c>
      <c r="N283" s="4">
        <v>1200</v>
      </c>
      <c r="O283" s="4">
        <v>0</v>
      </c>
    </row>
    <row r="284" spans="1:15">
      <c r="A284" s="13">
        <v>6</v>
      </c>
      <c r="B284" s="13">
        <v>1205</v>
      </c>
      <c r="C284" s="13" t="s">
        <v>379</v>
      </c>
      <c r="D284" s="13" t="s">
        <v>380</v>
      </c>
      <c r="E284" s="240">
        <v>42339</v>
      </c>
      <c r="F284" s="240">
        <v>42354</v>
      </c>
      <c r="G284" s="12">
        <v>5732.2</v>
      </c>
      <c r="H284" s="12">
        <v>0</v>
      </c>
      <c r="I284" s="12">
        <v>1</v>
      </c>
      <c r="J284" s="12">
        <f t="shared" si="15"/>
        <v>57.322000000000003</v>
      </c>
      <c r="K284" s="4">
        <f t="shared" si="16"/>
        <v>15</v>
      </c>
      <c r="L284" s="4">
        <v>0</v>
      </c>
      <c r="M284" s="4">
        <v>1031.8</v>
      </c>
      <c r="N284" s="4">
        <v>6764</v>
      </c>
      <c r="O284" s="4">
        <v>0</v>
      </c>
    </row>
    <row r="285" spans="1:15">
      <c r="A285" s="13">
        <v>6</v>
      </c>
      <c r="B285" s="13">
        <v>1211</v>
      </c>
      <c r="C285" s="13" t="s">
        <v>379</v>
      </c>
      <c r="D285" s="13" t="s">
        <v>380</v>
      </c>
      <c r="E285" s="240">
        <v>42340</v>
      </c>
      <c r="F285" s="240">
        <v>42348</v>
      </c>
      <c r="G285" s="12">
        <v>6950</v>
      </c>
      <c r="H285" s="12">
        <v>0</v>
      </c>
      <c r="I285" s="12">
        <v>1</v>
      </c>
      <c r="J285" s="12">
        <f t="shared" si="15"/>
        <v>69.5</v>
      </c>
      <c r="K285" s="4">
        <f t="shared" si="16"/>
        <v>8</v>
      </c>
      <c r="L285" s="4">
        <v>0</v>
      </c>
      <c r="M285" s="4">
        <v>1251</v>
      </c>
      <c r="N285" s="4">
        <v>8201</v>
      </c>
      <c r="O285" s="4">
        <v>0</v>
      </c>
    </row>
    <row r="286" spans="1:15">
      <c r="A286" s="13">
        <v>6</v>
      </c>
      <c r="B286" s="13">
        <v>1213</v>
      </c>
      <c r="C286" s="13" t="s">
        <v>379</v>
      </c>
      <c r="D286" s="13" t="s">
        <v>380</v>
      </c>
      <c r="E286" s="240">
        <v>42342</v>
      </c>
      <c r="F286" s="240">
        <v>42359</v>
      </c>
      <c r="G286" s="12">
        <v>8504.24</v>
      </c>
      <c r="H286" s="12">
        <v>0</v>
      </c>
      <c r="I286" s="12">
        <v>1</v>
      </c>
      <c r="J286" s="12">
        <f t="shared" si="15"/>
        <v>85.042400000000001</v>
      </c>
      <c r="K286" s="4">
        <f t="shared" si="16"/>
        <v>17</v>
      </c>
      <c r="L286" s="4">
        <v>0</v>
      </c>
      <c r="M286" s="4">
        <v>1530.76</v>
      </c>
      <c r="N286" s="4">
        <v>10035</v>
      </c>
      <c r="O286" s="4">
        <v>0</v>
      </c>
    </row>
    <row r="287" spans="1:15">
      <c r="A287" s="13">
        <v>6</v>
      </c>
      <c r="B287" s="13">
        <v>1212</v>
      </c>
      <c r="C287" s="13" t="s">
        <v>379</v>
      </c>
      <c r="D287" s="13" t="s">
        <v>380</v>
      </c>
      <c r="E287" s="240">
        <v>42342</v>
      </c>
      <c r="F287" s="240">
        <v>42359</v>
      </c>
      <c r="G287" s="12">
        <v>9528.81</v>
      </c>
      <c r="H287" s="12">
        <v>0</v>
      </c>
      <c r="I287" s="12">
        <v>1</v>
      </c>
      <c r="J287" s="12">
        <f t="shared" si="15"/>
        <v>95.2881</v>
      </c>
      <c r="K287" s="4">
        <f t="shared" si="16"/>
        <v>17</v>
      </c>
      <c r="L287" s="4">
        <v>0</v>
      </c>
      <c r="M287" s="4">
        <v>1715.19</v>
      </c>
      <c r="N287" s="4">
        <v>11244</v>
      </c>
      <c r="O287" s="4">
        <v>0</v>
      </c>
    </row>
    <row r="288" spans="1:15">
      <c r="A288" s="13">
        <v>6</v>
      </c>
      <c r="B288" s="13">
        <v>1214</v>
      </c>
      <c r="C288" s="13" t="s">
        <v>379</v>
      </c>
      <c r="D288" s="13" t="s">
        <v>380</v>
      </c>
      <c r="E288" s="240">
        <v>42342</v>
      </c>
      <c r="F288" s="240">
        <v>42354</v>
      </c>
      <c r="G288" s="12">
        <v>9655.08</v>
      </c>
      <c r="H288" s="12">
        <v>0</v>
      </c>
      <c r="I288" s="12">
        <v>1</v>
      </c>
      <c r="J288" s="12">
        <f t="shared" si="15"/>
        <v>96.550799999999995</v>
      </c>
      <c r="K288" s="4">
        <f t="shared" si="16"/>
        <v>12</v>
      </c>
      <c r="L288" s="4">
        <v>0</v>
      </c>
      <c r="M288" s="4">
        <v>1737.92</v>
      </c>
      <c r="N288" s="4">
        <v>11393</v>
      </c>
      <c r="O288" s="4">
        <v>0</v>
      </c>
    </row>
    <row r="289" spans="1:15">
      <c r="A289" s="13">
        <v>6</v>
      </c>
      <c r="B289" s="13">
        <v>1219</v>
      </c>
      <c r="C289" s="13" t="s">
        <v>379</v>
      </c>
      <c r="D289" s="13" t="s">
        <v>380</v>
      </c>
      <c r="E289" s="240">
        <v>42348</v>
      </c>
      <c r="F289" s="240">
        <v>42359</v>
      </c>
      <c r="G289" s="12">
        <v>5105.08</v>
      </c>
      <c r="H289" s="12">
        <v>0</v>
      </c>
      <c r="I289" s="12">
        <v>1</v>
      </c>
      <c r="J289" s="12">
        <f t="shared" si="15"/>
        <v>51.050800000000002</v>
      </c>
      <c r="K289" s="4">
        <f t="shared" si="16"/>
        <v>11</v>
      </c>
      <c r="L289" s="4">
        <v>0</v>
      </c>
      <c r="M289" s="4">
        <v>918.92</v>
      </c>
      <c r="N289" s="4">
        <v>6024</v>
      </c>
      <c r="O289" s="4">
        <v>0</v>
      </c>
    </row>
    <row r="290" spans="1:15">
      <c r="A290" s="13">
        <v>6</v>
      </c>
      <c r="B290" s="13">
        <v>1227</v>
      </c>
      <c r="C290" s="13" t="s">
        <v>379</v>
      </c>
      <c r="D290" s="13" t="s">
        <v>380</v>
      </c>
      <c r="E290" s="240">
        <v>42353</v>
      </c>
      <c r="F290" s="240">
        <v>42366</v>
      </c>
      <c r="G290" s="12">
        <v>3160.17</v>
      </c>
      <c r="H290" s="12">
        <v>0</v>
      </c>
      <c r="I290" s="12">
        <v>1</v>
      </c>
      <c r="J290" s="12">
        <f t="shared" si="15"/>
        <v>31.601700000000001</v>
      </c>
      <c r="K290" s="4">
        <f t="shared" si="16"/>
        <v>13</v>
      </c>
      <c r="L290" s="4">
        <v>0</v>
      </c>
      <c r="M290" s="4">
        <v>568.83000000000004</v>
      </c>
      <c r="N290" s="4">
        <v>3729</v>
      </c>
      <c r="O290" s="4">
        <v>0</v>
      </c>
    </row>
    <row r="291" spans="1:15">
      <c r="A291" s="13">
        <v>6</v>
      </c>
      <c r="B291" s="13">
        <v>1228</v>
      </c>
      <c r="C291" s="13" t="s">
        <v>379</v>
      </c>
      <c r="D291" s="13" t="s">
        <v>380</v>
      </c>
      <c r="E291" s="240">
        <v>42353</v>
      </c>
      <c r="F291" s="240">
        <v>42362</v>
      </c>
      <c r="G291" s="12">
        <v>8924</v>
      </c>
      <c r="H291" s="12">
        <v>0</v>
      </c>
      <c r="I291" s="12">
        <v>1</v>
      </c>
      <c r="J291" s="12">
        <f t="shared" si="15"/>
        <v>89.24</v>
      </c>
      <c r="K291" s="4">
        <f t="shared" si="16"/>
        <v>9</v>
      </c>
      <c r="L291" s="4">
        <v>0</v>
      </c>
      <c r="M291" s="4">
        <v>1606.32</v>
      </c>
      <c r="N291" s="4">
        <v>10530.32</v>
      </c>
      <c r="O291" s="4">
        <v>0</v>
      </c>
    </row>
    <row r="292" spans="1:15">
      <c r="A292" s="13">
        <v>6</v>
      </c>
      <c r="B292" s="13">
        <v>1229</v>
      </c>
      <c r="C292" s="13" t="s">
        <v>379</v>
      </c>
      <c r="D292" s="13" t="s">
        <v>380</v>
      </c>
      <c r="E292" s="240">
        <v>42355</v>
      </c>
      <c r="F292" s="240">
        <v>42362</v>
      </c>
      <c r="G292" s="12">
        <v>8335.59</v>
      </c>
      <c r="H292" s="12">
        <v>0</v>
      </c>
      <c r="I292" s="12">
        <v>1</v>
      </c>
      <c r="J292" s="12">
        <f t="shared" si="15"/>
        <v>83.355900000000005</v>
      </c>
      <c r="K292" s="4">
        <f t="shared" si="16"/>
        <v>7</v>
      </c>
      <c r="L292" s="4">
        <v>0</v>
      </c>
      <c r="M292" s="4">
        <v>1500.41</v>
      </c>
      <c r="N292" s="4">
        <v>9836</v>
      </c>
      <c r="O292" s="4">
        <v>0</v>
      </c>
    </row>
    <row r="293" spans="1:15">
      <c r="G293" s="250">
        <f>SUM(G273:G292)</f>
        <v>116692.19</v>
      </c>
      <c r="J293" s="250">
        <f>SUM(J273:J292)</f>
        <v>1166.9219000000001</v>
      </c>
    </row>
    <row r="296" spans="1:15">
      <c r="A296" s="6"/>
      <c r="B296" s="5" t="s">
        <v>403</v>
      </c>
      <c r="C296" s="251" t="s">
        <v>367</v>
      </c>
      <c r="D296" s="252" t="s">
        <v>414</v>
      </c>
      <c r="E296" s="6"/>
      <c r="F296" s="6"/>
      <c r="G296" s="6"/>
      <c r="H296" s="6"/>
      <c r="I296" s="6"/>
      <c r="J296" s="6"/>
    </row>
    <row r="297" spans="1:1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5">
      <c r="A298" s="1" t="s">
        <v>385</v>
      </c>
      <c r="B298" s="1" t="s">
        <v>370</v>
      </c>
      <c r="C298" s="1" t="s">
        <v>371</v>
      </c>
      <c r="D298" s="1" t="s">
        <v>372</v>
      </c>
      <c r="E298" s="1" t="s">
        <v>386</v>
      </c>
      <c r="F298" s="1" t="s">
        <v>396</v>
      </c>
      <c r="G298" s="1" t="s">
        <v>14</v>
      </c>
      <c r="H298" s="1" t="s">
        <v>397</v>
      </c>
      <c r="I298" s="1" t="s">
        <v>398</v>
      </c>
      <c r="J298" s="1" t="s">
        <v>399</v>
      </c>
    </row>
    <row r="299" spans="1:15">
      <c r="A299" s="253">
        <v>6</v>
      </c>
      <c r="B299" s="253">
        <v>960</v>
      </c>
      <c r="C299" s="253" t="s">
        <v>401</v>
      </c>
      <c r="D299" s="253" t="s">
        <v>380</v>
      </c>
      <c r="E299" s="254">
        <v>42168</v>
      </c>
      <c r="F299" s="254">
        <v>42380</v>
      </c>
      <c r="G299" s="253">
        <v>838.98</v>
      </c>
      <c r="H299" s="253">
        <v>0</v>
      </c>
      <c r="I299" s="253">
        <v>0.1</v>
      </c>
      <c r="J299" s="255">
        <f>G299*I299%</f>
        <v>0.83898000000000006</v>
      </c>
      <c r="K299" s="4">
        <f>F299-E299</f>
        <v>212</v>
      </c>
      <c r="M299" s="4">
        <v>151.02000000000001</v>
      </c>
      <c r="N299" s="4">
        <v>990</v>
      </c>
      <c r="O299" s="4">
        <v>0</v>
      </c>
    </row>
    <row r="300" spans="1:15">
      <c r="A300" s="253">
        <v>6</v>
      </c>
      <c r="B300" s="253">
        <v>1242</v>
      </c>
      <c r="C300" s="253" t="s">
        <v>401</v>
      </c>
      <c r="D300" s="253" t="s">
        <v>380</v>
      </c>
      <c r="E300" s="254">
        <v>42364</v>
      </c>
      <c r="F300" s="254">
        <v>42374</v>
      </c>
      <c r="G300" s="253">
        <v>2799.15</v>
      </c>
      <c r="H300" s="253">
        <v>0</v>
      </c>
      <c r="I300" s="253">
        <v>0.1</v>
      </c>
      <c r="J300" s="255">
        <f>G300*I300%</f>
        <v>2.79915</v>
      </c>
      <c r="K300" s="4">
        <f>F300-E300</f>
        <v>10</v>
      </c>
      <c r="M300" s="4">
        <v>503.85</v>
      </c>
      <c r="N300" s="4">
        <v>3303</v>
      </c>
      <c r="O300" s="4">
        <v>0</v>
      </c>
    </row>
    <row r="301" spans="1:15">
      <c r="A301" s="6"/>
      <c r="B301" s="6"/>
      <c r="C301" s="6"/>
      <c r="D301" s="6"/>
      <c r="E301" s="6"/>
      <c r="F301" s="6"/>
      <c r="G301" s="256">
        <f>SUM(G299:G300)</f>
        <v>3638.13</v>
      </c>
      <c r="H301" s="6"/>
      <c r="I301" s="6"/>
      <c r="J301" s="256">
        <f>SUM(J299:J300)</f>
        <v>3.6381300000000003</v>
      </c>
    </row>
    <row r="303" spans="1:15">
      <c r="B303" s="138" t="s">
        <v>403</v>
      </c>
      <c r="C303" s="244" t="s">
        <v>367</v>
      </c>
      <c r="D303" s="243" t="s">
        <v>415</v>
      </c>
    </row>
    <row r="305" spans="1:17">
      <c r="A305" s="248" t="s">
        <v>385</v>
      </c>
      <c r="B305" s="248" t="s">
        <v>370</v>
      </c>
      <c r="C305" s="248" t="s">
        <v>371</v>
      </c>
      <c r="D305" s="248" t="s">
        <v>372</v>
      </c>
      <c r="E305" s="248" t="s">
        <v>386</v>
      </c>
      <c r="F305" s="248" t="s">
        <v>396</v>
      </c>
      <c r="G305" s="248" t="s">
        <v>14</v>
      </c>
      <c r="H305" s="248" t="s">
        <v>397</v>
      </c>
      <c r="I305" s="248" t="s">
        <v>398</v>
      </c>
      <c r="J305" s="248" t="s">
        <v>399</v>
      </c>
      <c r="K305" s="4" t="s">
        <v>411</v>
      </c>
    </row>
    <row r="306" spans="1:17">
      <c r="A306" s="13">
        <v>1</v>
      </c>
      <c r="B306" s="13">
        <v>314863</v>
      </c>
      <c r="C306" s="13" t="s">
        <v>400</v>
      </c>
      <c r="D306" s="13" t="s">
        <v>380</v>
      </c>
      <c r="E306" s="240">
        <v>42313</v>
      </c>
      <c r="F306" s="240">
        <v>42402</v>
      </c>
      <c r="G306" s="13">
        <v>184.75</v>
      </c>
      <c r="H306" s="13">
        <v>0</v>
      </c>
      <c r="I306" s="13">
        <v>1</v>
      </c>
      <c r="J306" s="12">
        <f t="shared" ref="J306:J312" si="17">G306*I306%</f>
        <v>1.8475000000000001</v>
      </c>
      <c r="N306" s="4">
        <v>0</v>
      </c>
      <c r="O306" s="4">
        <v>33.26</v>
      </c>
      <c r="P306" s="4">
        <v>218.01</v>
      </c>
      <c r="Q306" s="4">
        <v>0</v>
      </c>
    </row>
    <row r="307" spans="1:17">
      <c r="A307" s="13">
        <v>1</v>
      </c>
      <c r="B307" s="13">
        <v>316586</v>
      </c>
      <c r="C307" s="13" t="s">
        <v>400</v>
      </c>
      <c r="D307" s="13" t="s">
        <v>380</v>
      </c>
      <c r="E307" s="240">
        <v>42335</v>
      </c>
      <c r="F307" s="240">
        <v>42402</v>
      </c>
      <c r="G307" s="13">
        <v>97.2</v>
      </c>
      <c r="H307" s="13">
        <v>0</v>
      </c>
      <c r="I307" s="13">
        <v>1</v>
      </c>
      <c r="J307" s="12">
        <f t="shared" si="17"/>
        <v>0.97200000000000009</v>
      </c>
      <c r="N307" s="4">
        <v>0</v>
      </c>
      <c r="O307" s="4">
        <v>17.5</v>
      </c>
      <c r="P307" s="4">
        <v>114.7</v>
      </c>
      <c r="Q307" s="4">
        <v>0</v>
      </c>
    </row>
    <row r="308" spans="1:17">
      <c r="A308" s="13">
        <v>1</v>
      </c>
      <c r="B308" s="13">
        <v>316620</v>
      </c>
      <c r="C308" s="13" t="s">
        <v>400</v>
      </c>
      <c r="D308" s="13" t="s">
        <v>380</v>
      </c>
      <c r="E308" s="240">
        <v>42335</v>
      </c>
      <c r="F308" s="240">
        <v>42402</v>
      </c>
      <c r="G308" s="13">
        <v>10931.65</v>
      </c>
      <c r="H308" s="13">
        <v>0</v>
      </c>
      <c r="I308" s="13">
        <v>1</v>
      </c>
      <c r="J308" s="12">
        <f t="shared" si="17"/>
        <v>109.3165</v>
      </c>
      <c r="N308" s="4">
        <v>0</v>
      </c>
      <c r="O308" s="4">
        <v>1967.7</v>
      </c>
      <c r="P308" s="4">
        <v>12899.35</v>
      </c>
      <c r="Q308" s="4">
        <v>0</v>
      </c>
    </row>
    <row r="309" spans="1:17">
      <c r="A309" s="13">
        <v>1</v>
      </c>
      <c r="B309" s="13">
        <v>316610</v>
      </c>
      <c r="C309" s="13" t="s">
        <v>400</v>
      </c>
      <c r="D309" s="13" t="s">
        <v>380</v>
      </c>
      <c r="E309" s="240">
        <v>42335</v>
      </c>
      <c r="F309" s="240">
        <v>42402</v>
      </c>
      <c r="G309" s="13">
        <v>1307.05</v>
      </c>
      <c r="H309" s="13">
        <v>0</v>
      </c>
      <c r="I309" s="13">
        <v>1</v>
      </c>
      <c r="J309" s="12">
        <f t="shared" si="17"/>
        <v>13.070499999999999</v>
      </c>
      <c r="N309" s="4">
        <v>0</v>
      </c>
      <c r="O309" s="4">
        <v>235.27</v>
      </c>
      <c r="P309" s="4">
        <v>1542.32</v>
      </c>
      <c r="Q309" s="4">
        <v>0</v>
      </c>
    </row>
    <row r="310" spans="1:17">
      <c r="A310" s="13">
        <v>1</v>
      </c>
      <c r="B310" s="13">
        <v>316619</v>
      </c>
      <c r="C310" s="13" t="s">
        <v>400</v>
      </c>
      <c r="D310" s="13" t="s">
        <v>380</v>
      </c>
      <c r="E310" s="240">
        <v>42335</v>
      </c>
      <c r="F310" s="240">
        <v>42402</v>
      </c>
      <c r="G310" s="13">
        <v>5465.82</v>
      </c>
      <c r="H310" s="13">
        <v>0</v>
      </c>
      <c r="I310" s="13">
        <v>1</v>
      </c>
      <c r="J310" s="12">
        <f t="shared" si="17"/>
        <v>54.658200000000001</v>
      </c>
      <c r="N310" s="4">
        <v>0</v>
      </c>
      <c r="O310" s="4">
        <v>983.85</v>
      </c>
      <c r="P310" s="4">
        <v>6449.67</v>
      </c>
      <c r="Q310" s="4">
        <v>0</v>
      </c>
    </row>
    <row r="311" spans="1:17">
      <c r="A311" s="13">
        <v>1</v>
      </c>
      <c r="B311" s="13">
        <v>316611</v>
      </c>
      <c r="C311" s="13" t="s">
        <v>400</v>
      </c>
      <c r="D311" s="13" t="s">
        <v>380</v>
      </c>
      <c r="E311" s="240">
        <v>42335</v>
      </c>
      <c r="F311" s="240">
        <v>42402</v>
      </c>
      <c r="G311" s="13">
        <v>2614.1</v>
      </c>
      <c r="H311" s="13">
        <v>0</v>
      </c>
      <c r="I311" s="13">
        <v>1</v>
      </c>
      <c r="J311" s="12">
        <f t="shared" si="17"/>
        <v>26.140999999999998</v>
      </c>
      <c r="N311" s="4">
        <v>0</v>
      </c>
      <c r="O311" s="4">
        <v>470.54</v>
      </c>
      <c r="P311" s="4">
        <v>3084.64</v>
      </c>
      <c r="Q311" s="4">
        <v>0</v>
      </c>
    </row>
    <row r="312" spans="1:17">
      <c r="A312" s="13">
        <v>1</v>
      </c>
      <c r="B312" s="13">
        <v>321731</v>
      </c>
      <c r="C312" s="13" t="s">
        <v>402</v>
      </c>
      <c r="D312" s="13" t="s">
        <v>380</v>
      </c>
      <c r="E312" s="240">
        <v>42411</v>
      </c>
      <c r="F312" s="240">
        <v>42411</v>
      </c>
      <c r="G312" s="13">
        <v>3498.24</v>
      </c>
      <c r="H312" s="13">
        <v>0</v>
      </c>
      <c r="I312" s="13">
        <v>1</v>
      </c>
      <c r="J312" s="12">
        <f t="shared" si="17"/>
        <v>34.982399999999998</v>
      </c>
      <c r="N312" s="4">
        <v>0</v>
      </c>
      <c r="O312" s="4">
        <v>629.67999999999995</v>
      </c>
      <c r="P312" s="4">
        <v>4127.92</v>
      </c>
      <c r="Q312" s="4">
        <v>0</v>
      </c>
    </row>
    <row r="313" spans="1:17">
      <c r="F313" s="241" t="s">
        <v>14</v>
      </c>
      <c r="G313" s="137">
        <f>SUM(G306:G312)</f>
        <v>24098.809999999998</v>
      </c>
      <c r="I313" s="241" t="s">
        <v>383</v>
      </c>
      <c r="J313" s="137">
        <f>SUM(J306:J312)</f>
        <v>240.98809999999997</v>
      </c>
    </row>
    <row r="316" spans="1:17">
      <c r="B316" s="138" t="s">
        <v>403</v>
      </c>
      <c r="C316" s="244" t="s">
        <v>367</v>
      </c>
      <c r="D316" s="243" t="s">
        <v>416</v>
      </c>
    </row>
    <row r="318" spans="1:17">
      <c r="A318" s="248" t="s">
        <v>385</v>
      </c>
      <c r="B318" s="248" t="s">
        <v>370</v>
      </c>
      <c r="C318" s="248" t="s">
        <v>371</v>
      </c>
      <c r="D318" s="248" t="s">
        <v>372</v>
      </c>
      <c r="E318" s="248" t="s">
        <v>386</v>
      </c>
      <c r="F318" s="248" t="s">
        <v>396</v>
      </c>
      <c r="G318" s="248" t="s">
        <v>14</v>
      </c>
      <c r="H318" s="257" t="s">
        <v>397</v>
      </c>
      <c r="I318" s="248" t="s">
        <v>398</v>
      </c>
      <c r="J318" s="248" t="s">
        <v>399</v>
      </c>
    </row>
    <row r="319" spans="1:17">
      <c r="A319" s="13">
        <v>6</v>
      </c>
      <c r="B319" s="13">
        <v>960</v>
      </c>
      <c r="C319" s="13" t="s">
        <v>401</v>
      </c>
      <c r="D319" s="13" t="s">
        <v>380</v>
      </c>
      <c r="E319" s="240">
        <v>42168</v>
      </c>
      <c r="F319" s="240">
        <v>42380</v>
      </c>
      <c r="G319" s="13">
        <v>838.98</v>
      </c>
      <c r="H319" s="13">
        <v>0</v>
      </c>
      <c r="I319" s="13">
        <v>1</v>
      </c>
      <c r="J319" s="12">
        <f>G319*I319%</f>
        <v>8.389800000000001</v>
      </c>
    </row>
    <row r="320" spans="1:17">
      <c r="A320" s="13">
        <v>6</v>
      </c>
      <c r="B320" s="13">
        <v>1242</v>
      </c>
      <c r="C320" s="13" t="s">
        <v>401</v>
      </c>
      <c r="D320" s="13" t="s">
        <v>380</v>
      </c>
      <c r="E320" s="240">
        <v>42364</v>
      </c>
      <c r="F320" s="240">
        <v>42374</v>
      </c>
      <c r="G320" s="13">
        <v>2799.15</v>
      </c>
      <c r="H320" s="13">
        <v>0</v>
      </c>
      <c r="I320" s="13">
        <v>1</v>
      </c>
      <c r="J320" s="12">
        <f>G320*I320%</f>
        <v>27.991500000000002</v>
      </c>
    </row>
    <row r="321" spans="1:17">
      <c r="A321" s="13">
        <v>6</v>
      </c>
      <c r="B321" s="13">
        <v>2071</v>
      </c>
      <c r="C321" s="13" t="s">
        <v>381</v>
      </c>
      <c r="D321" s="13" t="s">
        <v>382</v>
      </c>
      <c r="E321" s="240">
        <v>42425</v>
      </c>
      <c r="F321" s="240">
        <v>42440</v>
      </c>
      <c r="G321" s="13">
        <v>8827.1200000000008</v>
      </c>
      <c r="H321" s="13">
        <v>0</v>
      </c>
      <c r="I321" s="13">
        <v>1</v>
      </c>
      <c r="J321" s="12">
        <f>G321*I321%</f>
        <v>88.271200000000007</v>
      </c>
      <c r="N321" s="4">
        <v>0</v>
      </c>
      <c r="O321" s="4">
        <v>1588.88</v>
      </c>
      <c r="P321" s="4">
        <v>10416</v>
      </c>
      <c r="Q321" s="4">
        <v>0</v>
      </c>
    </row>
    <row r="322" spans="1:17">
      <c r="A322" s="13">
        <v>6</v>
      </c>
      <c r="B322" s="13">
        <v>2070</v>
      </c>
      <c r="C322" s="13" t="s">
        <v>381</v>
      </c>
      <c r="D322" s="13" t="s">
        <v>382</v>
      </c>
      <c r="E322" s="240">
        <v>42425</v>
      </c>
      <c r="F322" s="240">
        <v>42440</v>
      </c>
      <c r="G322" s="13">
        <v>17654.240000000002</v>
      </c>
      <c r="H322" s="13">
        <v>0</v>
      </c>
      <c r="I322" s="13">
        <v>1</v>
      </c>
      <c r="J322" s="12">
        <f>G322*I322%</f>
        <v>176.54240000000001</v>
      </c>
      <c r="N322" s="4">
        <v>0</v>
      </c>
      <c r="O322" s="4">
        <v>3177.76</v>
      </c>
      <c r="P322" s="4">
        <v>20832</v>
      </c>
      <c r="Q322" s="4">
        <v>0</v>
      </c>
    </row>
    <row r="323" spans="1:17">
      <c r="F323" s="258" t="s">
        <v>14</v>
      </c>
      <c r="G323" s="137">
        <f>SUM(G316:G322)</f>
        <v>30119.49</v>
      </c>
      <c r="I323" s="258" t="s">
        <v>383</v>
      </c>
      <c r="J323" s="137">
        <f>SUM(J316:J322)</f>
        <v>301.19490000000002</v>
      </c>
    </row>
    <row r="329" spans="1:17">
      <c r="B329" s="138" t="s">
        <v>403</v>
      </c>
      <c r="C329" s="244" t="s">
        <v>367</v>
      </c>
      <c r="D329" s="243" t="s">
        <v>416</v>
      </c>
    </row>
    <row r="331" spans="1:17">
      <c r="A331" s="248" t="s">
        <v>385</v>
      </c>
      <c r="B331" s="248" t="s">
        <v>370</v>
      </c>
      <c r="C331" s="248" t="s">
        <v>371</v>
      </c>
      <c r="D331" s="248" t="s">
        <v>372</v>
      </c>
      <c r="E331" s="248" t="s">
        <v>386</v>
      </c>
      <c r="F331" s="248" t="s">
        <v>396</v>
      </c>
      <c r="G331" s="248" t="s">
        <v>14</v>
      </c>
      <c r="H331" s="248" t="s">
        <v>397</v>
      </c>
      <c r="I331" s="248" t="s">
        <v>398</v>
      </c>
      <c r="J331" s="248" t="s">
        <v>399</v>
      </c>
    </row>
    <row r="332" spans="1:17">
      <c r="A332" s="13">
        <v>6</v>
      </c>
      <c r="B332" s="13">
        <v>960</v>
      </c>
      <c r="C332" s="13" t="s">
        <v>401</v>
      </c>
      <c r="D332" s="13" t="s">
        <v>380</v>
      </c>
      <c r="E332" s="240">
        <v>42168</v>
      </c>
      <c r="F332" s="240">
        <v>42380</v>
      </c>
      <c r="G332" s="13">
        <v>838.98</v>
      </c>
      <c r="H332" s="13">
        <v>0</v>
      </c>
      <c r="I332" s="13">
        <v>1</v>
      </c>
      <c r="J332" s="12">
        <f t="shared" ref="J332:J347" si="18">G332*I332%</f>
        <v>8.389800000000001</v>
      </c>
    </row>
    <row r="333" spans="1:17">
      <c r="A333" s="13">
        <v>6</v>
      </c>
      <c r="B333" s="13">
        <v>1242</v>
      </c>
      <c r="C333" s="13" t="s">
        <v>401</v>
      </c>
      <c r="D333" s="13" t="s">
        <v>380</v>
      </c>
      <c r="E333" s="240">
        <v>42364</v>
      </c>
      <c r="F333" s="240">
        <v>42374</v>
      </c>
      <c r="G333" s="13">
        <v>2799.15</v>
      </c>
      <c r="H333" s="13">
        <v>0</v>
      </c>
      <c r="I333" s="13">
        <v>1</v>
      </c>
      <c r="J333" s="12">
        <f t="shared" si="18"/>
        <v>27.991500000000002</v>
      </c>
    </row>
    <row r="334" spans="1:17">
      <c r="A334" s="13">
        <v>1</v>
      </c>
      <c r="B334" s="13">
        <v>314863</v>
      </c>
      <c r="C334" s="13" t="s">
        <v>400</v>
      </c>
      <c r="D334" s="13" t="s">
        <v>380</v>
      </c>
      <c r="E334" s="240">
        <v>42313</v>
      </c>
      <c r="F334" s="240">
        <v>42402</v>
      </c>
      <c r="G334" s="13">
        <v>184.75</v>
      </c>
      <c r="H334" s="13">
        <v>0</v>
      </c>
      <c r="I334" s="13">
        <v>1</v>
      </c>
      <c r="J334" s="12">
        <f t="shared" si="18"/>
        <v>1.8475000000000001</v>
      </c>
    </row>
    <row r="335" spans="1:17">
      <c r="A335" s="13">
        <v>1</v>
      </c>
      <c r="B335" s="13">
        <v>316586</v>
      </c>
      <c r="C335" s="13" t="s">
        <v>400</v>
      </c>
      <c r="D335" s="13" t="s">
        <v>380</v>
      </c>
      <c r="E335" s="240">
        <v>42335</v>
      </c>
      <c r="F335" s="240">
        <v>42402</v>
      </c>
      <c r="G335" s="13">
        <v>97.2</v>
      </c>
      <c r="H335" s="13">
        <v>0</v>
      </c>
      <c r="I335" s="13">
        <v>1</v>
      </c>
      <c r="J335" s="12">
        <f t="shared" si="18"/>
        <v>0.97200000000000009</v>
      </c>
    </row>
    <row r="336" spans="1:17">
      <c r="A336" s="13">
        <v>1</v>
      </c>
      <c r="B336" s="13">
        <v>316620</v>
      </c>
      <c r="C336" s="13" t="s">
        <v>400</v>
      </c>
      <c r="D336" s="13" t="s">
        <v>380</v>
      </c>
      <c r="E336" s="240">
        <v>42335</v>
      </c>
      <c r="F336" s="240">
        <v>42402</v>
      </c>
      <c r="G336" s="13">
        <v>10931.65</v>
      </c>
      <c r="H336" s="13">
        <v>0</v>
      </c>
      <c r="I336" s="13">
        <v>1</v>
      </c>
      <c r="J336" s="12">
        <f t="shared" si="18"/>
        <v>109.3165</v>
      </c>
    </row>
    <row r="337" spans="1:10">
      <c r="A337" s="13">
        <v>1</v>
      </c>
      <c r="B337" s="13">
        <v>316610</v>
      </c>
      <c r="C337" s="13" t="s">
        <v>400</v>
      </c>
      <c r="D337" s="13" t="s">
        <v>380</v>
      </c>
      <c r="E337" s="240">
        <v>42335</v>
      </c>
      <c r="F337" s="240">
        <v>42402</v>
      </c>
      <c r="G337" s="13">
        <v>1307.05</v>
      </c>
      <c r="H337" s="13">
        <v>0</v>
      </c>
      <c r="I337" s="13">
        <v>1</v>
      </c>
      <c r="J337" s="12">
        <f t="shared" si="18"/>
        <v>13.070499999999999</v>
      </c>
    </row>
    <row r="338" spans="1:10">
      <c r="A338" s="13">
        <v>1</v>
      </c>
      <c r="B338" s="13">
        <v>316619</v>
      </c>
      <c r="C338" s="13" t="s">
        <v>400</v>
      </c>
      <c r="D338" s="13" t="s">
        <v>380</v>
      </c>
      <c r="E338" s="240">
        <v>42335</v>
      </c>
      <c r="F338" s="240">
        <v>42402</v>
      </c>
      <c r="G338" s="13">
        <v>5465.82</v>
      </c>
      <c r="H338" s="13">
        <v>0</v>
      </c>
      <c r="I338" s="13">
        <v>1</v>
      </c>
      <c r="J338" s="12">
        <f t="shared" si="18"/>
        <v>54.658200000000001</v>
      </c>
    </row>
    <row r="339" spans="1:10">
      <c r="A339" s="13">
        <v>1</v>
      </c>
      <c r="B339" s="13">
        <v>316611</v>
      </c>
      <c r="C339" s="13" t="s">
        <v>400</v>
      </c>
      <c r="D339" s="13" t="s">
        <v>380</v>
      </c>
      <c r="E339" s="240">
        <v>42335</v>
      </c>
      <c r="F339" s="240">
        <v>42402</v>
      </c>
      <c r="G339" s="13">
        <v>2614.1</v>
      </c>
      <c r="H339" s="13">
        <v>0</v>
      </c>
      <c r="I339" s="13">
        <v>1</v>
      </c>
      <c r="J339" s="12">
        <f t="shared" si="18"/>
        <v>26.140999999999998</v>
      </c>
    </row>
    <row r="340" spans="1:10">
      <c r="A340" s="13">
        <v>1</v>
      </c>
      <c r="B340" s="13">
        <v>321731</v>
      </c>
      <c r="C340" s="13" t="s">
        <v>402</v>
      </c>
      <c r="D340" s="13" t="s">
        <v>380</v>
      </c>
      <c r="E340" s="240">
        <v>42411</v>
      </c>
      <c r="F340" s="240">
        <v>42411</v>
      </c>
      <c r="G340" s="13">
        <v>3498.24</v>
      </c>
      <c r="H340" s="13">
        <v>0</v>
      </c>
      <c r="I340" s="13">
        <v>1</v>
      </c>
      <c r="J340" s="12">
        <f t="shared" si="18"/>
        <v>34.982399999999998</v>
      </c>
    </row>
    <row r="341" spans="1:10">
      <c r="A341" s="13">
        <v>6</v>
      </c>
      <c r="B341" s="13">
        <v>2071</v>
      </c>
      <c r="C341" s="13" t="s">
        <v>381</v>
      </c>
      <c r="D341" s="13" t="s">
        <v>382</v>
      </c>
      <c r="E341" s="240">
        <v>42425</v>
      </c>
      <c r="F341" s="240">
        <v>42440</v>
      </c>
      <c r="G341" s="13">
        <v>8827.1200000000008</v>
      </c>
      <c r="H341" s="13">
        <v>0</v>
      </c>
      <c r="I341" s="13">
        <v>1</v>
      </c>
      <c r="J341" s="12">
        <f t="shared" si="18"/>
        <v>88.271200000000007</v>
      </c>
    </row>
    <row r="342" spans="1:10">
      <c r="A342" s="13">
        <v>6</v>
      </c>
      <c r="B342" s="13">
        <v>2070</v>
      </c>
      <c r="C342" s="13" t="s">
        <v>381</v>
      </c>
      <c r="D342" s="13" t="s">
        <v>382</v>
      </c>
      <c r="E342" s="240">
        <v>42425</v>
      </c>
      <c r="F342" s="240">
        <v>42440</v>
      </c>
      <c r="G342" s="13">
        <v>17654.240000000002</v>
      </c>
      <c r="H342" s="13">
        <v>0</v>
      </c>
      <c r="I342" s="13">
        <v>1</v>
      </c>
      <c r="J342" s="12">
        <f t="shared" si="18"/>
        <v>176.54240000000001</v>
      </c>
    </row>
    <row r="343" spans="1:10">
      <c r="A343" s="13">
        <v>1</v>
      </c>
      <c r="B343" s="13">
        <v>323284</v>
      </c>
      <c r="C343" s="13" t="s">
        <v>417</v>
      </c>
      <c r="D343" s="13" t="s">
        <v>380</v>
      </c>
      <c r="E343" s="240">
        <v>42430</v>
      </c>
      <c r="F343" s="240">
        <v>42430</v>
      </c>
      <c r="G343" s="13">
        <v>4537.1000000000004</v>
      </c>
      <c r="H343" s="13">
        <v>0</v>
      </c>
      <c r="I343" s="13">
        <v>1</v>
      </c>
      <c r="J343" s="12">
        <f t="shared" si="18"/>
        <v>45.371000000000002</v>
      </c>
    </row>
    <row r="344" spans="1:10">
      <c r="A344" s="13">
        <v>1</v>
      </c>
      <c r="B344" s="13">
        <v>323893</v>
      </c>
      <c r="C344" s="13" t="s">
        <v>417</v>
      </c>
      <c r="D344" s="13" t="s">
        <v>380</v>
      </c>
      <c r="E344" s="240">
        <v>42437</v>
      </c>
      <c r="F344" s="240">
        <v>42437</v>
      </c>
      <c r="G344" s="13">
        <v>669.6</v>
      </c>
      <c r="H344" s="13">
        <v>0</v>
      </c>
      <c r="I344" s="13">
        <v>1</v>
      </c>
      <c r="J344" s="12">
        <f t="shared" si="18"/>
        <v>6.6960000000000006</v>
      </c>
    </row>
    <row r="345" spans="1:10">
      <c r="A345" s="13">
        <v>1</v>
      </c>
      <c r="B345" s="13">
        <v>324544</v>
      </c>
      <c r="C345" s="13" t="s">
        <v>417</v>
      </c>
      <c r="D345" s="13" t="s">
        <v>380</v>
      </c>
      <c r="E345" s="240">
        <v>42445</v>
      </c>
      <c r="F345" s="240">
        <v>42445</v>
      </c>
      <c r="G345" s="13">
        <v>8745.6</v>
      </c>
      <c r="H345" s="13">
        <v>0</v>
      </c>
      <c r="I345" s="13">
        <v>1</v>
      </c>
      <c r="J345" s="12">
        <f t="shared" si="18"/>
        <v>87.456000000000003</v>
      </c>
    </row>
    <row r="346" spans="1:10">
      <c r="A346" s="13">
        <v>1</v>
      </c>
      <c r="B346" s="13">
        <v>325730</v>
      </c>
      <c r="C346" s="13" t="s">
        <v>417</v>
      </c>
      <c r="D346" s="13" t="s">
        <v>380</v>
      </c>
      <c r="E346" s="240">
        <v>42460</v>
      </c>
      <c r="F346" s="240">
        <v>42460</v>
      </c>
      <c r="G346" s="13">
        <v>2623.68</v>
      </c>
      <c r="H346" s="13">
        <v>0</v>
      </c>
      <c r="I346" s="13">
        <v>1</v>
      </c>
      <c r="J346" s="12">
        <f t="shared" si="18"/>
        <v>26.236799999999999</v>
      </c>
    </row>
    <row r="347" spans="1:10">
      <c r="A347" s="13">
        <v>6</v>
      </c>
      <c r="B347" s="13">
        <v>2084</v>
      </c>
      <c r="C347" s="13" t="s">
        <v>379</v>
      </c>
      <c r="D347" s="13" t="s">
        <v>380</v>
      </c>
      <c r="E347" s="240">
        <v>42436</v>
      </c>
      <c r="F347" s="240">
        <v>42459</v>
      </c>
      <c r="G347" s="13">
        <v>25050.85</v>
      </c>
      <c r="H347" s="13">
        <v>0</v>
      </c>
      <c r="I347" s="13">
        <v>1</v>
      </c>
      <c r="J347" s="12">
        <f t="shared" si="18"/>
        <v>250.5085</v>
      </c>
    </row>
    <row r="348" spans="1:10">
      <c r="F348" s="258" t="s">
        <v>14</v>
      </c>
      <c r="G348" s="137">
        <f>SUM(G332:G347)</f>
        <v>95845.13</v>
      </c>
      <c r="I348" s="258" t="s">
        <v>383</v>
      </c>
      <c r="J348" s="137">
        <f>SUM(J332:J347)</f>
        <v>958.45130000000006</v>
      </c>
    </row>
    <row r="351" spans="1:10">
      <c r="B351" s="138" t="s">
        <v>403</v>
      </c>
      <c r="C351" s="244" t="s">
        <v>367</v>
      </c>
      <c r="D351" s="243" t="s">
        <v>416</v>
      </c>
    </row>
    <row r="353" spans="1:10">
      <c r="A353" s="248" t="s">
        <v>385</v>
      </c>
      <c r="B353" s="248" t="s">
        <v>370</v>
      </c>
      <c r="C353" s="248" t="s">
        <v>371</v>
      </c>
      <c r="D353" s="248" t="s">
        <v>372</v>
      </c>
      <c r="E353" s="248" t="s">
        <v>386</v>
      </c>
      <c r="F353" s="248" t="s">
        <v>396</v>
      </c>
      <c r="G353" s="248" t="s">
        <v>14</v>
      </c>
      <c r="H353" s="248" t="s">
        <v>397</v>
      </c>
      <c r="I353" s="248" t="s">
        <v>398</v>
      </c>
      <c r="J353" s="248" t="s">
        <v>399</v>
      </c>
    </row>
    <row r="354" spans="1:10">
      <c r="A354" s="13">
        <v>6</v>
      </c>
      <c r="B354" s="13">
        <v>960</v>
      </c>
      <c r="C354" s="13" t="s">
        <v>401</v>
      </c>
      <c r="D354" s="13" t="s">
        <v>380</v>
      </c>
      <c r="E354" s="240">
        <v>42168</v>
      </c>
      <c r="F354" s="240">
        <v>42380</v>
      </c>
      <c r="G354" s="13">
        <v>838.98</v>
      </c>
      <c r="H354" s="13">
        <v>0</v>
      </c>
      <c r="I354" s="13">
        <v>1</v>
      </c>
      <c r="J354" s="12">
        <f t="shared" ref="J354:J368" si="19">G354*I354%</f>
        <v>8.389800000000001</v>
      </c>
    </row>
    <row r="355" spans="1:10">
      <c r="A355" s="13">
        <v>6</v>
      </c>
      <c r="B355" s="13">
        <v>1242</v>
      </c>
      <c r="C355" s="13" t="s">
        <v>401</v>
      </c>
      <c r="D355" s="13" t="s">
        <v>380</v>
      </c>
      <c r="E355" s="240">
        <v>42364</v>
      </c>
      <c r="F355" s="240">
        <v>42374</v>
      </c>
      <c r="G355" s="13">
        <v>2799.15</v>
      </c>
      <c r="H355" s="13">
        <v>0</v>
      </c>
      <c r="I355" s="13">
        <v>1</v>
      </c>
      <c r="J355" s="12">
        <f t="shared" si="19"/>
        <v>27.991500000000002</v>
      </c>
    </row>
    <row r="356" spans="1:10">
      <c r="A356" s="13">
        <v>1</v>
      </c>
      <c r="B356" s="13">
        <v>314863</v>
      </c>
      <c r="C356" s="13" t="s">
        <v>400</v>
      </c>
      <c r="D356" s="13" t="s">
        <v>380</v>
      </c>
      <c r="E356" s="240">
        <v>42313</v>
      </c>
      <c r="F356" s="240">
        <v>42402</v>
      </c>
      <c r="G356" s="13">
        <v>184.75</v>
      </c>
      <c r="H356" s="13">
        <v>0</v>
      </c>
      <c r="I356" s="13">
        <v>1</v>
      </c>
      <c r="J356" s="12">
        <f t="shared" si="19"/>
        <v>1.8475000000000001</v>
      </c>
    </row>
    <row r="357" spans="1:10">
      <c r="A357" s="13">
        <v>1</v>
      </c>
      <c r="B357" s="13">
        <v>316586</v>
      </c>
      <c r="C357" s="13" t="s">
        <v>400</v>
      </c>
      <c r="D357" s="13" t="s">
        <v>380</v>
      </c>
      <c r="E357" s="240">
        <v>42335</v>
      </c>
      <c r="F357" s="240">
        <v>42402</v>
      </c>
      <c r="G357" s="13">
        <v>97.2</v>
      </c>
      <c r="H357" s="13">
        <v>0</v>
      </c>
      <c r="I357" s="13">
        <v>1</v>
      </c>
      <c r="J357" s="12">
        <f t="shared" si="19"/>
        <v>0.97200000000000009</v>
      </c>
    </row>
    <row r="358" spans="1:10">
      <c r="A358" s="13">
        <v>1</v>
      </c>
      <c r="B358" s="13">
        <v>316620</v>
      </c>
      <c r="C358" s="13" t="s">
        <v>400</v>
      </c>
      <c r="D358" s="13" t="s">
        <v>380</v>
      </c>
      <c r="E358" s="240">
        <v>42335</v>
      </c>
      <c r="F358" s="240">
        <v>42402</v>
      </c>
      <c r="G358" s="13">
        <v>10931.65</v>
      </c>
      <c r="H358" s="13">
        <v>0</v>
      </c>
      <c r="I358" s="13">
        <v>1</v>
      </c>
      <c r="J358" s="12">
        <f t="shared" si="19"/>
        <v>109.3165</v>
      </c>
    </row>
    <row r="359" spans="1:10">
      <c r="A359" s="13">
        <v>1</v>
      </c>
      <c r="B359" s="13">
        <v>316610</v>
      </c>
      <c r="C359" s="13" t="s">
        <v>400</v>
      </c>
      <c r="D359" s="13" t="s">
        <v>380</v>
      </c>
      <c r="E359" s="240">
        <v>42335</v>
      </c>
      <c r="F359" s="240">
        <v>42402</v>
      </c>
      <c r="G359" s="13">
        <v>1307.05</v>
      </c>
      <c r="H359" s="13">
        <v>0</v>
      </c>
      <c r="I359" s="13">
        <v>1</v>
      </c>
      <c r="J359" s="12">
        <f t="shared" si="19"/>
        <v>13.070499999999999</v>
      </c>
    </row>
    <row r="360" spans="1:10">
      <c r="A360" s="13">
        <v>1</v>
      </c>
      <c r="B360" s="13">
        <v>316619</v>
      </c>
      <c r="C360" s="13" t="s">
        <v>400</v>
      </c>
      <c r="D360" s="13" t="s">
        <v>380</v>
      </c>
      <c r="E360" s="240">
        <v>42335</v>
      </c>
      <c r="F360" s="240">
        <v>42402</v>
      </c>
      <c r="G360" s="13">
        <v>5465.82</v>
      </c>
      <c r="H360" s="13">
        <v>0</v>
      </c>
      <c r="I360" s="13">
        <v>1</v>
      </c>
      <c r="J360" s="12">
        <f t="shared" si="19"/>
        <v>54.658200000000001</v>
      </c>
    </row>
    <row r="361" spans="1:10">
      <c r="A361" s="13">
        <v>1</v>
      </c>
      <c r="B361" s="13">
        <v>316611</v>
      </c>
      <c r="C361" s="13" t="s">
        <v>400</v>
      </c>
      <c r="D361" s="13" t="s">
        <v>380</v>
      </c>
      <c r="E361" s="240">
        <v>42335</v>
      </c>
      <c r="F361" s="240">
        <v>42402</v>
      </c>
      <c r="G361" s="13">
        <v>2614.1</v>
      </c>
      <c r="H361" s="13">
        <v>0</v>
      </c>
      <c r="I361" s="13">
        <v>1</v>
      </c>
      <c r="J361" s="12">
        <f t="shared" si="19"/>
        <v>26.140999999999998</v>
      </c>
    </row>
    <row r="362" spans="1:10">
      <c r="A362" s="13">
        <v>1</v>
      </c>
      <c r="B362" s="13">
        <v>321731</v>
      </c>
      <c r="C362" s="13" t="s">
        <v>402</v>
      </c>
      <c r="D362" s="13" t="s">
        <v>380</v>
      </c>
      <c r="E362" s="240">
        <v>42411</v>
      </c>
      <c r="F362" s="240">
        <v>42411</v>
      </c>
      <c r="G362" s="13">
        <v>3498.24</v>
      </c>
      <c r="H362" s="13">
        <v>0</v>
      </c>
      <c r="I362" s="13">
        <v>1</v>
      </c>
      <c r="J362" s="12">
        <f t="shared" si="19"/>
        <v>34.982399999999998</v>
      </c>
    </row>
    <row r="363" spans="1:10">
      <c r="A363" s="13">
        <v>6</v>
      </c>
      <c r="B363" s="13">
        <v>2071</v>
      </c>
      <c r="C363" s="13" t="s">
        <v>381</v>
      </c>
      <c r="D363" s="13" t="s">
        <v>382</v>
      </c>
      <c r="E363" s="240">
        <v>42425</v>
      </c>
      <c r="F363" s="240">
        <v>42440</v>
      </c>
      <c r="G363" s="13">
        <v>8827.1200000000008</v>
      </c>
      <c r="H363" s="13">
        <v>0</v>
      </c>
      <c r="I363" s="13">
        <v>1</v>
      </c>
      <c r="J363" s="12">
        <f t="shared" si="19"/>
        <v>88.271200000000007</v>
      </c>
    </row>
    <row r="364" spans="1:10">
      <c r="A364" s="13">
        <v>6</v>
      </c>
      <c r="B364" s="13">
        <v>2070</v>
      </c>
      <c r="C364" s="13" t="s">
        <v>381</v>
      </c>
      <c r="D364" s="13" t="s">
        <v>382</v>
      </c>
      <c r="E364" s="240">
        <v>42425</v>
      </c>
      <c r="F364" s="240">
        <v>42440</v>
      </c>
      <c r="G364" s="13">
        <v>17654.240000000002</v>
      </c>
      <c r="H364" s="13">
        <v>0</v>
      </c>
      <c r="I364" s="13">
        <v>1</v>
      </c>
      <c r="J364" s="12">
        <f t="shared" si="19"/>
        <v>176.54240000000001</v>
      </c>
    </row>
    <row r="365" spans="1:10">
      <c r="A365" s="13">
        <v>1</v>
      </c>
      <c r="B365" s="13">
        <v>323284</v>
      </c>
      <c r="C365" s="13" t="s">
        <v>417</v>
      </c>
      <c r="D365" s="13" t="s">
        <v>380</v>
      </c>
      <c r="E365" s="240">
        <v>42430</v>
      </c>
      <c r="F365" s="240">
        <v>42430</v>
      </c>
      <c r="G365" s="13">
        <v>4537.1000000000004</v>
      </c>
      <c r="H365" s="13">
        <v>0</v>
      </c>
      <c r="I365" s="13">
        <v>1</v>
      </c>
      <c r="J365" s="12">
        <f t="shared" si="19"/>
        <v>45.371000000000002</v>
      </c>
    </row>
    <row r="366" spans="1:10">
      <c r="A366" s="13">
        <v>1</v>
      </c>
      <c r="B366" s="13">
        <v>323893</v>
      </c>
      <c r="C366" s="13" t="s">
        <v>417</v>
      </c>
      <c r="D366" s="13" t="s">
        <v>380</v>
      </c>
      <c r="E366" s="240">
        <v>42437</v>
      </c>
      <c r="F366" s="240">
        <v>42437</v>
      </c>
      <c r="G366" s="13">
        <v>669.6</v>
      </c>
      <c r="H366" s="13">
        <v>0</v>
      </c>
      <c r="I366" s="13">
        <v>1</v>
      </c>
      <c r="J366" s="12">
        <f t="shared" si="19"/>
        <v>6.6960000000000006</v>
      </c>
    </row>
    <row r="367" spans="1:10">
      <c r="A367" s="13">
        <v>1</v>
      </c>
      <c r="B367" s="13">
        <v>324544</v>
      </c>
      <c r="C367" s="13" t="s">
        <v>417</v>
      </c>
      <c r="D367" s="13" t="s">
        <v>380</v>
      </c>
      <c r="E367" s="240">
        <v>42445</v>
      </c>
      <c r="F367" s="240">
        <v>42445</v>
      </c>
      <c r="G367" s="13">
        <v>8745.6</v>
      </c>
      <c r="H367" s="13">
        <v>0</v>
      </c>
      <c r="I367" s="13">
        <v>1</v>
      </c>
      <c r="J367" s="12">
        <f t="shared" si="19"/>
        <v>87.456000000000003</v>
      </c>
    </row>
    <row r="368" spans="1:10">
      <c r="A368" s="13">
        <v>1</v>
      </c>
      <c r="B368" s="13">
        <v>325730</v>
      </c>
      <c r="C368" s="13" t="s">
        <v>417</v>
      </c>
      <c r="D368" s="13" t="s">
        <v>380</v>
      </c>
      <c r="E368" s="240">
        <v>42460</v>
      </c>
      <c r="F368" s="240">
        <v>42460</v>
      </c>
      <c r="G368" s="13">
        <v>2623.68</v>
      </c>
      <c r="H368" s="13">
        <v>0</v>
      </c>
      <c r="I368" s="13">
        <v>1</v>
      </c>
      <c r="J368" s="12">
        <f t="shared" si="19"/>
        <v>26.236799999999999</v>
      </c>
    </row>
    <row r="369" spans="1:10">
      <c r="F369" s="258" t="s">
        <v>14</v>
      </c>
      <c r="G369" s="137">
        <f>SUM(G354:G368)</f>
        <v>70794.28</v>
      </c>
      <c r="I369" s="258" t="s">
        <v>383</v>
      </c>
      <c r="J369" s="137">
        <f>SUM(J354:J368)</f>
        <v>707.94280000000003</v>
      </c>
    </row>
    <row r="375" spans="1:10">
      <c r="B375" s="138" t="s">
        <v>403</v>
      </c>
      <c r="C375" s="244" t="s">
        <v>367</v>
      </c>
      <c r="D375" s="243" t="s">
        <v>415</v>
      </c>
    </row>
    <row r="377" spans="1:10">
      <c r="A377" s="248" t="s">
        <v>385</v>
      </c>
      <c r="B377" s="248" t="s">
        <v>370</v>
      </c>
      <c r="C377" s="248" t="s">
        <v>371</v>
      </c>
      <c r="D377" s="248" t="s">
        <v>372</v>
      </c>
      <c r="E377" s="248" t="s">
        <v>386</v>
      </c>
      <c r="F377" s="248" t="s">
        <v>396</v>
      </c>
      <c r="G377" s="248" t="s">
        <v>14</v>
      </c>
      <c r="H377" s="248" t="s">
        <v>397</v>
      </c>
      <c r="I377" s="248" t="s">
        <v>398</v>
      </c>
      <c r="J377" s="248" t="s">
        <v>399</v>
      </c>
    </row>
    <row r="378" spans="1:10">
      <c r="A378" s="13">
        <v>6</v>
      </c>
      <c r="B378" s="13">
        <v>960</v>
      </c>
      <c r="C378" s="13" t="s">
        <v>401</v>
      </c>
      <c r="D378" s="13" t="s">
        <v>380</v>
      </c>
      <c r="E378" s="240">
        <v>42168</v>
      </c>
      <c r="F378" s="240">
        <v>42380</v>
      </c>
      <c r="G378" s="13">
        <v>838.98</v>
      </c>
      <c r="H378" s="13">
        <v>0</v>
      </c>
      <c r="I378" s="13">
        <v>0.1</v>
      </c>
      <c r="J378" s="12">
        <f t="shared" ref="J378:J386" si="20">G378*I378%</f>
        <v>0.83898000000000006</v>
      </c>
    </row>
    <row r="379" spans="1:10">
      <c r="A379" s="13">
        <v>6</v>
      </c>
      <c r="B379" s="13">
        <v>1242</v>
      </c>
      <c r="C379" s="13" t="s">
        <v>401</v>
      </c>
      <c r="D379" s="13" t="s">
        <v>380</v>
      </c>
      <c r="E379" s="240">
        <v>42364</v>
      </c>
      <c r="F379" s="240">
        <v>42374</v>
      </c>
      <c r="G379" s="13">
        <v>2799.15</v>
      </c>
      <c r="H379" s="13">
        <v>0</v>
      </c>
      <c r="I379" s="13">
        <v>0.1</v>
      </c>
      <c r="J379" s="12">
        <f t="shared" si="20"/>
        <v>2.79915</v>
      </c>
    </row>
    <row r="380" spans="1:10">
      <c r="A380" s="13">
        <v>1</v>
      </c>
      <c r="B380" s="13">
        <v>314863</v>
      </c>
      <c r="C380" s="13" t="s">
        <v>400</v>
      </c>
      <c r="D380" s="13" t="s">
        <v>380</v>
      </c>
      <c r="E380" s="240">
        <v>42313</v>
      </c>
      <c r="F380" s="240">
        <v>42402</v>
      </c>
      <c r="G380" s="13">
        <v>184.75</v>
      </c>
      <c r="H380" s="13">
        <v>0</v>
      </c>
      <c r="I380" s="13">
        <v>1</v>
      </c>
      <c r="J380" s="12">
        <f t="shared" si="20"/>
        <v>1.8475000000000001</v>
      </c>
    </row>
    <row r="381" spans="1:10">
      <c r="A381" s="13">
        <v>1</v>
      </c>
      <c r="B381" s="13">
        <v>316586</v>
      </c>
      <c r="C381" s="13" t="s">
        <v>400</v>
      </c>
      <c r="D381" s="13" t="s">
        <v>380</v>
      </c>
      <c r="E381" s="240">
        <v>42335</v>
      </c>
      <c r="F381" s="240">
        <v>42402</v>
      </c>
      <c r="G381" s="13">
        <v>97.2</v>
      </c>
      <c r="H381" s="13">
        <v>0</v>
      </c>
      <c r="I381" s="13">
        <v>1</v>
      </c>
      <c r="J381" s="12">
        <f t="shared" si="20"/>
        <v>0.97200000000000009</v>
      </c>
    </row>
    <row r="382" spans="1:10">
      <c r="A382" s="13">
        <v>1</v>
      </c>
      <c r="B382" s="13">
        <v>316620</v>
      </c>
      <c r="C382" s="13" t="s">
        <v>400</v>
      </c>
      <c r="D382" s="13" t="s">
        <v>380</v>
      </c>
      <c r="E382" s="240">
        <v>42335</v>
      </c>
      <c r="F382" s="240">
        <v>42402</v>
      </c>
      <c r="G382" s="13">
        <v>10931.65</v>
      </c>
      <c r="H382" s="13">
        <v>0</v>
      </c>
      <c r="I382" s="13">
        <v>1</v>
      </c>
      <c r="J382" s="12">
        <f t="shared" si="20"/>
        <v>109.3165</v>
      </c>
    </row>
    <row r="383" spans="1:10">
      <c r="A383" s="13">
        <v>1</v>
      </c>
      <c r="B383" s="13">
        <v>316610</v>
      </c>
      <c r="C383" s="13" t="s">
        <v>400</v>
      </c>
      <c r="D383" s="13" t="s">
        <v>380</v>
      </c>
      <c r="E383" s="240">
        <v>42335</v>
      </c>
      <c r="F383" s="240">
        <v>42402</v>
      </c>
      <c r="G383" s="13">
        <v>1307.05</v>
      </c>
      <c r="H383" s="13">
        <v>0</v>
      </c>
      <c r="I383" s="13">
        <v>1</v>
      </c>
      <c r="J383" s="12">
        <f t="shared" si="20"/>
        <v>13.070499999999999</v>
      </c>
    </row>
    <row r="384" spans="1:10">
      <c r="A384" s="13">
        <v>1</v>
      </c>
      <c r="B384" s="13">
        <v>316619</v>
      </c>
      <c r="C384" s="13" t="s">
        <v>400</v>
      </c>
      <c r="D384" s="13" t="s">
        <v>380</v>
      </c>
      <c r="E384" s="240">
        <v>42335</v>
      </c>
      <c r="F384" s="240">
        <v>42402</v>
      </c>
      <c r="G384" s="13">
        <v>5465.82</v>
      </c>
      <c r="H384" s="13">
        <v>0</v>
      </c>
      <c r="I384" s="13">
        <v>1</v>
      </c>
      <c r="J384" s="12">
        <f t="shared" si="20"/>
        <v>54.658200000000001</v>
      </c>
    </row>
    <row r="385" spans="1:10">
      <c r="A385" s="13">
        <v>1</v>
      </c>
      <c r="B385" s="13">
        <v>316611</v>
      </c>
      <c r="C385" s="13" t="s">
        <v>400</v>
      </c>
      <c r="D385" s="13" t="s">
        <v>380</v>
      </c>
      <c r="E385" s="240">
        <v>42335</v>
      </c>
      <c r="F385" s="240">
        <v>42402</v>
      </c>
      <c r="G385" s="13">
        <v>2614.1</v>
      </c>
      <c r="H385" s="13">
        <v>0</v>
      </c>
      <c r="I385" s="13">
        <v>1</v>
      </c>
      <c r="J385" s="12">
        <f t="shared" si="20"/>
        <v>26.140999999999998</v>
      </c>
    </row>
    <row r="386" spans="1:10">
      <c r="A386" s="13">
        <v>1</v>
      </c>
      <c r="B386" s="13">
        <v>321731</v>
      </c>
      <c r="C386" s="13" t="s">
        <v>402</v>
      </c>
      <c r="D386" s="13" t="s">
        <v>380</v>
      </c>
      <c r="E386" s="240">
        <v>42411</v>
      </c>
      <c r="F386" s="240">
        <v>42411</v>
      </c>
      <c r="G386" s="13">
        <v>3498.24</v>
      </c>
      <c r="H386" s="13">
        <v>0</v>
      </c>
      <c r="I386" s="13">
        <v>1</v>
      </c>
      <c r="J386" s="12">
        <f t="shared" si="20"/>
        <v>34.982399999999998</v>
      </c>
    </row>
    <row r="387" spans="1:10">
      <c r="F387" s="258" t="s">
        <v>14</v>
      </c>
      <c r="G387" s="137">
        <f>SUM(G378:G386)</f>
        <v>27736.939999999995</v>
      </c>
      <c r="I387" s="258" t="s">
        <v>383</v>
      </c>
      <c r="J387" s="137">
        <f>SUM(J378:J386)</f>
        <v>244.62622999999996</v>
      </c>
    </row>
    <row r="391" spans="1:10">
      <c r="B391" s="138" t="s">
        <v>403</v>
      </c>
      <c r="C391" s="244" t="s">
        <v>367</v>
      </c>
      <c r="D391" s="243" t="s">
        <v>416</v>
      </c>
    </row>
    <row r="392" spans="1:10">
      <c r="B392" s="138"/>
      <c r="C392" s="244"/>
      <c r="D392" s="243"/>
    </row>
    <row r="393" spans="1:10">
      <c r="A393" s="248" t="s">
        <v>385</v>
      </c>
      <c r="B393" s="248" t="s">
        <v>370</v>
      </c>
      <c r="C393" s="248" t="s">
        <v>371</v>
      </c>
      <c r="D393" s="248" t="s">
        <v>372</v>
      </c>
      <c r="E393" s="248" t="s">
        <v>386</v>
      </c>
      <c r="F393" s="248" t="s">
        <v>396</v>
      </c>
      <c r="G393" s="248" t="s">
        <v>14</v>
      </c>
      <c r="H393" s="248" t="s">
        <v>397</v>
      </c>
      <c r="I393" s="248" t="s">
        <v>398</v>
      </c>
      <c r="J393" s="248" t="s">
        <v>399</v>
      </c>
    </row>
    <row r="394" spans="1:10">
      <c r="A394" s="13">
        <v>6</v>
      </c>
      <c r="B394" s="13">
        <v>960</v>
      </c>
      <c r="C394" s="13" t="s">
        <v>401</v>
      </c>
      <c r="D394" s="13" t="s">
        <v>380</v>
      </c>
      <c r="E394" s="240">
        <v>42168</v>
      </c>
      <c r="F394" s="240">
        <v>42380</v>
      </c>
      <c r="G394" s="13">
        <v>838.98</v>
      </c>
      <c r="H394" s="13">
        <v>0</v>
      </c>
      <c r="I394" s="13">
        <v>0.9</v>
      </c>
      <c r="J394" s="12">
        <f t="shared" ref="J394:J402" si="21">G394*I394%</f>
        <v>7.5508200000000008</v>
      </c>
    </row>
    <row r="395" spans="1:10">
      <c r="A395" s="13">
        <v>6</v>
      </c>
      <c r="B395" s="13">
        <v>1242</v>
      </c>
      <c r="C395" s="13" t="s">
        <v>401</v>
      </c>
      <c r="D395" s="13" t="s">
        <v>380</v>
      </c>
      <c r="E395" s="240">
        <v>42364</v>
      </c>
      <c r="F395" s="240">
        <v>42374</v>
      </c>
      <c r="G395" s="13">
        <v>2799.15</v>
      </c>
      <c r="H395" s="13">
        <v>0</v>
      </c>
      <c r="I395" s="13">
        <v>0.9</v>
      </c>
      <c r="J395" s="12">
        <f t="shared" si="21"/>
        <v>25.192350000000005</v>
      </c>
    </row>
    <row r="396" spans="1:10">
      <c r="A396" s="13">
        <v>1</v>
      </c>
      <c r="B396" s="253">
        <v>323284</v>
      </c>
      <c r="C396" s="13" t="s">
        <v>417</v>
      </c>
      <c r="D396" s="13" t="s">
        <v>380</v>
      </c>
      <c r="E396" s="240">
        <v>42430</v>
      </c>
      <c r="F396" s="240">
        <v>42430</v>
      </c>
      <c r="G396" s="13">
        <v>4537.1000000000004</v>
      </c>
      <c r="H396" s="13">
        <v>0</v>
      </c>
      <c r="I396" s="13">
        <v>1</v>
      </c>
      <c r="J396" s="12">
        <f t="shared" si="21"/>
        <v>45.371000000000002</v>
      </c>
    </row>
    <row r="397" spans="1:10">
      <c r="A397" s="13">
        <v>1</v>
      </c>
      <c r="B397" s="253">
        <v>323893</v>
      </c>
      <c r="C397" s="13" t="s">
        <v>417</v>
      </c>
      <c r="D397" s="13" t="s">
        <v>380</v>
      </c>
      <c r="E397" s="240">
        <v>42437</v>
      </c>
      <c r="F397" s="240">
        <v>42437</v>
      </c>
      <c r="G397" s="13">
        <v>669.6</v>
      </c>
      <c r="H397" s="13">
        <v>0</v>
      </c>
      <c r="I397" s="13">
        <v>1</v>
      </c>
      <c r="J397" s="12">
        <f t="shared" si="21"/>
        <v>6.6960000000000006</v>
      </c>
    </row>
    <row r="398" spans="1:10">
      <c r="A398" s="13">
        <v>1</v>
      </c>
      <c r="B398" s="253">
        <v>324544</v>
      </c>
      <c r="C398" s="13" t="s">
        <v>417</v>
      </c>
      <c r="D398" s="13" t="s">
        <v>380</v>
      </c>
      <c r="E398" s="240">
        <v>42445</v>
      </c>
      <c r="F398" s="240">
        <v>42445</v>
      </c>
      <c r="G398" s="13">
        <v>8745.6</v>
      </c>
      <c r="H398" s="13">
        <v>0</v>
      </c>
      <c r="I398" s="13">
        <v>1</v>
      </c>
      <c r="J398" s="12">
        <f t="shared" si="21"/>
        <v>87.456000000000003</v>
      </c>
    </row>
    <row r="399" spans="1:10">
      <c r="A399" s="13">
        <v>1</v>
      </c>
      <c r="B399" s="253">
        <v>325730</v>
      </c>
      <c r="C399" s="13" t="s">
        <v>417</v>
      </c>
      <c r="D399" s="13" t="s">
        <v>380</v>
      </c>
      <c r="E399" s="240">
        <v>42460</v>
      </c>
      <c r="F399" s="240">
        <v>42460</v>
      </c>
      <c r="G399" s="13">
        <v>2623.68</v>
      </c>
      <c r="H399" s="13">
        <v>0</v>
      </c>
      <c r="I399" s="13">
        <v>1</v>
      </c>
      <c r="J399" s="12">
        <f t="shared" si="21"/>
        <v>26.236799999999999</v>
      </c>
    </row>
    <row r="400" spans="1:10">
      <c r="A400" s="13">
        <v>6</v>
      </c>
      <c r="B400" s="13">
        <v>2071</v>
      </c>
      <c r="C400" s="13" t="s">
        <v>381</v>
      </c>
      <c r="D400" s="13" t="s">
        <v>382</v>
      </c>
      <c r="E400" s="240">
        <v>42425</v>
      </c>
      <c r="F400" s="240">
        <v>42440</v>
      </c>
      <c r="G400" s="13">
        <v>8827.1200000000008</v>
      </c>
      <c r="H400" s="13">
        <v>0</v>
      </c>
      <c r="I400" s="13">
        <v>1</v>
      </c>
      <c r="J400" s="12">
        <f t="shared" si="21"/>
        <v>88.271200000000007</v>
      </c>
    </row>
    <row r="401" spans="1:18">
      <c r="A401" s="13">
        <v>6</v>
      </c>
      <c r="B401" s="13">
        <v>2070</v>
      </c>
      <c r="C401" s="13" t="s">
        <v>381</v>
      </c>
      <c r="D401" s="13" t="s">
        <v>382</v>
      </c>
      <c r="E401" s="240">
        <v>42425</v>
      </c>
      <c r="F401" s="240">
        <v>42440</v>
      </c>
      <c r="G401" s="13">
        <v>17654.240000000002</v>
      </c>
      <c r="H401" s="13">
        <v>0</v>
      </c>
      <c r="I401" s="13">
        <v>1</v>
      </c>
      <c r="J401" s="12">
        <f t="shared" si="21"/>
        <v>176.54240000000001</v>
      </c>
    </row>
    <row r="402" spans="1:18">
      <c r="A402" s="13">
        <v>6</v>
      </c>
      <c r="B402" s="13">
        <v>2084</v>
      </c>
      <c r="C402" s="13" t="s">
        <v>379</v>
      </c>
      <c r="D402" s="13" t="s">
        <v>380</v>
      </c>
      <c r="E402" s="240">
        <v>42436</v>
      </c>
      <c r="F402" s="240">
        <v>42459</v>
      </c>
      <c r="G402" s="13">
        <v>25050.85</v>
      </c>
      <c r="H402" s="13">
        <v>0</v>
      </c>
      <c r="I402" s="13">
        <v>1</v>
      </c>
      <c r="J402" s="12">
        <f t="shared" si="21"/>
        <v>250.5085</v>
      </c>
    </row>
    <row r="403" spans="1:18">
      <c r="F403" s="258" t="s">
        <v>14</v>
      </c>
      <c r="G403" s="137">
        <f>SUM(G394:G402)</f>
        <v>71746.320000000007</v>
      </c>
      <c r="I403" s="258" t="s">
        <v>383</v>
      </c>
      <c r="J403" s="137">
        <f>SUM(J394:J402)</f>
        <v>713.82506999999998</v>
      </c>
    </row>
    <row r="407" spans="1:18">
      <c r="B407" s="138" t="s">
        <v>403</v>
      </c>
      <c r="C407" s="244" t="s">
        <v>367</v>
      </c>
      <c r="D407" s="243" t="s">
        <v>418</v>
      </c>
    </row>
    <row r="408" spans="1:18">
      <c r="B408" s="138"/>
      <c r="C408" s="244"/>
      <c r="D408" s="243"/>
    </row>
    <row r="409" spans="1:18">
      <c r="A409" s="248" t="s">
        <v>385</v>
      </c>
      <c r="B409" s="248" t="s">
        <v>370</v>
      </c>
      <c r="C409" s="248" t="s">
        <v>371</v>
      </c>
      <c r="D409" s="248" t="s">
        <v>372</v>
      </c>
      <c r="E409" s="248" t="s">
        <v>386</v>
      </c>
      <c r="F409" s="248" t="s">
        <v>396</v>
      </c>
      <c r="G409" s="248" t="s">
        <v>14</v>
      </c>
      <c r="H409" s="248" t="s">
        <v>397</v>
      </c>
      <c r="I409" s="248" t="s">
        <v>398</v>
      </c>
      <c r="J409" s="248" t="s">
        <v>399</v>
      </c>
    </row>
    <row r="410" spans="1:18">
      <c r="A410" s="13">
        <v>1</v>
      </c>
      <c r="B410" s="13">
        <v>326601</v>
      </c>
      <c r="C410" s="13" t="s">
        <v>417</v>
      </c>
      <c r="D410" s="13" t="s">
        <v>380</v>
      </c>
      <c r="E410" s="240">
        <v>42472</v>
      </c>
      <c r="F410" s="240">
        <v>42472</v>
      </c>
      <c r="G410" s="13">
        <v>7228.8</v>
      </c>
      <c r="H410" s="13">
        <v>0</v>
      </c>
      <c r="I410" s="13">
        <v>1</v>
      </c>
      <c r="J410" s="12">
        <f>G410*I410%</f>
        <v>72.287999999999997</v>
      </c>
      <c r="O410" s="4">
        <v>0</v>
      </c>
      <c r="P410" s="4">
        <v>1301.18</v>
      </c>
      <c r="Q410" s="4">
        <v>8529.98</v>
      </c>
      <c r="R410" s="4">
        <v>0</v>
      </c>
    </row>
    <row r="411" spans="1:18">
      <c r="A411" s="13">
        <v>6</v>
      </c>
      <c r="B411" s="13">
        <v>2085</v>
      </c>
      <c r="C411" s="13" t="s">
        <v>379</v>
      </c>
      <c r="D411" s="13" t="s">
        <v>380</v>
      </c>
      <c r="E411" s="240">
        <v>42436</v>
      </c>
      <c r="F411" s="240">
        <v>42479</v>
      </c>
      <c r="G411" s="13">
        <v>12414.66</v>
      </c>
      <c r="H411" s="13">
        <v>0</v>
      </c>
      <c r="I411" s="13">
        <v>1</v>
      </c>
      <c r="J411" s="12">
        <f>G411*I411%</f>
        <v>124.14660000000001</v>
      </c>
      <c r="O411" s="4">
        <v>0</v>
      </c>
      <c r="P411" s="4">
        <v>2234.64</v>
      </c>
      <c r="Q411" s="4">
        <v>14649.3</v>
      </c>
      <c r="R411" s="4">
        <v>14649.3</v>
      </c>
    </row>
    <row r="412" spans="1:18">
      <c r="A412" s="13">
        <v>6</v>
      </c>
      <c r="B412" s="13">
        <v>2118</v>
      </c>
      <c r="C412" s="13" t="s">
        <v>379</v>
      </c>
      <c r="D412" s="13" t="s">
        <v>380</v>
      </c>
      <c r="E412" s="240">
        <v>42479</v>
      </c>
      <c r="F412" s="240">
        <v>42485</v>
      </c>
      <c r="G412" s="13">
        <v>12414.66</v>
      </c>
      <c r="H412" s="13">
        <v>0</v>
      </c>
      <c r="I412" s="13">
        <v>1</v>
      </c>
      <c r="J412" s="12">
        <f>G412*I412%</f>
        <v>124.14660000000001</v>
      </c>
      <c r="O412" s="4">
        <v>0</v>
      </c>
      <c r="P412" s="4">
        <v>2234.64</v>
      </c>
      <c r="Q412" s="4">
        <v>14649.3</v>
      </c>
      <c r="R412" s="4">
        <v>0</v>
      </c>
    </row>
    <row r="413" spans="1:18">
      <c r="F413" s="258" t="s">
        <v>14</v>
      </c>
      <c r="G413" s="137">
        <f>SUM(G410:G412)</f>
        <v>32058.12</v>
      </c>
      <c r="I413" s="258" t="s">
        <v>383</v>
      </c>
      <c r="J413" s="137">
        <f>SUM(J410:J412)</f>
        <v>320.58119999999997</v>
      </c>
    </row>
    <row r="415" spans="1:18">
      <c r="B415" s="138" t="s">
        <v>403</v>
      </c>
      <c r="C415" s="244" t="s">
        <v>367</v>
      </c>
      <c r="D415" s="243" t="s">
        <v>419</v>
      </c>
    </row>
    <row r="416" spans="1:18">
      <c r="B416" s="138"/>
      <c r="C416" s="244"/>
      <c r="D416" s="243"/>
    </row>
    <row r="417" spans="1:18">
      <c r="A417" s="248" t="s">
        <v>385</v>
      </c>
      <c r="B417" s="248" t="s">
        <v>370</v>
      </c>
      <c r="C417" s="248" t="s">
        <v>371</v>
      </c>
      <c r="D417" s="248" t="s">
        <v>372</v>
      </c>
      <c r="E417" s="248" t="s">
        <v>386</v>
      </c>
      <c r="F417" s="248" t="s">
        <v>396</v>
      </c>
      <c r="G417" s="248" t="s">
        <v>14</v>
      </c>
      <c r="H417" s="248" t="s">
        <v>397</v>
      </c>
      <c r="I417" s="248" t="s">
        <v>398</v>
      </c>
      <c r="J417" s="248" t="s">
        <v>399</v>
      </c>
    </row>
    <row r="418" spans="1:18">
      <c r="A418" s="13">
        <v>6</v>
      </c>
      <c r="B418" s="13">
        <v>2123</v>
      </c>
      <c r="C418" s="13" t="s">
        <v>379</v>
      </c>
      <c r="D418" s="13" t="s">
        <v>380</v>
      </c>
      <c r="E418" s="240">
        <v>42480</v>
      </c>
      <c r="F418" s="240">
        <v>42495</v>
      </c>
      <c r="G418" s="13">
        <v>22457.63</v>
      </c>
      <c r="H418" s="13">
        <v>0</v>
      </c>
      <c r="I418" s="13">
        <v>1</v>
      </c>
      <c r="J418" s="12">
        <f t="shared" ref="J418:J423" si="22">G418*I418%</f>
        <v>224.5763</v>
      </c>
      <c r="P418" s="4">
        <v>4042.37</v>
      </c>
      <c r="Q418" s="4">
        <v>26500</v>
      </c>
      <c r="R418" s="4">
        <v>0</v>
      </c>
    </row>
    <row r="419" spans="1:18">
      <c r="A419" s="13">
        <v>6</v>
      </c>
      <c r="B419" s="13">
        <v>2147</v>
      </c>
      <c r="C419" s="13" t="s">
        <v>379</v>
      </c>
      <c r="D419" s="13" t="s">
        <v>380</v>
      </c>
      <c r="E419" s="240">
        <v>42494</v>
      </c>
      <c r="F419" s="240">
        <v>42518</v>
      </c>
      <c r="G419" s="13">
        <v>2338.98</v>
      </c>
      <c r="H419" s="13">
        <v>0</v>
      </c>
      <c r="I419" s="13">
        <v>1</v>
      </c>
      <c r="J419" s="12">
        <f t="shared" si="22"/>
        <v>23.389800000000001</v>
      </c>
      <c r="P419" s="4">
        <v>421.02</v>
      </c>
      <c r="Q419" s="4">
        <v>2760</v>
      </c>
      <c r="R419" s="4">
        <v>0</v>
      </c>
    </row>
    <row r="420" spans="1:18">
      <c r="A420" s="13">
        <v>1</v>
      </c>
      <c r="B420" s="13">
        <v>318763</v>
      </c>
      <c r="C420" s="13" t="s">
        <v>400</v>
      </c>
      <c r="D420" s="13" t="s">
        <v>380</v>
      </c>
      <c r="E420" s="240">
        <v>42369</v>
      </c>
      <c r="F420" s="240">
        <v>42504</v>
      </c>
      <c r="G420" s="13">
        <v>10931.65</v>
      </c>
      <c r="H420" s="13">
        <v>0</v>
      </c>
      <c r="I420" s="13">
        <v>1</v>
      </c>
      <c r="J420" s="12">
        <f t="shared" si="22"/>
        <v>109.3165</v>
      </c>
      <c r="P420" s="4">
        <v>1967.7</v>
      </c>
      <c r="Q420" s="4">
        <v>12899.35</v>
      </c>
      <c r="R420" s="4">
        <v>0</v>
      </c>
    </row>
    <row r="421" spans="1:18">
      <c r="A421" s="13">
        <v>1</v>
      </c>
      <c r="B421" s="13">
        <v>318764</v>
      </c>
      <c r="C421" s="13" t="s">
        <v>400</v>
      </c>
      <c r="D421" s="13" t="s">
        <v>380</v>
      </c>
      <c r="E421" s="240">
        <v>42369</v>
      </c>
      <c r="F421" s="240">
        <v>42504</v>
      </c>
      <c r="G421" s="13">
        <v>2614.1</v>
      </c>
      <c r="H421" s="13">
        <v>0</v>
      </c>
      <c r="I421" s="13">
        <v>1</v>
      </c>
      <c r="J421" s="12">
        <f t="shared" si="22"/>
        <v>26.140999999999998</v>
      </c>
      <c r="P421" s="4">
        <v>470.54</v>
      </c>
      <c r="Q421" s="4">
        <v>3084.64</v>
      </c>
      <c r="R421" s="4">
        <v>0</v>
      </c>
    </row>
    <row r="422" spans="1:18">
      <c r="A422" s="13">
        <v>1</v>
      </c>
      <c r="B422" s="13">
        <v>318766</v>
      </c>
      <c r="C422" s="13" t="s">
        <v>400</v>
      </c>
      <c r="D422" s="13" t="s">
        <v>380</v>
      </c>
      <c r="E422" s="240">
        <v>42369</v>
      </c>
      <c r="F422" s="240">
        <v>42504</v>
      </c>
      <c r="G422" s="13">
        <v>1307.05</v>
      </c>
      <c r="H422" s="13">
        <v>0</v>
      </c>
      <c r="I422" s="13">
        <v>1</v>
      </c>
      <c r="J422" s="12">
        <f t="shared" si="22"/>
        <v>13.070499999999999</v>
      </c>
      <c r="P422" s="4">
        <v>235.27</v>
      </c>
      <c r="Q422" s="4">
        <v>1542.32</v>
      </c>
      <c r="R422" s="4">
        <v>0</v>
      </c>
    </row>
    <row r="423" spans="1:18">
      <c r="A423" s="13">
        <v>1</v>
      </c>
      <c r="B423" s="13">
        <v>318765</v>
      </c>
      <c r="C423" s="13" t="s">
        <v>400</v>
      </c>
      <c r="D423" s="13" t="s">
        <v>380</v>
      </c>
      <c r="E423" s="240">
        <v>42369</v>
      </c>
      <c r="F423" s="240">
        <v>42504</v>
      </c>
      <c r="G423" s="13">
        <v>6559</v>
      </c>
      <c r="H423" s="13">
        <v>0</v>
      </c>
      <c r="I423" s="13">
        <v>1</v>
      </c>
      <c r="J423" s="12">
        <f t="shared" si="22"/>
        <v>65.59</v>
      </c>
      <c r="P423" s="4">
        <v>1180.6199999999999</v>
      </c>
      <c r="Q423" s="4">
        <v>7739.62</v>
      </c>
      <c r="R423" s="4">
        <v>0</v>
      </c>
    </row>
    <row r="424" spans="1:18">
      <c r="F424" s="258" t="s">
        <v>14</v>
      </c>
      <c r="G424" s="137">
        <f>SUM(G418:G423)</f>
        <v>46208.41</v>
      </c>
      <c r="I424" s="258" t="s">
        <v>383</v>
      </c>
      <c r="J424" s="137">
        <f>SUM(J418:J423)</f>
        <v>462.08410000000003</v>
      </c>
    </row>
    <row r="426" spans="1:18">
      <c r="B426" s="138" t="s">
        <v>403</v>
      </c>
      <c r="C426" s="244" t="s">
        <v>367</v>
      </c>
      <c r="D426" s="243" t="s">
        <v>420</v>
      </c>
    </row>
    <row r="427" spans="1:18">
      <c r="B427" s="138"/>
      <c r="C427" s="244"/>
      <c r="D427" s="243"/>
    </row>
    <row r="428" spans="1:18">
      <c r="A428" s="248" t="s">
        <v>385</v>
      </c>
      <c r="B428" s="248" t="s">
        <v>370</v>
      </c>
      <c r="C428" s="248" t="s">
        <v>371</v>
      </c>
      <c r="D428" s="248" t="s">
        <v>372</v>
      </c>
      <c r="E428" s="248" t="s">
        <v>386</v>
      </c>
      <c r="F428" s="248" t="s">
        <v>396</v>
      </c>
      <c r="G428" s="248" t="s">
        <v>14</v>
      </c>
      <c r="H428" s="248" t="s">
        <v>397</v>
      </c>
      <c r="I428" s="248" t="s">
        <v>398</v>
      </c>
      <c r="J428" s="248" t="s">
        <v>399</v>
      </c>
    </row>
    <row r="429" spans="1:18">
      <c r="A429" s="13">
        <v>1</v>
      </c>
      <c r="B429" s="13">
        <v>322993</v>
      </c>
      <c r="C429" s="13" t="s">
        <v>400</v>
      </c>
      <c r="D429" s="13" t="s">
        <v>380</v>
      </c>
      <c r="E429" s="240">
        <v>42429</v>
      </c>
      <c r="F429" s="240">
        <v>42534</v>
      </c>
      <c r="G429" s="13">
        <v>3716.87</v>
      </c>
      <c r="H429" s="13">
        <v>0</v>
      </c>
      <c r="I429" s="13">
        <v>1</v>
      </c>
      <c r="J429" s="12">
        <f t="shared" ref="J429:J435" si="23">G429*I429%</f>
        <v>37.168700000000001</v>
      </c>
    </row>
    <row r="430" spans="1:18">
      <c r="A430" s="13">
        <v>1</v>
      </c>
      <c r="B430" s="13">
        <v>322994</v>
      </c>
      <c r="C430" s="13" t="s">
        <v>400</v>
      </c>
      <c r="D430" s="13" t="s">
        <v>380</v>
      </c>
      <c r="E430" s="240">
        <v>42429</v>
      </c>
      <c r="F430" s="240">
        <v>42534</v>
      </c>
      <c r="G430" s="13">
        <v>2095.84</v>
      </c>
      <c r="H430" s="13">
        <v>0</v>
      </c>
      <c r="I430" s="13">
        <v>1</v>
      </c>
      <c r="J430" s="12">
        <f t="shared" si="23"/>
        <v>20.958400000000001</v>
      </c>
    </row>
    <row r="431" spans="1:18">
      <c r="A431" s="13">
        <v>1</v>
      </c>
      <c r="B431" s="13">
        <v>323268</v>
      </c>
      <c r="C431" s="13" t="s">
        <v>400</v>
      </c>
      <c r="D431" s="13" t="s">
        <v>380</v>
      </c>
      <c r="E431" s="240">
        <v>42429</v>
      </c>
      <c r="F431" s="240">
        <v>42534</v>
      </c>
      <c r="G431" s="13">
        <v>14704.5</v>
      </c>
      <c r="H431" s="13">
        <v>0</v>
      </c>
      <c r="I431" s="13">
        <v>1</v>
      </c>
      <c r="J431" s="12">
        <f t="shared" si="23"/>
        <v>147.04500000000002</v>
      </c>
    </row>
    <row r="432" spans="1:18">
      <c r="A432" s="13">
        <v>6</v>
      </c>
      <c r="B432" s="13">
        <v>2122</v>
      </c>
      <c r="C432" s="13" t="s">
        <v>381</v>
      </c>
      <c r="D432" s="13" t="s">
        <v>382</v>
      </c>
      <c r="E432" s="240">
        <v>42480</v>
      </c>
      <c r="F432" s="240">
        <v>42530</v>
      </c>
      <c r="G432" s="13">
        <v>1501.02</v>
      </c>
      <c r="H432" s="13">
        <v>0</v>
      </c>
      <c r="I432" s="13">
        <v>1</v>
      </c>
      <c r="J432" s="12">
        <f t="shared" si="23"/>
        <v>15.010199999999999</v>
      </c>
    </row>
    <row r="433" spans="1:11">
      <c r="A433" s="13">
        <v>6</v>
      </c>
      <c r="B433" s="13">
        <v>2148</v>
      </c>
      <c r="C433" s="13" t="s">
        <v>379</v>
      </c>
      <c r="D433" s="13" t="s">
        <v>380</v>
      </c>
      <c r="E433" s="240">
        <v>42495</v>
      </c>
      <c r="F433" s="240">
        <v>42529</v>
      </c>
      <c r="G433" s="13">
        <v>8927.9699999999993</v>
      </c>
      <c r="H433" s="13">
        <v>0</v>
      </c>
      <c r="I433" s="13">
        <v>1</v>
      </c>
      <c r="J433" s="12">
        <f t="shared" si="23"/>
        <v>89.279699999999991</v>
      </c>
    </row>
    <row r="434" spans="1:11">
      <c r="A434" s="13">
        <v>1</v>
      </c>
      <c r="B434" s="13">
        <v>331691</v>
      </c>
      <c r="C434" s="13" t="s">
        <v>417</v>
      </c>
      <c r="D434" s="13" t="s">
        <v>380</v>
      </c>
      <c r="E434" s="240">
        <v>42524</v>
      </c>
      <c r="F434" s="240">
        <v>42524</v>
      </c>
      <c r="G434" s="13">
        <v>8745.6</v>
      </c>
      <c r="H434" s="13">
        <v>0</v>
      </c>
      <c r="I434" s="13">
        <v>1</v>
      </c>
      <c r="J434" s="12">
        <f t="shared" si="23"/>
        <v>87.456000000000003</v>
      </c>
    </row>
    <row r="435" spans="1:11">
      <c r="A435" s="13">
        <v>1</v>
      </c>
      <c r="B435" s="13">
        <v>333793</v>
      </c>
      <c r="C435" s="13" t="s">
        <v>417</v>
      </c>
      <c r="D435" s="13" t="s">
        <v>380</v>
      </c>
      <c r="E435" s="240">
        <v>42549</v>
      </c>
      <c r="F435" s="240">
        <v>42549</v>
      </c>
      <c r="G435" s="13">
        <v>5306.08</v>
      </c>
      <c r="H435" s="13">
        <v>0</v>
      </c>
      <c r="I435" s="13">
        <v>1</v>
      </c>
      <c r="J435" s="12">
        <f t="shared" si="23"/>
        <v>53.0608</v>
      </c>
    </row>
    <row r="436" spans="1:11">
      <c r="F436" s="258" t="s">
        <v>14</v>
      </c>
      <c r="G436" s="137">
        <f>SUM(G429:G435)</f>
        <v>44997.88</v>
      </c>
      <c r="I436" s="258" t="s">
        <v>383</v>
      </c>
      <c r="J436" s="137">
        <f>SUM(J429:J435)</f>
        <v>449.97879999999998</v>
      </c>
    </row>
    <row r="438" spans="1:11">
      <c r="B438" s="138" t="s">
        <v>403</v>
      </c>
      <c r="C438" s="244" t="s">
        <v>367</v>
      </c>
      <c r="D438" s="243" t="s">
        <v>421</v>
      </c>
    </row>
    <row r="439" spans="1:11">
      <c r="B439" s="138"/>
      <c r="C439" s="244"/>
      <c r="D439" s="243"/>
    </row>
    <row r="440" spans="1:11">
      <c r="A440" s="248" t="s">
        <v>385</v>
      </c>
      <c r="B440" s="248" t="s">
        <v>370</v>
      </c>
      <c r="C440" s="248" t="s">
        <v>371</v>
      </c>
      <c r="D440" s="248" t="s">
        <v>372</v>
      </c>
      <c r="E440" s="248" t="s">
        <v>386</v>
      </c>
      <c r="F440" s="248" t="s">
        <v>396</v>
      </c>
      <c r="G440" s="248" t="s">
        <v>14</v>
      </c>
      <c r="H440" s="248" t="s">
        <v>397</v>
      </c>
      <c r="I440" s="248" t="s">
        <v>398</v>
      </c>
      <c r="J440" s="248" t="s">
        <v>399</v>
      </c>
    </row>
    <row r="441" spans="1:11">
      <c r="A441" s="13">
        <v>1</v>
      </c>
      <c r="B441" s="13">
        <v>335084</v>
      </c>
      <c r="C441" s="13" t="s">
        <v>417</v>
      </c>
      <c r="D441" s="13" t="s">
        <v>380</v>
      </c>
      <c r="E441" s="240">
        <v>42563</v>
      </c>
      <c r="F441" s="240">
        <v>42563</v>
      </c>
      <c r="G441" s="13">
        <v>2745.72</v>
      </c>
      <c r="H441" s="13">
        <v>0</v>
      </c>
      <c r="I441" s="13">
        <v>1</v>
      </c>
      <c r="J441" s="12">
        <f>G441*I441%</f>
        <v>27.4572</v>
      </c>
    </row>
    <row r="442" spans="1:11">
      <c r="A442" s="13">
        <v>1</v>
      </c>
      <c r="B442" s="13">
        <v>336266</v>
      </c>
      <c r="C442" s="13" t="s">
        <v>417</v>
      </c>
      <c r="D442" s="13" t="s">
        <v>380</v>
      </c>
      <c r="E442" s="240">
        <v>42576</v>
      </c>
      <c r="F442" s="240">
        <v>42576</v>
      </c>
      <c r="G442" s="13">
        <v>2745.73</v>
      </c>
      <c r="H442" s="13">
        <v>0</v>
      </c>
      <c r="I442" s="13">
        <v>1</v>
      </c>
      <c r="J442" s="12">
        <f>G442*I442%</f>
        <v>27.4573</v>
      </c>
    </row>
    <row r="443" spans="1:11">
      <c r="F443" s="258" t="s">
        <v>14</v>
      </c>
      <c r="G443" s="137">
        <f>SUM(G441:G442)</f>
        <v>5491.45</v>
      </c>
      <c r="I443" s="258" t="s">
        <v>383</v>
      </c>
      <c r="J443" s="137">
        <f>SUM(J441:J442)</f>
        <v>54.914500000000004</v>
      </c>
      <c r="K443" s="137"/>
    </row>
    <row r="446" spans="1:11">
      <c r="B446" s="138" t="s">
        <v>403</v>
      </c>
      <c r="C446" s="244" t="s">
        <v>367</v>
      </c>
      <c r="D446" s="243" t="s">
        <v>422</v>
      </c>
    </row>
    <row r="447" spans="1:11">
      <c r="B447" s="138"/>
      <c r="C447" s="244"/>
      <c r="D447" s="243"/>
    </row>
    <row r="448" spans="1:11">
      <c r="A448" s="248" t="s">
        <v>385</v>
      </c>
      <c r="B448" s="248" t="s">
        <v>370</v>
      </c>
      <c r="C448" s="248" t="s">
        <v>371</v>
      </c>
      <c r="D448" s="248" t="s">
        <v>372</v>
      </c>
      <c r="E448" s="248" t="s">
        <v>386</v>
      </c>
      <c r="F448" s="248" t="s">
        <v>396</v>
      </c>
      <c r="G448" s="248" t="s">
        <v>14</v>
      </c>
      <c r="H448" s="248" t="s">
        <v>397</v>
      </c>
      <c r="I448" s="248" t="s">
        <v>398</v>
      </c>
      <c r="J448" s="248" t="s">
        <v>399</v>
      </c>
    </row>
    <row r="449" spans="1:10">
      <c r="A449" s="13">
        <v>1</v>
      </c>
      <c r="B449" s="13">
        <v>337008</v>
      </c>
      <c r="C449" s="13" t="s">
        <v>417</v>
      </c>
      <c r="D449" s="13" t="s">
        <v>380</v>
      </c>
      <c r="E449" s="240">
        <v>42585</v>
      </c>
      <c r="F449" s="240">
        <v>42585</v>
      </c>
      <c r="G449" s="13">
        <v>2745.72</v>
      </c>
      <c r="H449" s="13">
        <v>0</v>
      </c>
      <c r="I449" s="13">
        <v>1</v>
      </c>
      <c r="J449" s="12">
        <f t="shared" ref="J449:J456" si="24">G449*I449%</f>
        <v>27.4572</v>
      </c>
    </row>
    <row r="450" spans="1:10">
      <c r="A450" s="13">
        <v>1</v>
      </c>
      <c r="B450" s="13">
        <v>337720</v>
      </c>
      <c r="C450" s="13" t="s">
        <v>417</v>
      </c>
      <c r="D450" s="13" t="s">
        <v>380</v>
      </c>
      <c r="E450" s="240">
        <v>42592</v>
      </c>
      <c r="F450" s="240">
        <v>42592</v>
      </c>
      <c r="G450" s="13">
        <v>2745.72</v>
      </c>
      <c r="H450" s="13">
        <v>0</v>
      </c>
      <c r="I450" s="13">
        <v>1</v>
      </c>
      <c r="J450" s="12">
        <f t="shared" si="24"/>
        <v>27.4572</v>
      </c>
    </row>
    <row r="451" spans="1:10">
      <c r="A451" s="13">
        <v>1</v>
      </c>
      <c r="B451" s="13">
        <v>338288</v>
      </c>
      <c r="C451" s="13" t="s">
        <v>417</v>
      </c>
      <c r="D451" s="13" t="s">
        <v>380</v>
      </c>
      <c r="E451" s="240">
        <v>42599</v>
      </c>
      <c r="F451" s="240">
        <v>42599</v>
      </c>
      <c r="G451" s="13">
        <v>2745.72</v>
      </c>
      <c r="H451" s="13">
        <v>0</v>
      </c>
      <c r="I451" s="13">
        <v>1</v>
      </c>
      <c r="J451" s="12">
        <f t="shared" si="24"/>
        <v>27.4572</v>
      </c>
    </row>
    <row r="452" spans="1:10">
      <c r="A452" s="13">
        <v>1</v>
      </c>
      <c r="B452" s="13">
        <v>339142</v>
      </c>
      <c r="C452" s="13" t="s">
        <v>417</v>
      </c>
      <c r="D452" s="13" t="s">
        <v>380</v>
      </c>
      <c r="E452" s="240">
        <v>42607</v>
      </c>
      <c r="F452" s="240">
        <v>42607</v>
      </c>
      <c r="G452" s="13">
        <v>2745.72</v>
      </c>
      <c r="H452" s="13">
        <v>0</v>
      </c>
      <c r="I452" s="13">
        <v>1</v>
      </c>
      <c r="J452" s="12">
        <f t="shared" si="24"/>
        <v>27.4572</v>
      </c>
    </row>
    <row r="453" spans="1:10">
      <c r="A453" s="13">
        <v>1</v>
      </c>
      <c r="B453" s="13">
        <v>339354</v>
      </c>
      <c r="C453" s="13" t="s">
        <v>417</v>
      </c>
      <c r="D453" s="13" t="s">
        <v>380</v>
      </c>
      <c r="E453" s="240">
        <v>42611</v>
      </c>
      <c r="F453" s="240">
        <v>42611</v>
      </c>
      <c r="G453" s="13">
        <v>1257.5</v>
      </c>
      <c r="H453" s="13">
        <v>0</v>
      </c>
      <c r="I453" s="13">
        <v>1</v>
      </c>
      <c r="J453" s="12">
        <f t="shared" si="24"/>
        <v>12.575000000000001</v>
      </c>
    </row>
    <row r="454" spans="1:10">
      <c r="A454" s="13">
        <v>1</v>
      </c>
      <c r="B454" s="13">
        <v>339525</v>
      </c>
      <c r="C454" s="13" t="s">
        <v>417</v>
      </c>
      <c r="D454" s="13" t="s">
        <v>380</v>
      </c>
      <c r="E454" s="240">
        <v>42613</v>
      </c>
      <c r="F454" s="240">
        <v>42613</v>
      </c>
      <c r="G454" s="13">
        <v>6748.94</v>
      </c>
      <c r="H454" s="13">
        <v>0</v>
      </c>
      <c r="I454" s="13">
        <v>1</v>
      </c>
      <c r="J454" s="12">
        <f t="shared" si="24"/>
        <v>67.489400000000003</v>
      </c>
    </row>
    <row r="455" spans="1:10">
      <c r="A455" s="13">
        <v>6</v>
      </c>
      <c r="B455" s="13">
        <v>2233</v>
      </c>
      <c r="C455" s="13" t="s">
        <v>381</v>
      </c>
      <c r="D455" s="13" t="s">
        <v>382</v>
      </c>
      <c r="E455" s="240">
        <v>42584</v>
      </c>
      <c r="F455" s="240">
        <v>42606</v>
      </c>
      <c r="G455" s="13">
        <v>541.02</v>
      </c>
      <c r="H455" s="13">
        <v>0</v>
      </c>
      <c r="I455" s="13">
        <v>1</v>
      </c>
      <c r="J455" s="12">
        <f t="shared" si="24"/>
        <v>5.4101999999999997</v>
      </c>
    </row>
    <row r="456" spans="1:10">
      <c r="A456" s="13">
        <v>6</v>
      </c>
      <c r="B456" s="13">
        <v>2238</v>
      </c>
      <c r="C456" s="13" t="s">
        <v>381</v>
      </c>
      <c r="D456" s="13" t="s">
        <v>382</v>
      </c>
      <c r="E456" s="240">
        <v>42593</v>
      </c>
      <c r="F456" s="240">
        <v>42611</v>
      </c>
      <c r="G456" s="13">
        <v>691.53</v>
      </c>
      <c r="H456" s="13">
        <v>0</v>
      </c>
      <c r="I456" s="13">
        <v>1</v>
      </c>
      <c r="J456" s="12">
        <f t="shared" si="24"/>
        <v>6.9153000000000002</v>
      </c>
    </row>
    <row r="457" spans="1:10">
      <c r="A457" s="13"/>
      <c r="B457" s="13"/>
      <c r="C457" s="13"/>
      <c r="D457" s="13"/>
      <c r="E457" s="240"/>
      <c r="F457" s="240"/>
      <c r="G457" s="13"/>
      <c r="H457" s="13"/>
      <c r="I457" s="13"/>
      <c r="J457" s="12"/>
    </row>
    <row r="458" spans="1:10">
      <c r="A458" s="13">
        <v>6</v>
      </c>
      <c r="B458" s="13">
        <v>2204</v>
      </c>
      <c r="C458" s="13" t="s">
        <v>379</v>
      </c>
      <c r="D458" s="13" t="s">
        <v>380</v>
      </c>
      <c r="E458" s="240">
        <v>42553</v>
      </c>
      <c r="F458" s="240">
        <v>42590</v>
      </c>
      <c r="G458" s="13">
        <v>4762.71</v>
      </c>
      <c r="H458" s="13">
        <v>0</v>
      </c>
      <c r="I458" s="13">
        <v>1</v>
      </c>
      <c r="J458" s="12">
        <f>G458*I458%</f>
        <v>47.627099999999999</v>
      </c>
    </row>
    <row r="459" spans="1:10">
      <c r="A459" s="13">
        <v>6</v>
      </c>
      <c r="B459" s="13">
        <v>2217</v>
      </c>
      <c r="C459" s="13" t="s">
        <v>379</v>
      </c>
      <c r="D459" s="13" t="s">
        <v>380</v>
      </c>
      <c r="E459" s="240">
        <v>42567</v>
      </c>
      <c r="F459" s="240">
        <v>42600</v>
      </c>
      <c r="G459" s="13">
        <v>26454.240000000002</v>
      </c>
      <c r="H459" s="13">
        <v>0</v>
      </c>
      <c r="I459" s="13">
        <v>1</v>
      </c>
      <c r="J459" s="12">
        <f>G459*I459%</f>
        <v>264.54240000000004</v>
      </c>
    </row>
    <row r="460" spans="1:10">
      <c r="F460" s="258" t="s">
        <v>14</v>
      </c>
      <c r="G460" s="137">
        <f>SUM(G449:G459)</f>
        <v>51438.82</v>
      </c>
      <c r="I460" s="258" t="s">
        <v>383</v>
      </c>
      <c r="J460" s="137">
        <f>SUM(J449:J459)</f>
        <v>514.3882000000001</v>
      </c>
    </row>
    <row r="462" spans="1:10">
      <c r="B462" s="138" t="s">
        <v>403</v>
      </c>
      <c r="C462" s="244" t="s">
        <v>367</v>
      </c>
      <c r="D462" s="243" t="s">
        <v>422</v>
      </c>
    </row>
    <row r="463" spans="1:10">
      <c r="B463" s="138"/>
      <c r="C463" s="244"/>
      <c r="D463" s="243"/>
    </row>
    <row r="464" spans="1:10">
      <c r="A464" s="248" t="s">
        <v>385</v>
      </c>
      <c r="B464" s="248" t="s">
        <v>370</v>
      </c>
      <c r="C464" s="248" t="s">
        <v>371</v>
      </c>
      <c r="D464" s="248" t="s">
        <v>372</v>
      </c>
      <c r="E464" s="248" t="s">
        <v>386</v>
      </c>
      <c r="F464" s="248" t="s">
        <v>396</v>
      </c>
      <c r="G464" s="248" t="s">
        <v>14</v>
      </c>
      <c r="H464" s="248" t="s">
        <v>397</v>
      </c>
      <c r="I464" s="248" t="s">
        <v>398</v>
      </c>
      <c r="J464" s="248" t="s">
        <v>399</v>
      </c>
    </row>
    <row r="465" spans="1:12">
      <c r="A465" s="13">
        <v>1</v>
      </c>
      <c r="B465" s="13">
        <v>337008</v>
      </c>
      <c r="C465" s="13" t="s">
        <v>417</v>
      </c>
      <c r="D465" s="13" t="s">
        <v>380</v>
      </c>
      <c r="E465" s="240">
        <v>42585</v>
      </c>
      <c r="F465" s="240">
        <v>42585</v>
      </c>
      <c r="G465" s="13">
        <v>2745.72</v>
      </c>
      <c r="H465" s="13">
        <v>0</v>
      </c>
      <c r="I465" s="13">
        <v>1</v>
      </c>
      <c r="J465" s="12">
        <f t="shared" ref="J465:J475" si="25">G465*I465%</f>
        <v>27.4572</v>
      </c>
      <c r="K465" s="4">
        <v>0</v>
      </c>
    </row>
    <row r="466" spans="1:12">
      <c r="A466" s="13">
        <v>1</v>
      </c>
      <c r="B466" s="13">
        <v>337720</v>
      </c>
      <c r="C466" s="13" t="s">
        <v>417</v>
      </c>
      <c r="D466" s="13" t="s">
        <v>380</v>
      </c>
      <c r="E466" s="240">
        <v>42592</v>
      </c>
      <c r="F466" s="240">
        <v>42592</v>
      </c>
      <c r="G466" s="13">
        <v>2745.72</v>
      </c>
      <c r="H466" s="13">
        <v>0</v>
      </c>
      <c r="I466" s="13">
        <v>1</v>
      </c>
      <c r="J466" s="12">
        <f t="shared" si="25"/>
        <v>27.4572</v>
      </c>
      <c r="K466" s="4">
        <v>0</v>
      </c>
    </row>
    <row r="467" spans="1:12">
      <c r="A467" s="13">
        <v>1</v>
      </c>
      <c r="B467" s="13">
        <v>338288</v>
      </c>
      <c r="C467" s="13" t="s">
        <v>417</v>
      </c>
      <c r="D467" s="13" t="s">
        <v>380</v>
      </c>
      <c r="E467" s="240">
        <v>42599</v>
      </c>
      <c r="F467" s="240">
        <v>42599</v>
      </c>
      <c r="G467" s="13">
        <v>2745.72</v>
      </c>
      <c r="H467" s="13">
        <v>0</v>
      </c>
      <c r="I467" s="13">
        <v>1</v>
      </c>
      <c r="J467" s="12">
        <f t="shared" si="25"/>
        <v>27.4572</v>
      </c>
      <c r="K467" s="4">
        <v>0</v>
      </c>
    </row>
    <row r="468" spans="1:12">
      <c r="A468" s="13">
        <v>1</v>
      </c>
      <c r="B468" s="13">
        <v>339142</v>
      </c>
      <c r="C468" s="13" t="s">
        <v>417</v>
      </c>
      <c r="D468" s="13" t="s">
        <v>380</v>
      </c>
      <c r="E468" s="240">
        <v>42607</v>
      </c>
      <c r="F468" s="240">
        <v>42607</v>
      </c>
      <c r="G468" s="13">
        <v>2745.72</v>
      </c>
      <c r="H468" s="13">
        <v>0</v>
      </c>
      <c r="I468" s="13">
        <v>1</v>
      </c>
      <c r="J468" s="12">
        <f t="shared" si="25"/>
        <v>27.4572</v>
      </c>
      <c r="K468" s="4">
        <v>0</v>
      </c>
    </row>
    <row r="469" spans="1:12">
      <c r="A469" s="13">
        <v>1</v>
      </c>
      <c r="B469" s="13">
        <v>339354</v>
      </c>
      <c r="C469" s="13" t="s">
        <v>417</v>
      </c>
      <c r="D469" s="13" t="s">
        <v>380</v>
      </c>
      <c r="E469" s="240">
        <v>42611</v>
      </c>
      <c r="F469" s="240">
        <v>42611</v>
      </c>
      <c r="G469" s="13">
        <v>1257.5</v>
      </c>
      <c r="H469" s="13">
        <v>0</v>
      </c>
      <c r="I469" s="13">
        <v>1</v>
      </c>
      <c r="J469" s="12">
        <f t="shared" si="25"/>
        <v>12.575000000000001</v>
      </c>
      <c r="K469" s="4">
        <v>0</v>
      </c>
    </row>
    <row r="470" spans="1:12">
      <c r="A470" s="13">
        <v>1</v>
      </c>
      <c r="B470" s="13">
        <v>339525</v>
      </c>
      <c r="C470" s="13" t="s">
        <v>417</v>
      </c>
      <c r="D470" s="13" t="s">
        <v>380</v>
      </c>
      <c r="E470" s="240">
        <v>42613</v>
      </c>
      <c r="F470" s="240">
        <v>42613</v>
      </c>
      <c r="G470" s="13">
        <v>6748.94</v>
      </c>
      <c r="H470" s="13">
        <v>0</v>
      </c>
      <c r="I470" s="13">
        <v>1</v>
      </c>
      <c r="J470" s="12">
        <f t="shared" si="25"/>
        <v>67.489400000000003</v>
      </c>
      <c r="K470" s="4">
        <v>0</v>
      </c>
    </row>
    <row r="471" spans="1:12">
      <c r="A471" s="13">
        <v>6</v>
      </c>
      <c r="B471" s="13">
        <v>2204</v>
      </c>
      <c r="C471" s="13" t="s">
        <v>379</v>
      </c>
      <c r="D471" s="13" t="s">
        <v>380</v>
      </c>
      <c r="E471" s="240">
        <v>42553</v>
      </c>
      <c r="F471" s="240">
        <v>42590</v>
      </c>
      <c r="G471" s="13">
        <v>4762.71</v>
      </c>
      <c r="H471" s="13">
        <v>0</v>
      </c>
      <c r="I471" s="13">
        <v>1</v>
      </c>
      <c r="J471" s="12">
        <f t="shared" si="25"/>
        <v>47.627099999999999</v>
      </c>
      <c r="K471" s="4">
        <v>0</v>
      </c>
    </row>
    <row r="472" spans="1:12">
      <c r="A472" s="13">
        <v>6</v>
      </c>
      <c r="B472" s="13">
        <v>2217</v>
      </c>
      <c r="C472" s="13" t="s">
        <v>379</v>
      </c>
      <c r="D472" s="13" t="s">
        <v>380</v>
      </c>
      <c r="E472" s="240">
        <v>42567</v>
      </c>
      <c r="F472" s="240">
        <v>42600</v>
      </c>
      <c r="G472" s="13">
        <v>26454.240000000002</v>
      </c>
      <c r="H472" s="13">
        <v>0</v>
      </c>
      <c r="I472" s="13">
        <v>1</v>
      </c>
      <c r="J472" s="12">
        <f t="shared" si="25"/>
        <v>264.54240000000004</v>
      </c>
      <c r="K472" s="4">
        <v>0</v>
      </c>
    </row>
    <row r="473" spans="1:12">
      <c r="A473" s="253">
        <v>1</v>
      </c>
      <c r="B473" s="253">
        <v>333152</v>
      </c>
      <c r="C473" s="253" t="s">
        <v>400</v>
      </c>
      <c r="D473" s="253" t="s">
        <v>380</v>
      </c>
      <c r="E473" s="254">
        <v>42542</v>
      </c>
      <c r="F473" s="254">
        <v>42613</v>
      </c>
      <c r="G473" s="253">
        <v>10932</v>
      </c>
      <c r="H473" s="253">
        <v>0</v>
      </c>
      <c r="I473" s="253">
        <v>1</v>
      </c>
      <c r="J473" s="255">
        <f t="shared" si="25"/>
        <v>109.32000000000001</v>
      </c>
      <c r="K473" s="4">
        <v>0</v>
      </c>
    </row>
    <row r="474" spans="1:12">
      <c r="A474" s="13">
        <v>6</v>
      </c>
      <c r="B474" s="13">
        <v>2233</v>
      </c>
      <c r="C474" s="13" t="s">
        <v>381</v>
      </c>
      <c r="D474" s="13" t="s">
        <v>382</v>
      </c>
      <c r="E474" s="240">
        <v>42584</v>
      </c>
      <c r="F474" s="240">
        <v>42606</v>
      </c>
      <c r="G474" s="13">
        <v>541.02</v>
      </c>
      <c r="H474" s="13">
        <v>0</v>
      </c>
      <c r="I474" s="13">
        <v>1</v>
      </c>
      <c r="J474" s="12">
        <f t="shared" si="25"/>
        <v>5.4101999999999997</v>
      </c>
      <c r="K474" s="4">
        <v>0</v>
      </c>
    </row>
    <row r="475" spans="1:12">
      <c r="A475" s="13">
        <v>6</v>
      </c>
      <c r="B475" s="13">
        <v>2238</v>
      </c>
      <c r="C475" s="13" t="s">
        <v>381</v>
      </c>
      <c r="D475" s="13" t="s">
        <v>382</v>
      </c>
      <c r="E475" s="240">
        <v>42593</v>
      </c>
      <c r="F475" s="240">
        <v>42611</v>
      </c>
      <c r="G475" s="13">
        <v>691.53</v>
      </c>
      <c r="H475" s="13">
        <v>0</v>
      </c>
      <c r="I475" s="13">
        <v>1</v>
      </c>
      <c r="J475" s="12">
        <f t="shared" si="25"/>
        <v>6.9153000000000002</v>
      </c>
      <c r="K475" s="4">
        <v>0</v>
      </c>
      <c r="L475" s="17">
        <f>J476-J460</f>
        <v>109.32000000000005</v>
      </c>
    </row>
    <row r="476" spans="1:12">
      <c r="F476" s="258" t="s">
        <v>14</v>
      </c>
      <c r="G476" s="137">
        <f>SUM(G465:G475)</f>
        <v>62370.82</v>
      </c>
      <c r="I476" s="258" t="s">
        <v>383</v>
      </c>
      <c r="J476" s="137">
        <f>SUM(J465:J475)</f>
        <v>623.70820000000015</v>
      </c>
    </row>
    <row r="478" spans="1:12">
      <c r="B478" s="138" t="s">
        <v>403</v>
      </c>
      <c r="C478" s="244" t="s">
        <v>367</v>
      </c>
      <c r="D478" s="243" t="s">
        <v>423</v>
      </c>
    </row>
    <row r="479" spans="1:12">
      <c r="B479" s="138"/>
      <c r="C479" s="244"/>
      <c r="D479" s="243"/>
    </row>
    <row r="480" spans="1:12">
      <c r="A480" s="248" t="s">
        <v>385</v>
      </c>
      <c r="B480" s="248" t="s">
        <v>370</v>
      </c>
      <c r="C480" s="248" t="s">
        <v>371</v>
      </c>
      <c r="D480" s="248" t="s">
        <v>372</v>
      </c>
      <c r="E480" s="248" t="s">
        <v>386</v>
      </c>
      <c r="F480" s="248" t="s">
        <v>396</v>
      </c>
      <c r="G480" s="248" t="s">
        <v>14</v>
      </c>
      <c r="H480" s="248" t="s">
        <v>397</v>
      </c>
      <c r="I480" s="248" t="s">
        <v>398</v>
      </c>
      <c r="J480" s="248" t="s">
        <v>399</v>
      </c>
    </row>
    <row r="481" spans="1:11">
      <c r="A481" s="253">
        <v>1</v>
      </c>
      <c r="B481" s="253">
        <v>333152</v>
      </c>
      <c r="C481" s="253" t="s">
        <v>400</v>
      </c>
      <c r="D481" s="253" t="s">
        <v>380</v>
      </c>
      <c r="E481" s="254">
        <v>42542</v>
      </c>
      <c r="F481" s="254">
        <v>42613</v>
      </c>
      <c r="G481" s="253">
        <v>10932</v>
      </c>
      <c r="H481" s="253">
        <v>0</v>
      </c>
      <c r="I481" s="253">
        <v>1</v>
      </c>
      <c r="J481" s="255">
        <f t="shared" ref="J481:J489" si="26">G481*I481%</f>
        <v>109.32000000000001</v>
      </c>
    </row>
    <row r="482" spans="1:11">
      <c r="A482" s="13">
        <v>1</v>
      </c>
      <c r="B482" s="13">
        <v>340663</v>
      </c>
      <c r="C482" s="13" t="s">
        <v>417</v>
      </c>
      <c r="D482" s="13" t="s">
        <v>380</v>
      </c>
      <c r="E482" s="240">
        <v>42623</v>
      </c>
      <c r="F482" s="240">
        <v>42623</v>
      </c>
      <c r="G482" s="13">
        <v>6748.94</v>
      </c>
      <c r="H482" s="13">
        <v>0</v>
      </c>
      <c r="I482" s="13">
        <v>1</v>
      </c>
      <c r="J482" s="12">
        <f t="shared" si="26"/>
        <v>67.489400000000003</v>
      </c>
      <c r="K482" s="4">
        <v>0</v>
      </c>
    </row>
    <row r="483" spans="1:11">
      <c r="A483" s="13">
        <v>1</v>
      </c>
      <c r="B483" s="13">
        <v>341668</v>
      </c>
      <c r="C483" s="13" t="s">
        <v>417</v>
      </c>
      <c r="D483" s="13" t="s">
        <v>380</v>
      </c>
      <c r="E483" s="240">
        <v>42635</v>
      </c>
      <c r="F483" s="240">
        <v>42635</v>
      </c>
      <c r="G483" s="13">
        <v>2745.72</v>
      </c>
      <c r="H483" s="13">
        <v>0</v>
      </c>
      <c r="I483" s="13">
        <v>1</v>
      </c>
      <c r="J483" s="12">
        <f t="shared" si="26"/>
        <v>27.4572</v>
      </c>
      <c r="K483" s="4">
        <v>0</v>
      </c>
    </row>
    <row r="484" spans="1:11">
      <c r="A484" s="13">
        <v>6</v>
      </c>
      <c r="B484" s="13">
        <v>2216</v>
      </c>
      <c r="C484" s="13" t="s">
        <v>379</v>
      </c>
      <c r="D484" s="13" t="s">
        <v>380</v>
      </c>
      <c r="E484" s="240">
        <v>42567</v>
      </c>
      <c r="F484" s="240">
        <v>42622</v>
      </c>
      <c r="G484" s="13">
        <v>5673.73</v>
      </c>
      <c r="H484" s="13">
        <v>0</v>
      </c>
      <c r="I484" s="13">
        <v>1</v>
      </c>
      <c r="J484" s="12">
        <f t="shared" si="26"/>
        <v>56.737299999999998</v>
      </c>
      <c r="K484" s="4">
        <v>0</v>
      </c>
    </row>
    <row r="485" spans="1:11">
      <c r="A485" s="13">
        <v>6</v>
      </c>
      <c r="B485" s="13">
        <v>2231</v>
      </c>
      <c r="C485" s="13" t="s">
        <v>379</v>
      </c>
      <c r="D485" s="13" t="s">
        <v>380</v>
      </c>
      <c r="E485" s="240">
        <v>42576</v>
      </c>
      <c r="F485" s="240">
        <v>42618</v>
      </c>
      <c r="G485" s="13">
        <v>21864.41</v>
      </c>
      <c r="H485" s="13">
        <v>0</v>
      </c>
      <c r="I485" s="13">
        <v>1</v>
      </c>
      <c r="J485" s="12">
        <f t="shared" si="26"/>
        <v>218.64410000000001</v>
      </c>
      <c r="K485" s="4">
        <v>0</v>
      </c>
    </row>
    <row r="486" spans="1:11">
      <c r="A486" s="13">
        <v>6</v>
      </c>
      <c r="B486" s="13">
        <v>2258</v>
      </c>
      <c r="C486" s="13" t="s">
        <v>379</v>
      </c>
      <c r="D486" s="13" t="s">
        <v>380</v>
      </c>
      <c r="E486" s="240">
        <v>42614</v>
      </c>
      <c r="F486" s="240">
        <v>42633</v>
      </c>
      <c r="G486" s="13">
        <v>15508.47</v>
      </c>
      <c r="H486" s="13">
        <v>0</v>
      </c>
      <c r="I486" s="13">
        <v>1</v>
      </c>
      <c r="J486" s="12">
        <f t="shared" si="26"/>
        <v>155.0847</v>
      </c>
      <c r="K486" s="4">
        <v>0</v>
      </c>
    </row>
    <row r="487" spans="1:11">
      <c r="A487" s="13">
        <v>6</v>
      </c>
      <c r="B487" s="13">
        <v>2263</v>
      </c>
      <c r="C487" s="13" t="s">
        <v>379</v>
      </c>
      <c r="D487" s="13" t="s">
        <v>380</v>
      </c>
      <c r="E487" s="240">
        <v>42625</v>
      </c>
      <c r="F487" s="240">
        <v>42637</v>
      </c>
      <c r="G487" s="13">
        <v>1861.86</v>
      </c>
      <c r="H487" s="13">
        <v>0</v>
      </c>
      <c r="I487" s="13">
        <v>1</v>
      </c>
      <c r="J487" s="12">
        <f t="shared" si="26"/>
        <v>18.618600000000001</v>
      </c>
      <c r="K487" s="4">
        <v>0</v>
      </c>
    </row>
    <row r="488" spans="1:11">
      <c r="A488" s="13">
        <v>1</v>
      </c>
      <c r="B488" s="13">
        <v>329969</v>
      </c>
      <c r="C488" s="13" t="s">
        <v>400</v>
      </c>
      <c r="D488" s="13" t="s">
        <v>380</v>
      </c>
      <c r="E488" s="240">
        <v>42507</v>
      </c>
      <c r="F488" s="240">
        <v>42634</v>
      </c>
      <c r="G488" s="13">
        <v>10932</v>
      </c>
      <c r="H488" s="13">
        <v>0</v>
      </c>
      <c r="I488" s="13">
        <v>1</v>
      </c>
      <c r="J488" s="12">
        <f t="shared" si="26"/>
        <v>109.32000000000001</v>
      </c>
      <c r="K488" s="4">
        <v>0</v>
      </c>
    </row>
    <row r="489" spans="1:11">
      <c r="A489" s="13">
        <v>6</v>
      </c>
      <c r="B489" s="13">
        <v>2206</v>
      </c>
      <c r="C489" s="13" t="s">
        <v>381</v>
      </c>
      <c r="D489" s="13" t="s">
        <v>382</v>
      </c>
      <c r="E489" s="240">
        <v>42556</v>
      </c>
      <c r="F489" s="240">
        <v>42618</v>
      </c>
      <c r="G489" s="13">
        <v>3508.47</v>
      </c>
      <c r="H489" s="13">
        <v>0</v>
      </c>
      <c r="I489" s="13">
        <v>1</v>
      </c>
      <c r="J489" s="12">
        <f t="shared" si="26"/>
        <v>35.084699999999998</v>
      </c>
      <c r="K489" s="4">
        <v>0</v>
      </c>
    </row>
    <row r="490" spans="1:11">
      <c r="F490" s="258" t="s">
        <v>14</v>
      </c>
      <c r="G490" s="137">
        <f>SUM(G481:G489)</f>
        <v>79775.600000000006</v>
      </c>
      <c r="I490" s="258" t="s">
        <v>383</v>
      </c>
      <c r="J490" s="137">
        <f>SUM(J481:J489)</f>
        <v>797.75600000000009</v>
      </c>
    </row>
    <row r="493" spans="1:11">
      <c r="B493" s="138" t="s">
        <v>403</v>
      </c>
      <c r="C493" s="244" t="s">
        <v>367</v>
      </c>
      <c r="D493" s="243" t="s">
        <v>424</v>
      </c>
    </row>
    <row r="494" spans="1:11">
      <c r="B494" s="138"/>
      <c r="C494" s="244"/>
      <c r="D494" s="243"/>
    </row>
    <row r="495" spans="1:11">
      <c r="A495" s="248" t="s">
        <v>385</v>
      </c>
      <c r="B495" s="248" t="s">
        <v>370</v>
      </c>
      <c r="C495" s="248" t="s">
        <v>371</v>
      </c>
      <c r="D495" s="248" t="s">
        <v>372</v>
      </c>
      <c r="E495" s="248" t="s">
        <v>386</v>
      </c>
      <c r="F495" s="248" t="s">
        <v>396</v>
      </c>
      <c r="G495" s="248" t="s">
        <v>14</v>
      </c>
      <c r="H495" s="248" t="s">
        <v>397</v>
      </c>
      <c r="I495" s="248" t="s">
        <v>398</v>
      </c>
      <c r="J495" s="248" t="s">
        <v>399</v>
      </c>
    </row>
    <row r="496" spans="1:11">
      <c r="A496" s="13">
        <v>1</v>
      </c>
      <c r="B496" s="13">
        <v>337951</v>
      </c>
      <c r="C496" s="13" t="s">
        <v>400</v>
      </c>
      <c r="D496" s="13" t="s">
        <v>380</v>
      </c>
      <c r="E496" s="240">
        <v>42594</v>
      </c>
      <c r="F496" s="240">
        <v>42698</v>
      </c>
      <c r="G496" s="13">
        <v>15259.23</v>
      </c>
      <c r="H496" s="13">
        <v>0</v>
      </c>
      <c r="I496" s="13">
        <v>1</v>
      </c>
      <c r="J496" s="12">
        <f t="shared" ref="J496:J505" si="27">G496*I496%</f>
        <v>152.59229999999999</v>
      </c>
    </row>
    <row r="497" spans="1:10">
      <c r="A497" s="13">
        <v>6</v>
      </c>
      <c r="B497" s="13">
        <v>2285</v>
      </c>
      <c r="C497" s="13" t="s">
        <v>379</v>
      </c>
      <c r="D497" s="13" t="s">
        <v>380</v>
      </c>
      <c r="E497" s="240">
        <v>42643</v>
      </c>
      <c r="F497" s="240">
        <v>42676</v>
      </c>
      <c r="G497" s="13">
        <v>16525.419999999998</v>
      </c>
      <c r="H497" s="13">
        <v>0</v>
      </c>
      <c r="I497" s="13">
        <v>1</v>
      </c>
      <c r="J497" s="12">
        <f t="shared" si="27"/>
        <v>165.2542</v>
      </c>
    </row>
    <row r="498" spans="1:10">
      <c r="A498" s="13">
        <v>6</v>
      </c>
      <c r="B498" s="13">
        <v>2297</v>
      </c>
      <c r="C498" s="13" t="s">
        <v>379</v>
      </c>
      <c r="D498" s="13" t="s">
        <v>380</v>
      </c>
      <c r="E498" s="240">
        <v>42660</v>
      </c>
      <c r="F498" s="240">
        <v>42677</v>
      </c>
      <c r="G498" s="13">
        <v>23974.58</v>
      </c>
      <c r="H498" s="13">
        <v>0</v>
      </c>
      <c r="I498" s="13">
        <v>1</v>
      </c>
      <c r="J498" s="12">
        <f t="shared" si="27"/>
        <v>239.74580000000003</v>
      </c>
    </row>
    <row r="499" spans="1:10">
      <c r="A499" s="13">
        <v>6</v>
      </c>
      <c r="B499" s="13">
        <v>2301</v>
      </c>
      <c r="C499" s="13" t="s">
        <v>379</v>
      </c>
      <c r="D499" s="13" t="s">
        <v>380</v>
      </c>
      <c r="E499" s="240">
        <v>42663</v>
      </c>
      <c r="F499" s="240">
        <v>42699</v>
      </c>
      <c r="G499" s="13">
        <v>26440.68</v>
      </c>
      <c r="H499" s="13">
        <v>0</v>
      </c>
      <c r="I499" s="13">
        <v>1</v>
      </c>
      <c r="J499" s="12">
        <f t="shared" si="27"/>
        <v>264.40680000000003</v>
      </c>
    </row>
    <row r="500" spans="1:10">
      <c r="A500" s="13">
        <v>6</v>
      </c>
      <c r="B500" s="13">
        <v>2315</v>
      </c>
      <c r="C500" s="13" t="s">
        <v>379</v>
      </c>
      <c r="D500" s="13" t="s">
        <v>380</v>
      </c>
      <c r="E500" s="240">
        <v>42681</v>
      </c>
      <c r="F500" s="240">
        <v>42698</v>
      </c>
      <c r="G500" s="13">
        <v>9778.81</v>
      </c>
      <c r="H500" s="13">
        <v>0</v>
      </c>
      <c r="I500" s="13">
        <v>1</v>
      </c>
      <c r="J500" s="12">
        <f t="shared" si="27"/>
        <v>97.7881</v>
      </c>
    </row>
    <row r="501" spans="1:10">
      <c r="A501" s="13">
        <v>6</v>
      </c>
      <c r="B501" s="13">
        <v>2320</v>
      </c>
      <c r="C501" s="13" t="s">
        <v>379</v>
      </c>
      <c r="D501" s="13" t="s">
        <v>380</v>
      </c>
      <c r="E501" s="240">
        <v>42682</v>
      </c>
      <c r="F501" s="240">
        <v>42702</v>
      </c>
      <c r="G501" s="13">
        <v>23876.95</v>
      </c>
      <c r="H501" s="13">
        <v>0</v>
      </c>
      <c r="I501" s="13">
        <v>1</v>
      </c>
      <c r="J501" s="12">
        <f t="shared" si="27"/>
        <v>238.76950000000002</v>
      </c>
    </row>
    <row r="502" spans="1:10">
      <c r="A502" s="13">
        <v>1</v>
      </c>
      <c r="B502" s="13">
        <v>345862</v>
      </c>
      <c r="C502" s="13" t="s">
        <v>417</v>
      </c>
      <c r="D502" s="13" t="s">
        <v>380</v>
      </c>
      <c r="E502" s="240">
        <v>42682</v>
      </c>
      <c r="F502" s="240">
        <v>42682</v>
      </c>
      <c r="G502" s="13">
        <v>4021.6</v>
      </c>
      <c r="H502" s="13">
        <v>0</v>
      </c>
      <c r="I502" s="13">
        <v>1</v>
      </c>
      <c r="J502" s="12">
        <f t="shared" si="27"/>
        <v>40.216000000000001</v>
      </c>
    </row>
    <row r="503" spans="1:10">
      <c r="A503" s="13">
        <v>1</v>
      </c>
      <c r="B503" s="13">
        <v>347104</v>
      </c>
      <c r="C503" s="13" t="s">
        <v>417</v>
      </c>
      <c r="D503" s="13" t="s">
        <v>380</v>
      </c>
      <c r="E503" s="240">
        <v>42698</v>
      </c>
      <c r="F503" s="240">
        <v>42698</v>
      </c>
      <c r="G503" s="13">
        <v>2745.72</v>
      </c>
      <c r="H503" s="13">
        <v>0</v>
      </c>
      <c r="I503" s="13">
        <v>1</v>
      </c>
      <c r="J503" s="12">
        <f t="shared" si="27"/>
        <v>27.4572</v>
      </c>
    </row>
    <row r="504" spans="1:10">
      <c r="A504" s="13">
        <v>1</v>
      </c>
      <c r="B504" s="13">
        <v>347351</v>
      </c>
      <c r="C504" s="13" t="s">
        <v>417</v>
      </c>
      <c r="D504" s="13" t="s">
        <v>380</v>
      </c>
      <c r="E504" s="240">
        <v>42702</v>
      </c>
      <c r="F504" s="240">
        <v>42702</v>
      </c>
      <c r="G504" s="13">
        <v>2161.33</v>
      </c>
      <c r="H504" s="13">
        <v>0</v>
      </c>
      <c r="I504" s="13">
        <v>1</v>
      </c>
      <c r="J504" s="12">
        <f t="shared" si="27"/>
        <v>21.613299999999999</v>
      </c>
    </row>
    <row r="505" spans="1:10">
      <c r="A505" s="13">
        <v>6</v>
      </c>
      <c r="B505" s="13">
        <v>2291</v>
      </c>
      <c r="C505" s="13" t="s">
        <v>381</v>
      </c>
      <c r="D505" s="13" t="s">
        <v>382</v>
      </c>
      <c r="E505" s="240">
        <v>42648</v>
      </c>
      <c r="F505" s="240">
        <v>42677</v>
      </c>
      <c r="G505" s="13">
        <v>4047.46</v>
      </c>
      <c r="H505" s="13">
        <v>0</v>
      </c>
      <c r="I505" s="13">
        <v>1</v>
      </c>
      <c r="J505" s="12">
        <f t="shared" si="27"/>
        <v>40.474600000000002</v>
      </c>
    </row>
    <row r="506" spans="1:10">
      <c r="F506" s="258" t="s">
        <v>14</v>
      </c>
      <c r="G506" s="137">
        <f>SUM(G496:G505)</f>
        <v>128831.78000000001</v>
      </c>
      <c r="I506" s="258" t="s">
        <v>383</v>
      </c>
      <c r="J506" s="137">
        <f>SUM(J496:J505)</f>
        <v>1288.3178</v>
      </c>
    </row>
    <row r="510" spans="1:10">
      <c r="B510" s="138" t="s">
        <v>403</v>
      </c>
      <c r="C510" s="244" t="s">
        <v>367</v>
      </c>
      <c r="D510" s="243" t="s">
        <v>425</v>
      </c>
    </row>
    <row r="511" spans="1:10">
      <c r="B511" s="138"/>
      <c r="C511" s="244"/>
      <c r="D511" s="243"/>
    </row>
    <row r="512" spans="1:10">
      <c r="A512" s="248" t="s">
        <v>385</v>
      </c>
      <c r="B512" s="248" t="s">
        <v>370</v>
      </c>
      <c r="C512" s="248" t="s">
        <v>371</v>
      </c>
      <c r="D512" s="248" t="s">
        <v>372</v>
      </c>
      <c r="E512" s="248" t="s">
        <v>386</v>
      </c>
      <c r="F512" s="248" t="s">
        <v>396</v>
      </c>
      <c r="G512" s="248" t="s">
        <v>14</v>
      </c>
      <c r="H512" s="248" t="s">
        <v>397</v>
      </c>
      <c r="I512" s="248" t="s">
        <v>398</v>
      </c>
      <c r="J512" s="248" t="s">
        <v>399</v>
      </c>
    </row>
    <row r="513" spans="1:10">
      <c r="A513" s="13">
        <v>1</v>
      </c>
      <c r="B513" s="13">
        <v>348192</v>
      </c>
      <c r="C513" s="13" t="s">
        <v>417</v>
      </c>
      <c r="D513" s="13" t="s">
        <v>380</v>
      </c>
      <c r="E513" s="240">
        <v>42710</v>
      </c>
      <c r="F513" s="240">
        <v>42710</v>
      </c>
      <c r="G513" s="13">
        <v>2745.72</v>
      </c>
      <c r="H513" s="13">
        <v>0</v>
      </c>
      <c r="I513" s="13">
        <v>1</v>
      </c>
      <c r="J513" s="12">
        <f t="shared" ref="J513:J521" si="28">G513*I513%</f>
        <v>27.4572</v>
      </c>
    </row>
    <row r="514" spans="1:10">
      <c r="A514" s="13">
        <v>1</v>
      </c>
      <c r="B514" s="13">
        <v>348632</v>
      </c>
      <c r="C514" s="13" t="s">
        <v>417</v>
      </c>
      <c r="D514" s="13" t="s">
        <v>380</v>
      </c>
      <c r="E514" s="240">
        <v>42717</v>
      </c>
      <c r="F514" s="240">
        <v>42717</v>
      </c>
      <c r="G514" s="13">
        <v>2745.72</v>
      </c>
      <c r="H514" s="13">
        <v>0</v>
      </c>
      <c r="I514" s="13">
        <v>1</v>
      </c>
      <c r="J514" s="12">
        <f t="shared" si="28"/>
        <v>27.4572</v>
      </c>
    </row>
    <row r="515" spans="1:10">
      <c r="A515" s="13">
        <v>1</v>
      </c>
      <c r="B515" s="13">
        <v>348977</v>
      </c>
      <c r="C515" s="13" t="s">
        <v>417</v>
      </c>
      <c r="D515" s="13" t="s">
        <v>380</v>
      </c>
      <c r="E515" s="240">
        <v>42726</v>
      </c>
      <c r="F515" s="240">
        <v>42732</v>
      </c>
      <c r="G515" s="13">
        <v>4511.55</v>
      </c>
      <c r="H515" s="13">
        <v>0</v>
      </c>
      <c r="I515" s="13">
        <v>1</v>
      </c>
      <c r="J515" s="12">
        <f t="shared" si="28"/>
        <v>45.115500000000004</v>
      </c>
    </row>
    <row r="516" spans="1:10">
      <c r="A516" s="13">
        <v>6</v>
      </c>
      <c r="B516" s="13">
        <v>2339</v>
      </c>
      <c r="C516" s="13" t="s">
        <v>379</v>
      </c>
      <c r="D516" s="13" t="s">
        <v>380</v>
      </c>
      <c r="E516" s="240">
        <v>42704</v>
      </c>
      <c r="F516" s="240">
        <v>42718</v>
      </c>
      <c r="G516" s="13">
        <v>12677.97</v>
      </c>
      <c r="H516" s="13">
        <v>0</v>
      </c>
      <c r="I516" s="13">
        <v>1</v>
      </c>
      <c r="J516" s="12">
        <f t="shared" si="28"/>
        <v>126.77969999999999</v>
      </c>
    </row>
    <row r="517" spans="1:10">
      <c r="A517" s="13">
        <v>6</v>
      </c>
      <c r="B517" s="13">
        <v>2349</v>
      </c>
      <c r="C517" s="13" t="s">
        <v>379</v>
      </c>
      <c r="D517" s="13" t="s">
        <v>380</v>
      </c>
      <c r="E517" s="240">
        <v>42717</v>
      </c>
      <c r="F517" s="240">
        <v>42731</v>
      </c>
      <c r="G517" s="13">
        <v>8937.7099999999991</v>
      </c>
      <c r="H517" s="13">
        <v>0</v>
      </c>
      <c r="I517" s="13">
        <v>1</v>
      </c>
      <c r="J517" s="12">
        <f t="shared" si="28"/>
        <v>89.377099999999999</v>
      </c>
    </row>
    <row r="518" spans="1:10">
      <c r="A518" s="13">
        <v>6</v>
      </c>
      <c r="B518" s="13">
        <v>2351</v>
      </c>
      <c r="C518" s="13" t="s">
        <v>379</v>
      </c>
      <c r="D518" s="13" t="s">
        <v>380</v>
      </c>
      <c r="E518" s="240">
        <v>42717</v>
      </c>
      <c r="F518" s="240">
        <v>42734</v>
      </c>
      <c r="G518" s="13">
        <v>5239.22</v>
      </c>
      <c r="H518" s="13">
        <v>0</v>
      </c>
      <c r="I518" s="13">
        <v>1</v>
      </c>
      <c r="J518" s="12">
        <f t="shared" si="28"/>
        <v>52.392200000000003</v>
      </c>
    </row>
    <row r="519" spans="1:10">
      <c r="A519" s="13">
        <v>6</v>
      </c>
      <c r="B519" s="13">
        <v>2314</v>
      </c>
      <c r="C519" s="13" t="s">
        <v>381</v>
      </c>
      <c r="D519" s="13" t="s">
        <v>382</v>
      </c>
      <c r="E519" s="240">
        <v>42676</v>
      </c>
      <c r="F519" s="240">
        <v>42709</v>
      </c>
      <c r="G519" s="13">
        <v>5900.42</v>
      </c>
      <c r="H519" s="13">
        <v>0</v>
      </c>
      <c r="I519" s="13">
        <v>1</v>
      </c>
      <c r="J519" s="12">
        <f t="shared" si="28"/>
        <v>59.004200000000004</v>
      </c>
    </row>
    <row r="520" spans="1:10">
      <c r="A520" s="13">
        <v>1</v>
      </c>
      <c r="B520" s="13">
        <v>341840</v>
      </c>
      <c r="C520" s="13" t="s">
        <v>400</v>
      </c>
      <c r="D520" s="13" t="s">
        <v>380</v>
      </c>
      <c r="E520" s="240">
        <v>42636</v>
      </c>
      <c r="F520" s="240">
        <v>42733</v>
      </c>
      <c r="G520" s="13">
        <v>11440.5</v>
      </c>
      <c r="H520" s="13">
        <v>0</v>
      </c>
      <c r="I520" s="13">
        <v>1</v>
      </c>
      <c r="J520" s="12">
        <f t="shared" si="28"/>
        <v>114.405</v>
      </c>
    </row>
    <row r="521" spans="1:10">
      <c r="A521" s="13">
        <v>1</v>
      </c>
      <c r="B521" s="13">
        <v>341839</v>
      </c>
      <c r="C521" s="13" t="s">
        <v>400</v>
      </c>
      <c r="D521" s="13" t="s">
        <v>380</v>
      </c>
      <c r="E521" s="240">
        <v>42636</v>
      </c>
      <c r="F521" s="240">
        <v>42733</v>
      </c>
      <c r="G521" s="13">
        <v>4191.66</v>
      </c>
      <c r="H521" s="13">
        <v>0</v>
      </c>
      <c r="I521" s="13">
        <v>1</v>
      </c>
      <c r="J521" s="12">
        <f t="shared" si="28"/>
        <v>41.916600000000003</v>
      </c>
    </row>
    <row r="522" spans="1:10">
      <c r="F522" s="258" t="s">
        <v>14</v>
      </c>
      <c r="G522" s="137">
        <f>SUM(G513:G521)</f>
        <v>58390.47</v>
      </c>
      <c r="I522" s="258" t="s">
        <v>383</v>
      </c>
      <c r="J522" s="137">
        <f>SUM(J513:J521)</f>
        <v>583.90470000000005</v>
      </c>
    </row>
    <row r="524" spans="1:10">
      <c r="B524" s="138" t="s">
        <v>403</v>
      </c>
      <c r="C524" s="244" t="s">
        <v>367</v>
      </c>
      <c r="D524" s="243" t="s">
        <v>426</v>
      </c>
    </row>
    <row r="525" spans="1:10">
      <c r="B525" s="138"/>
      <c r="C525" s="244"/>
      <c r="D525" s="243"/>
    </row>
    <row r="526" spans="1:10">
      <c r="A526" s="248" t="s">
        <v>385</v>
      </c>
      <c r="B526" s="248" t="s">
        <v>370</v>
      </c>
      <c r="C526" s="248" t="s">
        <v>371</v>
      </c>
      <c r="D526" s="248" t="s">
        <v>372</v>
      </c>
      <c r="E526" s="248" t="s">
        <v>386</v>
      </c>
      <c r="F526" s="248" t="s">
        <v>396</v>
      </c>
      <c r="G526" s="248" t="s">
        <v>14</v>
      </c>
      <c r="H526" s="248" t="s">
        <v>397</v>
      </c>
      <c r="I526" s="248" t="s">
        <v>398</v>
      </c>
      <c r="J526" s="248" t="s">
        <v>399</v>
      </c>
    </row>
    <row r="527" spans="1:10">
      <c r="A527" s="13" t="s">
        <v>427</v>
      </c>
      <c r="B527" s="13">
        <v>1348</v>
      </c>
      <c r="C527" s="13" t="s">
        <v>417</v>
      </c>
      <c r="D527" s="13" t="s">
        <v>380</v>
      </c>
      <c r="E527" s="240">
        <v>42759</v>
      </c>
      <c r="F527" s="240">
        <v>42759</v>
      </c>
      <c r="G527" s="13">
        <v>3989.28</v>
      </c>
      <c r="H527" s="13">
        <v>0</v>
      </c>
      <c r="I527" s="13">
        <v>1</v>
      </c>
      <c r="J527" s="12">
        <f t="shared" ref="J527:J533" si="29">G527*I527%</f>
        <v>39.892800000000001</v>
      </c>
    </row>
    <row r="528" spans="1:10">
      <c r="A528" s="13" t="s">
        <v>427</v>
      </c>
      <c r="B528" s="13">
        <v>596</v>
      </c>
      <c r="C528" s="13" t="s">
        <v>417</v>
      </c>
      <c r="D528" s="13" t="s">
        <v>380</v>
      </c>
      <c r="E528" s="240">
        <v>42747</v>
      </c>
      <c r="F528" s="240">
        <v>42747</v>
      </c>
      <c r="G528" s="13">
        <v>4708.03</v>
      </c>
      <c r="H528" s="13">
        <v>0</v>
      </c>
      <c r="I528" s="13">
        <v>1</v>
      </c>
      <c r="J528" s="12">
        <f t="shared" si="29"/>
        <v>47.080300000000001</v>
      </c>
    </row>
    <row r="529" spans="1:10">
      <c r="A529" s="13" t="s">
        <v>427</v>
      </c>
      <c r="B529" s="13">
        <v>111</v>
      </c>
      <c r="C529" s="13" t="s">
        <v>417</v>
      </c>
      <c r="D529" s="13" t="s">
        <v>380</v>
      </c>
      <c r="E529" s="240">
        <v>42739</v>
      </c>
      <c r="F529" s="240">
        <v>42739</v>
      </c>
      <c r="G529" s="13">
        <v>5042.83</v>
      </c>
      <c r="H529" s="13">
        <v>0</v>
      </c>
      <c r="I529" s="13">
        <v>1</v>
      </c>
      <c r="J529" s="12">
        <f t="shared" si="29"/>
        <v>50.4283</v>
      </c>
    </row>
    <row r="530" spans="1:10">
      <c r="A530" s="13">
        <v>6</v>
      </c>
      <c r="B530" s="13">
        <v>2372</v>
      </c>
      <c r="C530" s="13" t="s">
        <v>379</v>
      </c>
      <c r="D530" s="13" t="s">
        <v>380</v>
      </c>
      <c r="E530" s="240">
        <v>42730</v>
      </c>
      <c r="F530" s="240">
        <v>42742</v>
      </c>
      <c r="G530" s="13">
        <v>7690.34</v>
      </c>
      <c r="H530" s="13">
        <v>0</v>
      </c>
      <c r="I530" s="13">
        <v>1</v>
      </c>
      <c r="J530" s="12">
        <f t="shared" si="29"/>
        <v>76.903400000000005</v>
      </c>
    </row>
    <row r="531" spans="1:10">
      <c r="A531" s="13">
        <v>6</v>
      </c>
      <c r="B531" s="13">
        <v>2370</v>
      </c>
      <c r="C531" s="13" t="s">
        <v>379</v>
      </c>
      <c r="D531" s="13" t="s">
        <v>380</v>
      </c>
      <c r="E531" s="240">
        <v>42730</v>
      </c>
      <c r="F531" s="240">
        <v>42742</v>
      </c>
      <c r="G531" s="13">
        <v>15605.07</v>
      </c>
      <c r="H531" s="13">
        <v>0</v>
      </c>
      <c r="I531" s="13">
        <v>1</v>
      </c>
      <c r="J531" s="12">
        <f t="shared" si="29"/>
        <v>156.05070000000001</v>
      </c>
    </row>
    <row r="532" spans="1:10">
      <c r="A532" s="13">
        <v>6</v>
      </c>
      <c r="B532" s="13">
        <v>2371</v>
      </c>
      <c r="C532" s="13" t="s">
        <v>379</v>
      </c>
      <c r="D532" s="13" t="s">
        <v>380</v>
      </c>
      <c r="E532" s="240">
        <v>42730</v>
      </c>
      <c r="F532" s="240">
        <v>42742</v>
      </c>
      <c r="G532" s="13">
        <v>24669.49</v>
      </c>
      <c r="H532" s="13">
        <v>0</v>
      </c>
      <c r="I532" s="13">
        <v>1</v>
      </c>
      <c r="J532" s="12">
        <f t="shared" si="29"/>
        <v>246.69490000000002</v>
      </c>
    </row>
    <row r="533" spans="1:10">
      <c r="A533" s="13">
        <v>6</v>
      </c>
      <c r="B533" s="13">
        <v>2369</v>
      </c>
      <c r="C533" s="13" t="s">
        <v>379</v>
      </c>
      <c r="D533" s="13" t="s">
        <v>380</v>
      </c>
      <c r="E533" s="240">
        <v>42730</v>
      </c>
      <c r="F533" s="240">
        <v>42737</v>
      </c>
      <c r="G533" s="13">
        <v>25271.19</v>
      </c>
      <c r="H533" s="13">
        <v>0</v>
      </c>
      <c r="I533" s="13">
        <v>1</v>
      </c>
      <c r="J533" s="12">
        <f t="shared" si="29"/>
        <v>252.71189999999999</v>
      </c>
    </row>
    <row r="534" spans="1:10">
      <c r="F534" s="258" t="s">
        <v>14</v>
      </c>
      <c r="G534" s="137">
        <f>SUM(G525:G533)</f>
        <v>86976.23000000001</v>
      </c>
      <c r="I534" s="258" t="s">
        <v>383</v>
      </c>
      <c r="J534" s="137">
        <f>SUM(J527:J533)</f>
        <v>869.7623000000001</v>
      </c>
    </row>
    <row r="537" spans="1:10">
      <c r="B537" s="138" t="s">
        <v>403</v>
      </c>
      <c r="C537" s="244" t="s">
        <v>367</v>
      </c>
      <c r="D537" s="243" t="s">
        <v>428</v>
      </c>
    </row>
    <row r="538" spans="1:10">
      <c r="B538" s="138"/>
      <c r="C538" s="244"/>
      <c r="D538" s="243"/>
    </row>
    <row r="539" spans="1:10">
      <c r="A539" s="248" t="s">
        <v>385</v>
      </c>
      <c r="B539" s="248" t="s">
        <v>370</v>
      </c>
      <c r="C539" s="248" t="s">
        <v>371</v>
      </c>
      <c r="D539" s="248" t="s">
        <v>372</v>
      </c>
      <c r="E539" s="248" t="s">
        <v>386</v>
      </c>
      <c r="F539" s="248" t="s">
        <v>396</v>
      </c>
      <c r="G539" s="248" t="s">
        <v>14</v>
      </c>
      <c r="H539" s="248" t="s">
        <v>397</v>
      </c>
      <c r="I539" s="248" t="s">
        <v>398</v>
      </c>
      <c r="J539" s="248" t="s">
        <v>399</v>
      </c>
    </row>
    <row r="540" spans="1:10">
      <c r="A540" s="13" t="s">
        <v>427</v>
      </c>
      <c r="B540" s="13">
        <v>2139</v>
      </c>
      <c r="C540" s="13" t="s">
        <v>417</v>
      </c>
      <c r="D540" s="13" t="s">
        <v>380</v>
      </c>
      <c r="E540" s="240">
        <v>42768</v>
      </c>
      <c r="F540" s="240">
        <v>42768</v>
      </c>
      <c r="G540" s="13">
        <v>1830.48</v>
      </c>
      <c r="H540" s="13">
        <v>0</v>
      </c>
      <c r="I540" s="13">
        <v>1</v>
      </c>
      <c r="J540" s="12">
        <f>G540*I540%</f>
        <v>18.3048</v>
      </c>
    </row>
    <row r="541" spans="1:10">
      <c r="A541" s="13" t="s">
        <v>427</v>
      </c>
      <c r="B541" s="13">
        <v>2631</v>
      </c>
      <c r="C541" s="13" t="s">
        <v>417</v>
      </c>
      <c r="D541" s="13" t="s">
        <v>380</v>
      </c>
      <c r="E541" s="240">
        <v>42775</v>
      </c>
      <c r="F541" s="240">
        <v>42775</v>
      </c>
      <c r="G541" s="13">
        <v>18832.13</v>
      </c>
      <c r="H541" s="13">
        <v>0</v>
      </c>
      <c r="I541" s="13">
        <v>1</v>
      </c>
      <c r="J541" s="12">
        <f>G541*I541%</f>
        <v>188.32130000000001</v>
      </c>
    </row>
    <row r="542" spans="1:10">
      <c r="F542" s="258" t="s">
        <v>14</v>
      </c>
      <c r="G542" s="137">
        <f>SUM(G540:G541)</f>
        <v>20662.61</v>
      </c>
      <c r="I542" s="258" t="s">
        <v>383</v>
      </c>
      <c r="J542" s="137">
        <f>SUM(J540:J541)</f>
        <v>206.62610000000001</v>
      </c>
    </row>
    <row r="544" spans="1:10">
      <c r="B544" s="138" t="s">
        <v>403</v>
      </c>
      <c r="C544" s="244" t="s">
        <v>367</v>
      </c>
      <c r="D544" s="243" t="s">
        <v>429</v>
      </c>
    </row>
    <row r="545" spans="1:11">
      <c r="B545" s="138"/>
      <c r="C545" s="244"/>
      <c r="D545" s="243"/>
    </row>
    <row r="546" spans="1:11">
      <c r="A546" s="248" t="s">
        <v>385</v>
      </c>
      <c r="B546" s="248" t="s">
        <v>370</v>
      </c>
      <c r="C546" s="248" t="s">
        <v>371</v>
      </c>
      <c r="D546" s="248" t="s">
        <v>372</v>
      </c>
      <c r="E546" s="248" t="s">
        <v>386</v>
      </c>
      <c r="F546" s="248" t="s">
        <v>396</v>
      </c>
      <c r="G546" s="248" t="s">
        <v>14</v>
      </c>
      <c r="H546" s="248" t="s">
        <v>397</v>
      </c>
      <c r="I546" s="248" t="s">
        <v>398</v>
      </c>
      <c r="J546" s="248" t="s">
        <v>399</v>
      </c>
    </row>
    <row r="547" spans="1:11">
      <c r="A547" s="13" t="s">
        <v>289</v>
      </c>
      <c r="B547" s="13">
        <v>20</v>
      </c>
      <c r="C547" s="13" t="s">
        <v>379</v>
      </c>
      <c r="D547" s="13" t="s">
        <v>380</v>
      </c>
      <c r="E547" s="240">
        <v>42781</v>
      </c>
      <c r="F547" s="240">
        <v>42817</v>
      </c>
      <c r="G547" s="13">
        <v>24405.08</v>
      </c>
      <c r="H547" s="13">
        <v>0</v>
      </c>
      <c r="I547" s="13">
        <v>1</v>
      </c>
      <c r="J547" s="12">
        <f>G547*I547%</f>
        <v>244.05080000000001</v>
      </c>
    </row>
    <row r="548" spans="1:11">
      <c r="F548" s="258" t="s">
        <v>14</v>
      </c>
      <c r="G548" s="137">
        <f>SUM(G546:G547)</f>
        <v>24405.08</v>
      </c>
      <c r="I548" s="258" t="s">
        <v>383</v>
      </c>
      <c r="J548" s="137">
        <f>SUM(J546:J547)</f>
        <v>244.05080000000001</v>
      </c>
    </row>
    <row r="551" spans="1:11">
      <c r="B551" s="138" t="s">
        <v>403</v>
      </c>
      <c r="C551" s="244" t="s">
        <v>367</v>
      </c>
      <c r="D551" s="243" t="s">
        <v>430</v>
      </c>
    </row>
    <row r="552" spans="1:11">
      <c r="B552" s="138"/>
      <c r="C552" s="244"/>
      <c r="D552" s="243"/>
    </row>
    <row r="553" spans="1:11">
      <c r="A553" s="248" t="s">
        <v>385</v>
      </c>
      <c r="B553" s="248" t="s">
        <v>370</v>
      </c>
      <c r="C553" s="248" t="s">
        <v>371</v>
      </c>
      <c r="D553" s="248" t="s">
        <v>372</v>
      </c>
      <c r="E553" s="248" t="s">
        <v>386</v>
      </c>
      <c r="F553" s="248" t="s">
        <v>396</v>
      </c>
      <c r="G553" s="248" t="s">
        <v>14</v>
      </c>
      <c r="H553" s="248" t="s">
        <v>397</v>
      </c>
      <c r="I553" s="248" t="s">
        <v>398</v>
      </c>
      <c r="J553" s="248" t="s">
        <v>399</v>
      </c>
      <c r="K553" s="248" t="s">
        <v>431</v>
      </c>
    </row>
    <row r="554" spans="1:11">
      <c r="A554" s="13" t="s">
        <v>289</v>
      </c>
      <c r="B554" s="13">
        <v>70</v>
      </c>
      <c r="C554" s="13" t="s">
        <v>379</v>
      </c>
      <c r="D554" s="13" t="s">
        <v>380</v>
      </c>
      <c r="E554" s="240">
        <v>42828</v>
      </c>
      <c r="F554" s="240">
        <v>42854</v>
      </c>
      <c r="G554" s="12">
        <v>18550.849999999999</v>
      </c>
      <c r="H554" s="12">
        <v>0</v>
      </c>
      <c r="I554" s="13">
        <v>1</v>
      </c>
      <c r="J554" s="12">
        <f t="shared" ref="J554:J568" si="30">G554*I554%</f>
        <v>185.5085</v>
      </c>
      <c r="K554" s="13">
        <f t="shared" ref="K554:K568" si="31">F554-E554</f>
        <v>26</v>
      </c>
    </row>
    <row r="555" spans="1:11">
      <c r="A555" s="13" t="s">
        <v>289</v>
      </c>
      <c r="B555" s="13">
        <v>67</v>
      </c>
      <c r="C555" s="13" t="s">
        <v>379</v>
      </c>
      <c r="D555" s="13" t="s">
        <v>380</v>
      </c>
      <c r="E555" s="240">
        <v>42826</v>
      </c>
      <c r="F555" s="240">
        <v>42854</v>
      </c>
      <c r="G555" s="12">
        <v>14830.51</v>
      </c>
      <c r="H555" s="12">
        <v>0</v>
      </c>
      <c r="I555" s="13">
        <v>1</v>
      </c>
      <c r="J555" s="12">
        <f t="shared" si="30"/>
        <v>148.30510000000001</v>
      </c>
      <c r="K555" s="13">
        <f t="shared" si="31"/>
        <v>28</v>
      </c>
    </row>
    <row r="556" spans="1:11">
      <c r="A556" s="13" t="s">
        <v>289</v>
      </c>
      <c r="B556" s="13">
        <v>73</v>
      </c>
      <c r="C556" s="13" t="s">
        <v>379</v>
      </c>
      <c r="D556" s="13" t="s">
        <v>380</v>
      </c>
      <c r="E556" s="240">
        <v>42829</v>
      </c>
      <c r="F556" s="240">
        <v>42854</v>
      </c>
      <c r="G556" s="12">
        <v>288.14</v>
      </c>
      <c r="H556" s="12">
        <v>0</v>
      </c>
      <c r="I556" s="13">
        <v>1</v>
      </c>
      <c r="J556" s="12">
        <f t="shared" si="30"/>
        <v>2.8813999999999997</v>
      </c>
      <c r="K556" s="13">
        <f t="shared" si="31"/>
        <v>25</v>
      </c>
    </row>
    <row r="557" spans="1:11">
      <c r="A557" s="13" t="s">
        <v>289</v>
      </c>
      <c r="B557" s="13">
        <v>72</v>
      </c>
      <c r="C557" s="13" t="s">
        <v>379</v>
      </c>
      <c r="D557" s="13" t="s">
        <v>380</v>
      </c>
      <c r="E557" s="240">
        <v>42829</v>
      </c>
      <c r="F557" s="240">
        <v>42854</v>
      </c>
      <c r="G557" s="12">
        <v>22622.07</v>
      </c>
      <c r="H557" s="12">
        <v>0</v>
      </c>
      <c r="I557" s="13">
        <v>1</v>
      </c>
      <c r="J557" s="12">
        <f t="shared" si="30"/>
        <v>226.22069999999999</v>
      </c>
      <c r="K557" s="13">
        <f t="shared" si="31"/>
        <v>25</v>
      </c>
    </row>
    <row r="558" spans="1:11">
      <c r="A558" s="13" t="s">
        <v>289</v>
      </c>
      <c r="B558" s="13">
        <v>71</v>
      </c>
      <c r="C558" s="13" t="s">
        <v>379</v>
      </c>
      <c r="D558" s="13" t="s">
        <v>380</v>
      </c>
      <c r="E558" s="240">
        <v>42828</v>
      </c>
      <c r="F558" s="240">
        <v>42854</v>
      </c>
      <c r="G558" s="12">
        <v>1957.63</v>
      </c>
      <c r="H558" s="12">
        <v>0</v>
      </c>
      <c r="I558" s="13">
        <v>1</v>
      </c>
      <c r="J558" s="12">
        <f t="shared" si="30"/>
        <v>19.5763</v>
      </c>
      <c r="K558" s="13">
        <f t="shared" si="31"/>
        <v>26</v>
      </c>
    </row>
    <row r="559" spans="1:11">
      <c r="A559" s="13" t="s">
        <v>289</v>
      </c>
      <c r="B559" s="13">
        <v>82</v>
      </c>
      <c r="C559" s="13" t="s">
        <v>379</v>
      </c>
      <c r="D559" s="13" t="s">
        <v>380</v>
      </c>
      <c r="E559" s="240">
        <v>42832</v>
      </c>
      <c r="F559" s="240">
        <v>42854</v>
      </c>
      <c r="G559" s="12">
        <v>7905.08</v>
      </c>
      <c r="H559" s="12">
        <v>0</v>
      </c>
      <c r="I559" s="13">
        <v>1</v>
      </c>
      <c r="J559" s="12">
        <f t="shared" si="30"/>
        <v>79.050799999999995</v>
      </c>
      <c r="K559" s="13">
        <f t="shared" si="31"/>
        <v>22</v>
      </c>
    </row>
    <row r="560" spans="1:11">
      <c r="A560" s="13" t="s">
        <v>427</v>
      </c>
      <c r="B560" s="13">
        <v>9058</v>
      </c>
      <c r="C560" s="13" t="s">
        <v>417</v>
      </c>
      <c r="D560" s="13" t="s">
        <v>380</v>
      </c>
      <c r="E560" s="240">
        <v>42850</v>
      </c>
      <c r="F560" s="240">
        <v>42850</v>
      </c>
      <c r="G560" s="12">
        <v>1964.84</v>
      </c>
      <c r="H560" s="12">
        <v>0</v>
      </c>
      <c r="I560" s="13">
        <v>1</v>
      </c>
      <c r="J560" s="12">
        <f t="shared" si="30"/>
        <v>19.648399999999999</v>
      </c>
      <c r="K560" s="13">
        <f t="shared" si="31"/>
        <v>0</v>
      </c>
    </row>
    <row r="561" spans="1:11">
      <c r="A561" s="13" t="s">
        <v>427</v>
      </c>
      <c r="B561" s="13">
        <v>5795</v>
      </c>
      <c r="C561" s="13" t="s">
        <v>417</v>
      </c>
      <c r="D561" s="13" t="s">
        <v>380</v>
      </c>
      <c r="E561" s="240">
        <v>42811</v>
      </c>
      <c r="F561" s="240">
        <v>42840</v>
      </c>
      <c r="G561" s="12">
        <v>4511.55</v>
      </c>
      <c r="H561" s="12">
        <v>0</v>
      </c>
      <c r="I561" s="13">
        <v>1</v>
      </c>
      <c r="J561" s="12">
        <f t="shared" si="30"/>
        <v>45.115500000000004</v>
      </c>
      <c r="K561" s="13">
        <f t="shared" si="31"/>
        <v>29</v>
      </c>
    </row>
    <row r="562" spans="1:11">
      <c r="A562" s="13" t="s">
        <v>427</v>
      </c>
      <c r="B562" s="13">
        <v>6532</v>
      </c>
      <c r="C562" s="13" t="s">
        <v>417</v>
      </c>
      <c r="D562" s="13" t="s">
        <v>380</v>
      </c>
      <c r="E562" s="240">
        <v>42822</v>
      </c>
      <c r="F562" s="240">
        <v>42840</v>
      </c>
      <c r="G562" s="12">
        <v>4053.93</v>
      </c>
      <c r="H562" s="12">
        <v>0</v>
      </c>
      <c r="I562" s="13">
        <v>1</v>
      </c>
      <c r="J562" s="12">
        <f t="shared" si="30"/>
        <v>40.539299999999997</v>
      </c>
      <c r="K562" s="13">
        <f t="shared" si="31"/>
        <v>18</v>
      </c>
    </row>
    <row r="563" spans="1:11">
      <c r="A563" s="13" t="s">
        <v>427</v>
      </c>
      <c r="B563" s="13">
        <v>8207</v>
      </c>
      <c r="C563" s="13" t="s">
        <v>417</v>
      </c>
      <c r="D563" s="13" t="s">
        <v>380</v>
      </c>
      <c r="E563" s="240">
        <v>42837</v>
      </c>
      <c r="F563" s="240">
        <v>42840</v>
      </c>
      <c r="G563" s="12">
        <v>2288.1</v>
      </c>
      <c r="H563" s="12">
        <v>0</v>
      </c>
      <c r="I563" s="13">
        <v>1</v>
      </c>
      <c r="J563" s="12">
        <f t="shared" si="30"/>
        <v>22.881</v>
      </c>
      <c r="K563" s="13">
        <f t="shared" si="31"/>
        <v>3</v>
      </c>
    </row>
    <row r="564" spans="1:11">
      <c r="A564" s="13" t="s">
        <v>427</v>
      </c>
      <c r="B564" s="13">
        <v>9466</v>
      </c>
      <c r="C564" s="13" t="s">
        <v>400</v>
      </c>
      <c r="D564" s="13" t="s">
        <v>380</v>
      </c>
      <c r="E564" s="240">
        <v>42853</v>
      </c>
      <c r="F564" s="240">
        <v>42853</v>
      </c>
      <c r="G564" s="12">
        <v>8451.07</v>
      </c>
      <c r="H564" s="12">
        <v>0</v>
      </c>
      <c r="I564" s="13">
        <v>1</v>
      </c>
      <c r="J564" s="12">
        <f t="shared" si="30"/>
        <v>84.5107</v>
      </c>
      <c r="K564" s="13">
        <f t="shared" si="31"/>
        <v>0</v>
      </c>
    </row>
    <row r="565" spans="1:11">
      <c r="A565" s="253">
        <v>1</v>
      </c>
      <c r="B565" s="253">
        <v>347584</v>
      </c>
      <c r="C565" s="253" t="s">
        <v>400</v>
      </c>
      <c r="D565" s="253" t="s">
        <v>380</v>
      </c>
      <c r="E565" s="254">
        <v>42704</v>
      </c>
      <c r="F565" s="254">
        <v>42853</v>
      </c>
      <c r="G565" s="255">
        <v>11440.5</v>
      </c>
      <c r="H565" s="255">
        <v>0</v>
      </c>
      <c r="I565" s="253">
        <v>1</v>
      </c>
      <c r="J565" s="255">
        <f t="shared" si="30"/>
        <v>114.405</v>
      </c>
      <c r="K565" s="253">
        <f t="shared" si="31"/>
        <v>149</v>
      </c>
    </row>
    <row r="566" spans="1:11">
      <c r="A566" s="253">
        <v>1</v>
      </c>
      <c r="B566" s="253">
        <v>346331</v>
      </c>
      <c r="C566" s="253" t="s">
        <v>400</v>
      </c>
      <c r="D566" s="253" t="s">
        <v>380</v>
      </c>
      <c r="E566" s="254">
        <v>42688</v>
      </c>
      <c r="F566" s="254">
        <v>42853</v>
      </c>
      <c r="G566" s="255">
        <v>5720.25</v>
      </c>
      <c r="H566" s="255">
        <v>0</v>
      </c>
      <c r="I566" s="253">
        <v>1</v>
      </c>
      <c r="J566" s="255">
        <f t="shared" si="30"/>
        <v>57.202500000000001</v>
      </c>
      <c r="K566" s="253">
        <f t="shared" si="31"/>
        <v>165</v>
      </c>
    </row>
    <row r="567" spans="1:11">
      <c r="A567" s="253">
        <v>1</v>
      </c>
      <c r="B567" s="253">
        <v>346209</v>
      </c>
      <c r="C567" s="253" t="s">
        <v>400</v>
      </c>
      <c r="D567" s="253" t="s">
        <v>380</v>
      </c>
      <c r="E567" s="254">
        <v>42685</v>
      </c>
      <c r="F567" s="254">
        <v>42853</v>
      </c>
      <c r="G567" s="255">
        <v>11440.5</v>
      </c>
      <c r="H567" s="255">
        <v>0</v>
      </c>
      <c r="I567" s="253">
        <v>1</v>
      </c>
      <c r="J567" s="255">
        <f t="shared" si="30"/>
        <v>114.405</v>
      </c>
      <c r="K567" s="253">
        <f t="shared" si="31"/>
        <v>168</v>
      </c>
    </row>
    <row r="568" spans="1:11">
      <c r="A568" s="253">
        <v>1</v>
      </c>
      <c r="B568" s="253">
        <v>346210</v>
      </c>
      <c r="C568" s="253" t="s">
        <v>400</v>
      </c>
      <c r="D568" s="253" t="s">
        <v>380</v>
      </c>
      <c r="E568" s="254">
        <v>42685</v>
      </c>
      <c r="F568" s="254">
        <v>42853</v>
      </c>
      <c r="G568" s="255">
        <v>2357.81</v>
      </c>
      <c r="H568" s="255">
        <v>0</v>
      </c>
      <c r="I568" s="253">
        <v>1</v>
      </c>
      <c r="J568" s="255">
        <f t="shared" si="30"/>
        <v>23.578099999999999</v>
      </c>
      <c r="K568" s="253">
        <f t="shared" si="31"/>
        <v>168</v>
      </c>
    </row>
    <row r="569" spans="1:11">
      <c r="F569" s="258" t="s">
        <v>14</v>
      </c>
      <c r="G569" s="137">
        <f>SUM(G554:G568)</f>
        <v>118382.82999999999</v>
      </c>
      <c r="I569" s="258" t="s">
        <v>383</v>
      </c>
      <c r="J569" s="137">
        <f>SUM(J554:J568)</f>
        <v>1183.8282999999999</v>
      </c>
    </row>
    <row r="576" spans="1:11">
      <c r="B576" s="138" t="s">
        <v>403</v>
      </c>
      <c r="C576" s="244" t="s">
        <v>367</v>
      </c>
      <c r="D576" s="243" t="s">
        <v>432</v>
      </c>
    </row>
    <row r="577" spans="1:11">
      <c r="B577" s="138"/>
      <c r="C577" s="244"/>
      <c r="D577" s="243"/>
    </row>
    <row r="578" spans="1:11">
      <c r="A578" s="248" t="s">
        <v>385</v>
      </c>
      <c r="B578" s="248" t="s">
        <v>370</v>
      </c>
      <c r="C578" s="248" t="s">
        <v>371</v>
      </c>
      <c r="D578" s="248" t="s">
        <v>372</v>
      </c>
      <c r="E578" s="248" t="s">
        <v>386</v>
      </c>
      <c r="F578" s="248" t="s">
        <v>396</v>
      </c>
      <c r="G578" s="248" t="s">
        <v>14</v>
      </c>
      <c r="H578" s="248" t="s">
        <v>397</v>
      </c>
      <c r="I578" s="248" t="s">
        <v>398</v>
      </c>
      <c r="J578" s="248" t="s">
        <v>399</v>
      </c>
      <c r="K578" s="248" t="s">
        <v>431</v>
      </c>
    </row>
    <row r="579" spans="1:11">
      <c r="A579" s="13" t="s">
        <v>289</v>
      </c>
      <c r="B579" s="13">
        <v>83</v>
      </c>
      <c r="C579" s="13" t="s">
        <v>401</v>
      </c>
      <c r="D579" s="13" t="s">
        <v>380</v>
      </c>
      <c r="E579" s="240">
        <v>42833</v>
      </c>
      <c r="F579" s="240">
        <v>42861</v>
      </c>
      <c r="G579" s="13">
        <v>6203.39</v>
      </c>
      <c r="H579" s="12">
        <v>0</v>
      </c>
      <c r="I579" s="13">
        <v>1</v>
      </c>
      <c r="J579" s="12">
        <f>G579*I579%</f>
        <v>62.033900000000003</v>
      </c>
      <c r="K579" s="13">
        <f>F579-E579</f>
        <v>28</v>
      </c>
    </row>
    <row r="580" spans="1:11">
      <c r="A580" s="13" t="s">
        <v>433</v>
      </c>
      <c r="B580" s="13">
        <v>349382</v>
      </c>
      <c r="C580" s="13" t="s">
        <v>434</v>
      </c>
      <c r="D580" s="13" t="s">
        <v>380</v>
      </c>
      <c r="E580" s="240">
        <v>42733</v>
      </c>
      <c r="F580" s="240">
        <v>42880</v>
      </c>
      <c r="G580" s="13">
        <v>2947.27</v>
      </c>
      <c r="H580" s="12">
        <v>0</v>
      </c>
      <c r="I580" s="13">
        <v>1</v>
      </c>
      <c r="J580" s="12">
        <f>G580*I580%</f>
        <v>29.4727</v>
      </c>
      <c r="K580" s="13">
        <f>F580-E580</f>
        <v>147</v>
      </c>
    </row>
    <row r="581" spans="1:11">
      <c r="A581" s="13" t="s">
        <v>427</v>
      </c>
      <c r="B581" s="13">
        <v>11205</v>
      </c>
      <c r="C581" s="13" t="s">
        <v>434</v>
      </c>
      <c r="D581" s="13" t="s">
        <v>380</v>
      </c>
      <c r="E581" s="240">
        <v>42877</v>
      </c>
      <c r="F581" s="240">
        <v>42877</v>
      </c>
      <c r="G581" s="13">
        <v>8451.07</v>
      </c>
      <c r="H581" s="12">
        <v>0</v>
      </c>
      <c r="I581" s="13">
        <v>1</v>
      </c>
      <c r="J581" s="12">
        <f>G581*I581%</f>
        <v>84.5107</v>
      </c>
      <c r="K581" s="13">
        <f>F581-E581</f>
        <v>0</v>
      </c>
    </row>
    <row r="582" spans="1:11">
      <c r="A582" s="13" t="s">
        <v>427</v>
      </c>
      <c r="B582" s="13">
        <v>11285</v>
      </c>
      <c r="C582" s="13" t="s">
        <v>417</v>
      </c>
      <c r="D582" s="13" t="s">
        <v>380</v>
      </c>
      <c r="E582" s="240">
        <v>42878</v>
      </c>
      <c r="F582" s="240">
        <v>42878</v>
      </c>
      <c r="G582" s="13">
        <v>4553.47</v>
      </c>
      <c r="H582" s="12">
        <v>0</v>
      </c>
      <c r="I582" s="13">
        <v>1</v>
      </c>
      <c r="J582" s="12">
        <f>G582*I582%</f>
        <v>45.534700000000001</v>
      </c>
      <c r="K582" s="13">
        <f>F582-E582</f>
        <v>0</v>
      </c>
    </row>
    <row r="583" spans="1:11">
      <c r="A583" s="13" t="s">
        <v>427</v>
      </c>
      <c r="B583" s="13">
        <v>10278</v>
      </c>
      <c r="C583" s="13" t="s">
        <v>417</v>
      </c>
      <c r="D583" s="13" t="s">
        <v>380</v>
      </c>
      <c r="E583" s="240">
        <v>42864</v>
      </c>
      <c r="F583" s="240">
        <v>42864</v>
      </c>
      <c r="G583" s="13">
        <v>2745.72</v>
      </c>
      <c r="H583" s="12">
        <v>0</v>
      </c>
      <c r="I583" s="13">
        <v>1</v>
      </c>
      <c r="J583" s="12">
        <f>G583*I583%</f>
        <v>27.4572</v>
      </c>
      <c r="K583" s="13">
        <f>F583-E583</f>
        <v>0</v>
      </c>
    </row>
    <row r="584" spans="1:11">
      <c r="F584" s="258" t="s">
        <v>14</v>
      </c>
      <c r="G584" s="137">
        <f>SUM(G579:G583)</f>
        <v>24900.920000000002</v>
      </c>
      <c r="I584" s="258" t="s">
        <v>383</v>
      </c>
      <c r="J584" s="137">
        <f>SUM(J579:J583)</f>
        <v>249.00920000000002</v>
      </c>
    </row>
    <row r="590" spans="1:11">
      <c r="B590" s="138" t="s">
        <v>403</v>
      </c>
      <c r="C590" s="244" t="s">
        <v>367</v>
      </c>
      <c r="D590" s="243" t="s">
        <v>435</v>
      </c>
    </row>
    <row r="591" spans="1:11">
      <c r="B591" s="138"/>
      <c r="C591" s="244"/>
      <c r="D591" s="243"/>
    </row>
    <row r="592" spans="1:11">
      <c r="A592" s="248" t="s">
        <v>385</v>
      </c>
      <c r="B592" s="248" t="s">
        <v>370</v>
      </c>
      <c r="C592" s="248" t="s">
        <v>371</v>
      </c>
      <c r="D592" s="248" t="s">
        <v>372</v>
      </c>
      <c r="E592" s="248" t="s">
        <v>386</v>
      </c>
      <c r="F592" s="248" t="s">
        <v>396</v>
      </c>
      <c r="G592" s="248" t="s">
        <v>14</v>
      </c>
      <c r="H592" s="248" t="s">
        <v>397</v>
      </c>
      <c r="I592" s="248" t="s">
        <v>398</v>
      </c>
      <c r="J592" s="248" t="s">
        <v>399</v>
      </c>
      <c r="K592" s="248" t="s">
        <v>431</v>
      </c>
    </row>
    <row r="593" spans="1:11">
      <c r="A593" s="13" t="s">
        <v>289</v>
      </c>
      <c r="B593" s="13">
        <v>121</v>
      </c>
      <c r="C593" s="13" t="s">
        <v>401</v>
      </c>
      <c r="D593" s="13" t="s">
        <v>380</v>
      </c>
      <c r="E593" s="240">
        <v>42871</v>
      </c>
      <c r="F593" s="240">
        <v>42905</v>
      </c>
      <c r="G593" s="13">
        <v>2228.73</v>
      </c>
      <c r="H593" s="12">
        <v>0</v>
      </c>
      <c r="I593" s="13">
        <v>1</v>
      </c>
      <c r="J593" s="12">
        <f>G593*I593%</f>
        <v>22.287300000000002</v>
      </c>
      <c r="K593" s="13">
        <f>F593-E593</f>
        <v>34</v>
      </c>
    </row>
    <row r="594" spans="1:11">
      <c r="A594" s="13" t="s">
        <v>427</v>
      </c>
      <c r="B594" s="13">
        <v>14440</v>
      </c>
      <c r="C594" s="13" t="s">
        <v>417</v>
      </c>
      <c r="D594" s="13" t="s">
        <v>380</v>
      </c>
      <c r="E594" s="240">
        <v>42912</v>
      </c>
      <c r="F594" s="240">
        <v>42912</v>
      </c>
      <c r="G594" s="13">
        <v>5362.44</v>
      </c>
      <c r="H594" s="12">
        <v>0</v>
      </c>
      <c r="I594" s="13">
        <v>1</v>
      </c>
      <c r="J594" s="12">
        <f>G594*I594%</f>
        <v>53.624399999999994</v>
      </c>
      <c r="K594" s="13">
        <f>F594-E594</f>
        <v>0</v>
      </c>
    </row>
    <row r="595" spans="1:11">
      <c r="A595" s="13" t="s">
        <v>427</v>
      </c>
      <c r="B595" s="13">
        <v>13444</v>
      </c>
      <c r="C595" s="13" t="s">
        <v>417</v>
      </c>
      <c r="D595" s="13" t="s">
        <v>380</v>
      </c>
      <c r="E595" s="240">
        <v>42899</v>
      </c>
      <c r="F595" s="240">
        <v>42899</v>
      </c>
      <c r="G595" s="13">
        <v>10528.39</v>
      </c>
      <c r="H595" s="12">
        <v>0</v>
      </c>
      <c r="I595" s="13">
        <v>1</v>
      </c>
      <c r="J595" s="12">
        <f>G595*I595%</f>
        <v>105.2839</v>
      </c>
      <c r="K595" s="13">
        <f>F595-E595</f>
        <v>0</v>
      </c>
    </row>
    <row r="596" spans="1:11">
      <c r="F596" s="258" t="s">
        <v>14</v>
      </c>
      <c r="G596" s="137">
        <f>SUM(G593:G595)</f>
        <v>18119.559999999998</v>
      </c>
      <c r="I596" s="258" t="s">
        <v>383</v>
      </c>
      <c r="J596" s="137">
        <f>SUM(J591:J595)</f>
        <v>181.19560000000001</v>
      </c>
    </row>
    <row r="600" spans="1:11">
      <c r="B600" s="138" t="s">
        <v>403</v>
      </c>
      <c r="C600" s="244" t="s">
        <v>367</v>
      </c>
      <c r="D600" s="243" t="s">
        <v>436</v>
      </c>
    </row>
    <row r="601" spans="1:11">
      <c r="B601" s="138"/>
      <c r="C601" s="244"/>
      <c r="D601" s="243"/>
    </row>
    <row r="602" spans="1:11">
      <c r="A602" s="248" t="s">
        <v>385</v>
      </c>
      <c r="B602" s="248" t="s">
        <v>370</v>
      </c>
      <c r="C602" s="248" t="s">
        <v>371</v>
      </c>
      <c r="D602" s="248" t="s">
        <v>372</v>
      </c>
      <c r="E602" s="248" t="s">
        <v>386</v>
      </c>
      <c r="F602" s="248" t="s">
        <v>396</v>
      </c>
      <c r="G602" s="248" t="s">
        <v>14</v>
      </c>
      <c r="H602" s="248" t="s">
        <v>397</v>
      </c>
      <c r="I602" s="248" t="s">
        <v>398</v>
      </c>
      <c r="J602" s="248" t="s">
        <v>399</v>
      </c>
      <c r="K602" s="248" t="s">
        <v>431</v>
      </c>
    </row>
    <row r="603" spans="1:11">
      <c r="A603" s="253">
        <v>1</v>
      </c>
      <c r="B603" s="253">
        <v>349586</v>
      </c>
      <c r="C603" s="253" t="s">
        <v>400</v>
      </c>
      <c r="D603" s="253" t="s">
        <v>380</v>
      </c>
      <c r="E603" s="254">
        <v>42735</v>
      </c>
      <c r="F603" s="254">
        <v>42947</v>
      </c>
      <c r="G603" s="255">
        <v>27457.200000000001</v>
      </c>
      <c r="H603" s="255">
        <v>0</v>
      </c>
      <c r="I603" s="253">
        <v>1</v>
      </c>
      <c r="J603" s="255">
        <f t="shared" ref="J603:J619" si="32">G603*I603%</f>
        <v>274.572</v>
      </c>
      <c r="K603" s="253">
        <f t="shared" ref="K603:K619" si="33">F603-E603</f>
        <v>212</v>
      </c>
    </row>
    <row r="604" spans="1:11">
      <c r="A604" s="13" t="s">
        <v>427</v>
      </c>
      <c r="B604" s="13">
        <v>16814</v>
      </c>
      <c r="C604" s="13" t="s">
        <v>400</v>
      </c>
      <c r="D604" s="13" t="s">
        <v>380</v>
      </c>
      <c r="E604" s="240">
        <v>42935</v>
      </c>
      <c r="F604" s="240">
        <v>42935</v>
      </c>
      <c r="G604" s="12">
        <v>3390</v>
      </c>
      <c r="H604" s="12">
        <v>0</v>
      </c>
      <c r="I604" s="13">
        <v>1</v>
      </c>
      <c r="J604" s="12">
        <f t="shared" si="32"/>
        <v>33.9</v>
      </c>
      <c r="K604" s="13">
        <f t="shared" si="33"/>
        <v>0</v>
      </c>
    </row>
    <row r="605" spans="1:11">
      <c r="A605" s="253">
        <v>1</v>
      </c>
      <c r="B605" s="253">
        <v>349587</v>
      </c>
      <c r="C605" s="253" t="s">
        <v>400</v>
      </c>
      <c r="D605" s="253" t="s">
        <v>380</v>
      </c>
      <c r="E605" s="254">
        <v>42735</v>
      </c>
      <c r="F605" s="254">
        <v>42935</v>
      </c>
      <c r="G605" s="255">
        <v>13728.6</v>
      </c>
      <c r="H605" s="255">
        <v>0</v>
      </c>
      <c r="I605" s="253">
        <v>1</v>
      </c>
      <c r="J605" s="255">
        <f t="shared" si="32"/>
        <v>137.286</v>
      </c>
      <c r="K605" s="253">
        <f t="shared" si="33"/>
        <v>200</v>
      </c>
    </row>
    <row r="606" spans="1:11">
      <c r="A606" s="253">
        <v>1</v>
      </c>
      <c r="B606" s="253">
        <v>349383</v>
      </c>
      <c r="C606" s="253" t="s">
        <v>400</v>
      </c>
      <c r="D606" s="253" t="s">
        <v>380</v>
      </c>
      <c r="E606" s="254">
        <v>42733</v>
      </c>
      <c r="F606" s="254">
        <v>42935</v>
      </c>
      <c r="G606" s="255">
        <v>13728.6</v>
      </c>
      <c r="H606" s="255">
        <v>0</v>
      </c>
      <c r="I606" s="253">
        <v>1</v>
      </c>
      <c r="J606" s="255">
        <f t="shared" si="32"/>
        <v>137.286</v>
      </c>
      <c r="K606" s="253">
        <f t="shared" si="33"/>
        <v>202</v>
      </c>
    </row>
    <row r="607" spans="1:11">
      <c r="A607" s="13" t="s">
        <v>289</v>
      </c>
      <c r="B607" s="13">
        <v>230</v>
      </c>
      <c r="C607" s="13" t="s">
        <v>379</v>
      </c>
      <c r="D607" s="13" t="s">
        <v>380</v>
      </c>
      <c r="E607" s="240">
        <v>42919</v>
      </c>
      <c r="F607" s="240">
        <v>42936</v>
      </c>
      <c r="G607" s="12">
        <v>1101.69</v>
      </c>
      <c r="H607" s="12">
        <v>0</v>
      </c>
      <c r="I607" s="13">
        <v>1</v>
      </c>
      <c r="J607" s="12">
        <f t="shared" si="32"/>
        <v>11.016900000000001</v>
      </c>
      <c r="K607" s="13">
        <f t="shared" si="33"/>
        <v>17</v>
      </c>
    </row>
    <row r="608" spans="1:11">
      <c r="A608" s="13" t="s">
        <v>289</v>
      </c>
      <c r="B608" s="13">
        <v>199</v>
      </c>
      <c r="C608" s="13" t="s">
        <v>401</v>
      </c>
      <c r="D608" s="13" t="s">
        <v>380</v>
      </c>
      <c r="E608" s="240">
        <v>42909</v>
      </c>
      <c r="F608" s="240">
        <v>42928</v>
      </c>
      <c r="G608" s="12">
        <v>3106.68</v>
      </c>
      <c r="H608" s="12">
        <v>0</v>
      </c>
      <c r="I608" s="13">
        <v>1</v>
      </c>
      <c r="J608" s="12">
        <f t="shared" si="32"/>
        <v>31.066800000000001</v>
      </c>
      <c r="K608" s="13">
        <f t="shared" si="33"/>
        <v>19</v>
      </c>
    </row>
    <row r="609" spans="1:11">
      <c r="A609" s="13" t="s">
        <v>289</v>
      </c>
      <c r="B609" s="13">
        <v>190</v>
      </c>
      <c r="C609" s="13" t="s">
        <v>401</v>
      </c>
      <c r="D609" s="13" t="s">
        <v>380</v>
      </c>
      <c r="E609" s="240">
        <v>42906</v>
      </c>
      <c r="F609" s="240">
        <v>42928</v>
      </c>
      <c r="G609" s="12">
        <v>2655.46</v>
      </c>
      <c r="H609" s="12">
        <v>0</v>
      </c>
      <c r="I609" s="13">
        <v>1</v>
      </c>
      <c r="J609" s="12">
        <f t="shared" si="32"/>
        <v>26.554600000000001</v>
      </c>
      <c r="K609" s="13">
        <f t="shared" si="33"/>
        <v>22</v>
      </c>
    </row>
    <row r="610" spans="1:11">
      <c r="A610" s="13" t="s">
        <v>289</v>
      </c>
      <c r="B610" s="13">
        <v>184</v>
      </c>
      <c r="C610" s="13" t="s">
        <v>401</v>
      </c>
      <c r="D610" s="13" t="s">
        <v>380</v>
      </c>
      <c r="E610" s="240">
        <v>42902</v>
      </c>
      <c r="F610" s="240">
        <v>42928</v>
      </c>
      <c r="G610" s="12">
        <v>8147.88</v>
      </c>
      <c r="H610" s="12">
        <v>0</v>
      </c>
      <c r="I610" s="13">
        <v>1</v>
      </c>
      <c r="J610" s="12">
        <f t="shared" si="32"/>
        <v>81.478800000000007</v>
      </c>
      <c r="K610" s="13">
        <f t="shared" si="33"/>
        <v>26</v>
      </c>
    </row>
    <row r="611" spans="1:11">
      <c r="A611" s="13" t="s">
        <v>289</v>
      </c>
      <c r="B611" s="13">
        <v>182</v>
      </c>
      <c r="C611" s="13" t="s">
        <v>401</v>
      </c>
      <c r="D611" s="13" t="s">
        <v>380</v>
      </c>
      <c r="E611" s="240">
        <v>42900</v>
      </c>
      <c r="F611" s="240">
        <v>42928</v>
      </c>
      <c r="G611" s="12">
        <v>3220.34</v>
      </c>
      <c r="H611" s="12">
        <v>0</v>
      </c>
      <c r="I611" s="13">
        <v>1</v>
      </c>
      <c r="J611" s="12">
        <f t="shared" si="32"/>
        <v>32.203400000000002</v>
      </c>
      <c r="K611" s="13">
        <f t="shared" si="33"/>
        <v>28</v>
      </c>
    </row>
    <row r="612" spans="1:11">
      <c r="A612" s="13" t="s">
        <v>289</v>
      </c>
      <c r="B612" s="13">
        <v>175</v>
      </c>
      <c r="C612" s="13" t="s">
        <v>401</v>
      </c>
      <c r="D612" s="13" t="s">
        <v>380</v>
      </c>
      <c r="E612" s="240">
        <v>42898</v>
      </c>
      <c r="F612" s="240">
        <v>42928</v>
      </c>
      <c r="G612" s="12">
        <v>3389.83</v>
      </c>
      <c r="H612" s="12">
        <v>0</v>
      </c>
      <c r="I612" s="13">
        <v>1</v>
      </c>
      <c r="J612" s="12">
        <f t="shared" si="32"/>
        <v>33.898299999999999</v>
      </c>
      <c r="K612" s="13">
        <f t="shared" si="33"/>
        <v>30</v>
      </c>
    </row>
    <row r="613" spans="1:11">
      <c r="A613" s="13" t="s">
        <v>289</v>
      </c>
      <c r="B613" s="13">
        <v>205</v>
      </c>
      <c r="C613" s="13" t="s">
        <v>401</v>
      </c>
      <c r="D613" s="13" t="s">
        <v>380</v>
      </c>
      <c r="E613" s="240">
        <v>42910</v>
      </c>
      <c r="F613" s="240">
        <v>42928</v>
      </c>
      <c r="G613" s="12">
        <v>229.07</v>
      </c>
      <c r="H613" s="12">
        <v>0</v>
      </c>
      <c r="I613" s="13">
        <v>1</v>
      </c>
      <c r="J613" s="12">
        <f t="shared" si="32"/>
        <v>2.2907000000000002</v>
      </c>
      <c r="K613" s="13">
        <f t="shared" si="33"/>
        <v>18</v>
      </c>
    </row>
    <row r="614" spans="1:11">
      <c r="A614" s="13" t="s">
        <v>289</v>
      </c>
      <c r="B614" s="13">
        <v>204</v>
      </c>
      <c r="C614" s="13" t="s">
        <v>401</v>
      </c>
      <c r="D614" s="13" t="s">
        <v>380</v>
      </c>
      <c r="E614" s="240">
        <v>42910</v>
      </c>
      <c r="F614" s="240">
        <v>42928</v>
      </c>
      <c r="G614" s="12">
        <v>2941.69</v>
      </c>
      <c r="H614" s="12">
        <v>0</v>
      </c>
      <c r="I614" s="13">
        <v>1</v>
      </c>
      <c r="J614" s="12">
        <f t="shared" si="32"/>
        <v>29.416900000000002</v>
      </c>
      <c r="K614" s="13">
        <f t="shared" si="33"/>
        <v>18</v>
      </c>
    </row>
    <row r="615" spans="1:11">
      <c r="A615" s="13" t="s">
        <v>289</v>
      </c>
      <c r="B615" s="13">
        <v>225</v>
      </c>
      <c r="C615" s="13" t="s">
        <v>381</v>
      </c>
      <c r="D615" s="13" t="s">
        <v>382</v>
      </c>
      <c r="E615" s="240">
        <v>42917</v>
      </c>
      <c r="F615" s="240">
        <v>42942</v>
      </c>
      <c r="G615" s="12">
        <v>14658.9</v>
      </c>
      <c r="H615" s="12">
        <v>0</v>
      </c>
      <c r="I615" s="13">
        <v>1</v>
      </c>
      <c r="J615" s="12">
        <f t="shared" si="32"/>
        <v>146.589</v>
      </c>
      <c r="K615" s="13">
        <f t="shared" si="33"/>
        <v>25</v>
      </c>
    </row>
    <row r="616" spans="1:11">
      <c r="A616" s="13" t="s">
        <v>289</v>
      </c>
      <c r="B616" s="13">
        <v>203</v>
      </c>
      <c r="C616" s="13" t="s">
        <v>381</v>
      </c>
      <c r="D616" s="13" t="s">
        <v>382</v>
      </c>
      <c r="E616" s="240">
        <v>42910</v>
      </c>
      <c r="F616" s="240">
        <v>42942</v>
      </c>
      <c r="G616" s="12">
        <v>5317.8</v>
      </c>
      <c r="H616" s="12">
        <v>0</v>
      </c>
      <c r="I616" s="13">
        <v>1</v>
      </c>
      <c r="J616" s="12">
        <f t="shared" si="32"/>
        <v>53.178000000000004</v>
      </c>
      <c r="K616" s="13">
        <f t="shared" si="33"/>
        <v>32</v>
      </c>
    </row>
    <row r="617" spans="1:11">
      <c r="A617" s="13" t="s">
        <v>289</v>
      </c>
      <c r="B617" s="13">
        <v>197</v>
      </c>
      <c r="C617" s="13" t="s">
        <v>381</v>
      </c>
      <c r="D617" s="13" t="s">
        <v>382</v>
      </c>
      <c r="E617" s="240">
        <v>42908</v>
      </c>
      <c r="F617" s="240">
        <v>42935</v>
      </c>
      <c r="G617" s="12">
        <v>338.64</v>
      </c>
      <c r="H617" s="12">
        <v>0</v>
      </c>
      <c r="I617" s="13">
        <v>1</v>
      </c>
      <c r="J617" s="12">
        <f t="shared" si="32"/>
        <v>3.3864000000000001</v>
      </c>
      <c r="K617" s="13">
        <f t="shared" si="33"/>
        <v>27</v>
      </c>
    </row>
    <row r="618" spans="1:11">
      <c r="A618" s="13" t="s">
        <v>289</v>
      </c>
      <c r="B618" s="13">
        <v>196</v>
      </c>
      <c r="C618" s="13" t="s">
        <v>381</v>
      </c>
      <c r="D618" s="13" t="s">
        <v>382</v>
      </c>
      <c r="E618" s="240">
        <v>42908</v>
      </c>
      <c r="F618" s="240">
        <v>42935</v>
      </c>
      <c r="G618" s="12">
        <v>836.68</v>
      </c>
      <c r="H618" s="12">
        <v>0</v>
      </c>
      <c r="I618" s="13">
        <v>1</v>
      </c>
      <c r="J618" s="12">
        <f t="shared" si="32"/>
        <v>8.3667999999999996</v>
      </c>
      <c r="K618" s="13">
        <f t="shared" si="33"/>
        <v>27</v>
      </c>
    </row>
    <row r="619" spans="1:11">
      <c r="A619" s="13" t="s">
        <v>427</v>
      </c>
      <c r="B619" s="13">
        <v>16819</v>
      </c>
      <c r="C619" s="13" t="s">
        <v>417</v>
      </c>
      <c r="D619" s="13" t="s">
        <v>380</v>
      </c>
      <c r="E619" s="240">
        <v>42935</v>
      </c>
      <c r="F619" s="240">
        <v>42935</v>
      </c>
      <c r="G619" s="12">
        <v>9153</v>
      </c>
      <c r="H619" s="12">
        <v>0</v>
      </c>
      <c r="I619" s="13">
        <v>1</v>
      </c>
      <c r="J619" s="12">
        <f t="shared" si="32"/>
        <v>91.53</v>
      </c>
      <c r="K619" s="13">
        <f t="shared" si="33"/>
        <v>0</v>
      </c>
    </row>
    <row r="620" spans="1:11">
      <c r="F620" s="258" t="s">
        <v>14</v>
      </c>
      <c r="G620" s="137">
        <f>SUM(G603:G619)</f>
        <v>113402.06</v>
      </c>
      <c r="I620" s="258" t="s">
        <v>383</v>
      </c>
      <c r="J620" s="137">
        <f>SUM(J603:J619)</f>
        <v>1134.0206000000003</v>
      </c>
    </row>
    <row r="625" spans="1:11">
      <c r="B625" s="138" t="s">
        <v>403</v>
      </c>
      <c r="C625" s="244" t="s">
        <v>367</v>
      </c>
      <c r="D625" s="243" t="s">
        <v>437</v>
      </c>
    </row>
    <row r="626" spans="1:11">
      <c r="B626" s="138"/>
      <c r="C626" s="244"/>
      <c r="D626" s="243"/>
    </row>
    <row r="627" spans="1:11">
      <c r="A627" s="248" t="s">
        <v>385</v>
      </c>
      <c r="B627" s="248" t="s">
        <v>370</v>
      </c>
      <c r="C627" s="248" t="s">
        <v>371</v>
      </c>
      <c r="D627" s="248" t="s">
        <v>372</v>
      </c>
      <c r="E627" s="248" t="s">
        <v>386</v>
      </c>
      <c r="F627" s="248" t="s">
        <v>396</v>
      </c>
      <c r="G627" s="248" t="s">
        <v>14</v>
      </c>
      <c r="H627" s="248" t="s">
        <v>397</v>
      </c>
      <c r="I627" s="248" t="s">
        <v>398</v>
      </c>
      <c r="J627" s="248" t="s">
        <v>399</v>
      </c>
      <c r="K627" s="248" t="s">
        <v>431</v>
      </c>
    </row>
    <row r="628" spans="1:11">
      <c r="A628" s="13" t="s">
        <v>289</v>
      </c>
      <c r="B628" s="13">
        <v>266</v>
      </c>
      <c r="C628" s="13" t="s">
        <v>379</v>
      </c>
      <c r="D628" s="13" t="s">
        <v>380</v>
      </c>
      <c r="E628" s="240">
        <v>42941</v>
      </c>
      <c r="F628" s="240">
        <v>42964</v>
      </c>
      <c r="G628" s="13">
        <v>2266.9499999999998</v>
      </c>
      <c r="H628" s="13">
        <v>0</v>
      </c>
      <c r="I628" s="13">
        <v>1</v>
      </c>
      <c r="J628" s="12">
        <f t="shared" ref="J628:J640" si="34">G628*I628%</f>
        <v>22.669499999999999</v>
      </c>
      <c r="K628" s="13">
        <f t="shared" ref="K628:K640" si="35">F628-E628</f>
        <v>23</v>
      </c>
    </row>
    <row r="629" spans="1:11">
      <c r="A629" s="13" t="s">
        <v>289</v>
      </c>
      <c r="B629" s="13">
        <v>289</v>
      </c>
      <c r="C629" s="13" t="s">
        <v>379</v>
      </c>
      <c r="D629" s="13" t="s">
        <v>380</v>
      </c>
      <c r="E629" s="240">
        <v>42955</v>
      </c>
      <c r="F629" s="240">
        <v>42964</v>
      </c>
      <c r="G629" s="13">
        <v>21591.48</v>
      </c>
      <c r="H629" s="13">
        <v>0</v>
      </c>
      <c r="I629" s="13">
        <v>1</v>
      </c>
      <c r="J629" s="12">
        <f t="shared" si="34"/>
        <v>215.91480000000001</v>
      </c>
      <c r="K629" s="13">
        <f t="shared" si="35"/>
        <v>9</v>
      </c>
    </row>
    <row r="630" spans="1:11">
      <c r="A630" s="13" t="s">
        <v>289</v>
      </c>
      <c r="B630" s="13">
        <v>298</v>
      </c>
      <c r="C630" s="13" t="s">
        <v>379</v>
      </c>
      <c r="D630" s="13" t="s">
        <v>380</v>
      </c>
      <c r="E630" s="240">
        <v>42963</v>
      </c>
      <c r="F630" s="240">
        <v>42978</v>
      </c>
      <c r="G630" s="13">
        <v>3389.83</v>
      </c>
      <c r="H630" s="13">
        <v>0</v>
      </c>
      <c r="I630" s="13">
        <v>1</v>
      </c>
      <c r="J630" s="12">
        <f t="shared" si="34"/>
        <v>33.898299999999999</v>
      </c>
      <c r="K630" s="13">
        <f t="shared" si="35"/>
        <v>15</v>
      </c>
    </row>
    <row r="631" spans="1:11">
      <c r="A631" s="13" t="s">
        <v>289</v>
      </c>
      <c r="B631" s="13">
        <v>106</v>
      </c>
      <c r="C631" s="13" t="s">
        <v>401</v>
      </c>
      <c r="D631" s="13" t="s">
        <v>380</v>
      </c>
      <c r="E631" s="240">
        <v>42859</v>
      </c>
      <c r="F631" s="240">
        <v>42971</v>
      </c>
      <c r="G631" s="13">
        <v>4046.27</v>
      </c>
      <c r="H631" s="13">
        <v>0</v>
      </c>
      <c r="I631" s="13">
        <v>1</v>
      </c>
      <c r="J631" s="12">
        <f t="shared" si="34"/>
        <v>40.462699999999998</v>
      </c>
      <c r="K631" s="13">
        <f t="shared" si="35"/>
        <v>112</v>
      </c>
    </row>
    <row r="632" spans="1:11">
      <c r="A632" s="13" t="s">
        <v>289</v>
      </c>
      <c r="B632" s="13">
        <v>242</v>
      </c>
      <c r="C632" s="13" t="s">
        <v>401</v>
      </c>
      <c r="D632" s="13" t="s">
        <v>380</v>
      </c>
      <c r="E632" s="240">
        <v>42924</v>
      </c>
      <c r="F632" s="240">
        <v>42955</v>
      </c>
      <c r="G632" s="13">
        <v>4785.59</v>
      </c>
      <c r="H632" s="13">
        <v>0</v>
      </c>
      <c r="I632" s="13">
        <v>1</v>
      </c>
      <c r="J632" s="12">
        <f t="shared" si="34"/>
        <v>47.855900000000005</v>
      </c>
      <c r="K632" s="13">
        <f t="shared" si="35"/>
        <v>31</v>
      </c>
    </row>
    <row r="633" spans="1:11">
      <c r="A633" s="13" t="s">
        <v>289</v>
      </c>
      <c r="B633" s="13">
        <v>252</v>
      </c>
      <c r="C633" s="13" t="s">
        <v>401</v>
      </c>
      <c r="D633" s="13" t="s">
        <v>380</v>
      </c>
      <c r="E633" s="240">
        <v>42933</v>
      </c>
      <c r="F633" s="240">
        <v>42955</v>
      </c>
      <c r="G633" s="13">
        <v>321.94</v>
      </c>
      <c r="H633" s="13">
        <v>0</v>
      </c>
      <c r="I633" s="13">
        <v>1</v>
      </c>
      <c r="J633" s="12">
        <f t="shared" si="34"/>
        <v>3.2194000000000003</v>
      </c>
      <c r="K633" s="13">
        <f t="shared" si="35"/>
        <v>22</v>
      </c>
    </row>
    <row r="634" spans="1:11">
      <c r="A634" s="13" t="s">
        <v>289</v>
      </c>
      <c r="B634" s="13">
        <v>258</v>
      </c>
      <c r="C634" s="13" t="s">
        <v>401</v>
      </c>
      <c r="D634" s="13" t="s">
        <v>380</v>
      </c>
      <c r="E634" s="240">
        <v>42937</v>
      </c>
      <c r="F634" s="240">
        <v>42964</v>
      </c>
      <c r="G634" s="13">
        <v>3813.56</v>
      </c>
      <c r="H634" s="13">
        <v>0</v>
      </c>
      <c r="I634" s="13">
        <v>1</v>
      </c>
      <c r="J634" s="12">
        <f t="shared" si="34"/>
        <v>38.135600000000004</v>
      </c>
      <c r="K634" s="13">
        <f t="shared" si="35"/>
        <v>27</v>
      </c>
    </row>
    <row r="635" spans="1:11">
      <c r="A635" s="13" t="s">
        <v>289</v>
      </c>
      <c r="B635" s="13">
        <v>263</v>
      </c>
      <c r="C635" s="13" t="s">
        <v>401</v>
      </c>
      <c r="D635" s="13" t="s">
        <v>380</v>
      </c>
      <c r="E635" s="240">
        <v>42941</v>
      </c>
      <c r="F635" s="240">
        <v>42964</v>
      </c>
      <c r="G635" s="13">
        <v>1690.17</v>
      </c>
      <c r="H635" s="13">
        <v>0</v>
      </c>
      <c r="I635" s="13">
        <v>1</v>
      </c>
      <c r="J635" s="12">
        <f t="shared" si="34"/>
        <v>16.901700000000002</v>
      </c>
      <c r="K635" s="13">
        <f t="shared" si="35"/>
        <v>23</v>
      </c>
    </row>
    <row r="636" spans="1:11">
      <c r="A636" s="13" t="s">
        <v>289</v>
      </c>
      <c r="B636" s="13">
        <v>270</v>
      </c>
      <c r="C636" s="13" t="s">
        <v>401</v>
      </c>
      <c r="D636" s="13" t="s">
        <v>380</v>
      </c>
      <c r="E636" s="240">
        <v>42943</v>
      </c>
      <c r="F636" s="240">
        <v>42964</v>
      </c>
      <c r="G636" s="13">
        <v>4545.76</v>
      </c>
      <c r="H636" s="13">
        <v>0</v>
      </c>
      <c r="I636" s="13">
        <v>1</v>
      </c>
      <c r="J636" s="12">
        <f t="shared" si="34"/>
        <v>45.457600000000006</v>
      </c>
      <c r="K636" s="13">
        <f t="shared" si="35"/>
        <v>21</v>
      </c>
    </row>
    <row r="637" spans="1:11">
      <c r="A637" s="13" t="s">
        <v>289</v>
      </c>
      <c r="B637" s="13">
        <v>279</v>
      </c>
      <c r="C637" s="13" t="s">
        <v>401</v>
      </c>
      <c r="D637" s="13" t="s">
        <v>380</v>
      </c>
      <c r="E637" s="240">
        <v>42950</v>
      </c>
      <c r="F637" s="240">
        <v>42969</v>
      </c>
      <c r="G637" s="13">
        <v>2118.64</v>
      </c>
      <c r="H637" s="13">
        <v>0</v>
      </c>
      <c r="I637" s="13">
        <v>1</v>
      </c>
      <c r="J637" s="12">
        <f t="shared" si="34"/>
        <v>21.186399999999999</v>
      </c>
      <c r="K637" s="13">
        <f t="shared" si="35"/>
        <v>19</v>
      </c>
    </row>
    <row r="638" spans="1:11">
      <c r="A638" s="13" t="s">
        <v>289</v>
      </c>
      <c r="B638" s="13">
        <v>295</v>
      </c>
      <c r="C638" s="13" t="s">
        <v>401</v>
      </c>
      <c r="D638" s="13" t="s">
        <v>380</v>
      </c>
      <c r="E638" s="240">
        <v>42963</v>
      </c>
      <c r="F638" s="240">
        <v>42978</v>
      </c>
      <c r="G638" s="13">
        <v>338.98</v>
      </c>
      <c r="H638" s="13">
        <v>0</v>
      </c>
      <c r="I638" s="13">
        <v>1</v>
      </c>
      <c r="J638" s="12">
        <f t="shared" si="34"/>
        <v>3.3898000000000001</v>
      </c>
      <c r="K638" s="13">
        <f t="shared" si="35"/>
        <v>15</v>
      </c>
    </row>
    <row r="639" spans="1:11">
      <c r="A639" s="13" t="s">
        <v>289</v>
      </c>
      <c r="B639" s="13">
        <v>261</v>
      </c>
      <c r="C639" s="13" t="s">
        <v>381</v>
      </c>
      <c r="D639" s="13" t="s">
        <v>382</v>
      </c>
      <c r="E639" s="240">
        <v>42940</v>
      </c>
      <c r="F639" s="240">
        <v>42964</v>
      </c>
      <c r="G639" s="13">
        <v>9861.69</v>
      </c>
      <c r="H639" s="13">
        <v>0</v>
      </c>
      <c r="I639" s="13">
        <v>1</v>
      </c>
      <c r="J639" s="12">
        <f t="shared" si="34"/>
        <v>98.616900000000001</v>
      </c>
      <c r="K639" s="13">
        <f t="shared" si="35"/>
        <v>24</v>
      </c>
    </row>
    <row r="640" spans="1:11">
      <c r="A640" s="13" t="s">
        <v>427</v>
      </c>
      <c r="B640" s="13">
        <v>18865</v>
      </c>
      <c r="C640" s="13" t="s">
        <v>417</v>
      </c>
      <c r="D640" s="13" t="s">
        <v>380</v>
      </c>
      <c r="E640" s="240">
        <v>42957</v>
      </c>
      <c r="F640" s="240">
        <v>42957</v>
      </c>
      <c r="G640" s="13">
        <v>10736.73</v>
      </c>
      <c r="H640" s="13">
        <v>0</v>
      </c>
      <c r="I640" s="13">
        <v>1</v>
      </c>
      <c r="J640" s="12">
        <f t="shared" si="34"/>
        <v>107.3673</v>
      </c>
      <c r="K640" s="13">
        <f t="shared" si="35"/>
        <v>0</v>
      </c>
    </row>
    <row r="641" spans="1:11">
      <c r="F641" s="258" t="s">
        <v>14</v>
      </c>
      <c r="G641" s="137">
        <f>SUM(G628:G640)</f>
        <v>69507.590000000011</v>
      </c>
      <c r="I641" s="258" t="s">
        <v>383</v>
      </c>
      <c r="J641" s="137">
        <f>SUM(J628:J640)</f>
        <v>695.07590000000005</v>
      </c>
    </row>
    <row r="644" spans="1:11">
      <c r="B644" s="138" t="s">
        <v>403</v>
      </c>
      <c r="C644" s="244" t="s">
        <v>367</v>
      </c>
      <c r="D644" s="243" t="s">
        <v>437</v>
      </c>
    </row>
    <row r="645" spans="1:11">
      <c r="B645" s="138"/>
      <c r="C645" s="244"/>
      <c r="D645" s="243"/>
    </row>
    <row r="646" spans="1:11">
      <c r="A646" s="248" t="s">
        <v>385</v>
      </c>
      <c r="B646" s="248" t="s">
        <v>370</v>
      </c>
      <c r="C646" s="248" t="s">
        <v>371</v>
      </c>
      <c r="D646" s="248" t="s">
        <v>372</v>
      </c>
      <c r="E646" s="248" t="s">
        <v>386</v>
      </c>
      <c r="F646" s="248" t="s">
        <v>396</v>
      </c>
      <c r="G646" s="248" t="s">
        <v>14</v>
      </c>
      <c r="H646" s="248" t="s">
        <v>397</v>
      </c>
      <c r="I646" s="248" t="s">
        <v>398</v>
      </c>
      <c r="J646" s="248" t="s">
        <v>399</v>
      </c>
      <c r="K646" s="248" t="s">
        <v>431</v>
      </c>
    </row>
    <row r="647" spans="1:11">
      <c r="A647" s="13" t="s">
        <v>289</v>
      </c>
      <c r="B647" s="13">
        <v>266</v>
      </c>
      <c r="C647" s="13" t="s">
        <v>379</v>
      </c>
      <c r="D647" s="13" t="s">
        <v>380</v>
      </c>
      <c r="E647" s="240">
        <v>42941</v>
      </c>
      <c r="F647" s="240">
        <v>42964</v>
      </c>
      <c r="G647" s="13">
        <v>2266.9499999999998</v>
      </c>
      <c r="H647" s="13">
        <v>0</v>
      </c>
      <c r="I647" s="13">
        <v>1</v>
      </c>
      <c r="J647" s="12">
        <f>G647*I647%</f>
        <v>22.669499999999999</v>
      </c>
      <c r="K647" s="13">
        <f>F647-E647</f>
        <v>23</v>
      </c>
    </row>
    <row r="648" spans="1:11">
      <c r="A648" s="13" t="s">
        <v>289</v>
      </c>
      <c r="B648" s="13">
        <v>289</v>
      </c>
      <c r="C648" s="13" t="s">
        <v>379</v>
      </c>
      <c r="D648" s="13" t="s">
        <v>380</v>
      </c>
      <c r="E648" s="240">
        <v>42955</v>
      </c>
      <c r="F648" s="240">
        <v>42964</v>
      </c>
      <c r="G648" s="13">
        <v>21591.48</v>
      </c>
      <c r="H648" s="13">
        <v>0</v>
      </c>
      <c r="I648" s="13">
        <v>1</v>
      </c>
      <c r="J648" s="12">
        <f>G648*I648%</f>
        <v>215.91480000000001</v>
      </c>
      <c r="K648" s="13">
        <f>F648-E648</f>
        <v>9</v>
      </c>
    </row>
    <row r="649" spans="1:11">
      <c r="A649" s="13" t="s">
        <v>289</v>
      </c>
      <c r="B649" s="13">
        <v>298</v>
      </c>
      <c r="C649" s="13" t="s">
        <v>379</v>
      </c>
      <c r="D649" s="13" t="s">
        <v>380</v>
      </c>
      <c r="E649" s="240">
        <v>42963</v>
      </c>
      <c r="F649" s="240">
        <v>42978</v>
      </c>
      <c r="G649" s="13">
        <v>3389.83</v>
      </c>
      <c r="H649" s="13">
        <v>0</v>
      </c>
      <c r="I649" s="13">
        <v>1</v>
      </c>
      <c r="J649" s="12">
        <f>G649*I649%</f>
        <v>33.898299999999999</v>
      </c>
      <c r="K649" s="13">
        <f>F649-E649</f>
        <v>15</v>
      </c>
    </row>
    <row r="650" spans="1:11">
      <c r="A650" s="13" t="s">
        <v>427</v>
      </c>
      <c r="B650" s="13">
        <v>18865</v>
      </c>
      <c r="C650" s="13" t="s">
        <v>417</v>
      </c>
      <c r="D650" s="13" t="s">
        <v>380</v>
      </c>
      <c r="E650" s="240">
        <v>42957</v>
      </c>
      <c r="F650" s="240">
        <v>42957</v>
      </c>
      <c r="G650" s="13">
        <v>10736.73</v>
      </c>
      <c r="H650" s="13">
        <v>0</v>
      </c>
      <c r="I650" s="13">
        <v>1</v>
      </c>
      <c r="J650" s="12">
        <f>G650*I650%</f>
        <v>107.3673</v>
      </c>
      <c r="K650" s="13">
        <f>F650-E650</f>
        <v>0</v>
      </c>
    </row>
    <row r="651" spans="1:11">
      <c r="F651" s="258" t="s">
        <v>14</v>
      </c>
      <c r="G651" s="137">
        <f>SUM(G647:G650)</f>
        <v>37984.990000000005</v>
      </c>
      <c r="I651" s="258" t="s">
        <v>383</v>
      </c>
      <c r="J651" s="137">
        <f>SUM(J647:J650)</f>
        <v>379.84989999999999</v>
      </c>
    </row>
    <row r="655" spans="1:11">
      <c r="B655" s="138" t="s">
        <v>403</v>
      </c>
      <c r="C655" s="244" t="s">
        <v>367</v>
      </c>
      <c r="D655" s="243" t="s">
        <v>438</v>
      </c>
    </row>
    <row r="656" spans="1:11">
      <c r="B656" s="138"/>
      <c r="C656" s="244"/>
      <c r="D656" s="243"/>
    </row>
    <row r="657" spans="1:11">
      <c r="A657" s="248" t="s">
        <v>385</v>
      </c>
      <c r="B657" s="248" t="s">
        <v>370</v>
      </c>
      <c r="C657" s="248" t="s">
        <v>371</v>
      </c>
      <c r="D657" s="248" t="s">
        <v>372</v>
      </c>
      <c r="E657" s="248" t="s">
        <v>386</v>
      </c>
      <c r="F657" s="248" t="s">
        <v>396</v>
      </c>
      <c r="G657" s="248" t="s">
        <v>14</v>
      </c>
      <c r="H657" s="248" t="s">
        <v>397</v>
      </c>
      <c r="I657" s="248" t="s">
        <v>398</v>
      </c>
      <c r="J657" s="248" t="s">
        <v>399</v>
      </c>
      <c r="K657" s="248" t="s">
        <v>431</v>
      </c>
    </row>
    <row r="658" spans="1:11">
      <c r="A658" s="13" t="s">
        <v>427</v>
      </c>
      <c r="B658" s="13">
        <v>5206</v>
      </c>
      <c r="C658" s="13" t="s">
        <v>400</v>
      </c>
      <c r="D658" s="13" t="s">
        <v>380</v>
      </c>
      <c r="E658" s="240">
        <v>42807</v>
      </c>
      <c r="F658" s="240">
        <v>43000</v>
      </c>
      <c r="G658" s="13">
        <v>1964.84</v>
      </c>
      <c r="H658" s="13">
        <v>0</v>
      </c>
      <c r="I658" s="13">
        <v>1</v>
      </c>
      <c r="J658" s="12">
        <f t="shared" ref="J658:J667" si="36">G658*I658%</f>
        <v>19.648399999999999</v>
      </c>
      <c r="K658" s="13">
        <f t="shared" ref="K658:K667" si="37">F658-E658</f>
        <v>193</v>
      </c>
    </row>
    <row r="659" spans="1:11">
      <c r="A659" s="13" t="s">
        <v>289</v>
      </c>
      <c r="B659" s="253">
        <v>286</v>
      </c>
      <c r="C659" s="253" t="s">
        <v>379</v>
      </c>
      <c r="D659" s="253" t="s">
        <v>380</v>
      </c>
      <c r="E659" s="254">
        <v>42955</v>
      </c>
      <c r="F659" s="254">
        <v>42987</v>
      </c>
      <c r="G659" s="253">
        <v>6092.37</v>
      </c>
      <c r="H659" s="253">
        <v>0</v>
      </c>
      <c r="I659" s="253">
        <v>1</v>
      </c>
      <c r="J659" s="255">
        <f t="shared" si="36"/>
        <v>60.923699999999997</v>
      </c>
      <c r="K659" s="253">
        <f t="shared" si="37"/>
        <v>32</v>
      </c>
    </row>
    <row r="660" spans="1:11">
      <c r="A660" s="13" t="s">
        <v>289</v>
      </c>
      <c r="B660" s="253">
        <v>288</v>
      </c>
      <c r="C660" s="253" t="s">
        <v>379</v>
      </c>
      <c r="D660" s="253" t="s">
        <v>380</v>
      </c>
      <c r="E660" s="254">
        <v>42955</v>
      </c>
      <c r="F660" s="254">
        <v>42987</v>
      </c>
      <c r="G660" s="253">
        <f>7016.04+300</f>
        <v>7316.04</v>
      </c>
      <c r="H660" s="253">
        <v>0</v>
      </c>
      <c r="I660" s="253">
        <v>1</v>
      </c>
      <c r="J660" s="255">
        <f t="shared" si="36"/>
        <v>73.160399999999996</v>
      </c>
      <c r="K660" s="253">
        <f t="shared" si="37"/>
        <v>32</v>
      </c>
    </row>
    <row r="661" spans="1:11">
      <c r="A661" s="13" t="s">
        <v>289</v>
      </c>
      <c r="B661" s="13">
        <v>310</v>
      </c>
      <c r="C661" s="13" t="s">
        <v>401</v>
      </c>
      <c r="D661" s="13" t="s">
        <v>380</v>
      </c>
      <c r="E661" s="240">
        <v>42965</v>
      </c>
      <c r="F661" s="240">
        <v>42990</v>
      </c>
      <c r="G661" s="13">
        <v>73.09</v>
      </c>
      <c r="H661" s="13">
        <v>0</v>
      </c>
      <c r="I661" s="13">
        <v>1</v>
      </c>
      <c r="J661" s="12">
        <f t="shared" si="36"/>
        <v>0.73089999999999999</v>
      </c>
      <c r="K661" s="13">
        <f t="shared" si="37"/>
        <v>25</v>
      </c>
    </row>
    <row r="662" spans="1:11">
      <c r="A662" s="13" t="s">
        <v>289</v>
      </c>
      <c r="B662" s="13">
        <v>309</v>
      </c>
      <c r="C662" s="13" t="s">
        <v>401</v>
      </c>
      <c r="D662" s="13" t="s">
        <v>380</v>
      </c>
      <c r="E662" s="240">
        <v>42965</v>
      </c>
      <c r="F662" s="240">
        <v>42990</v>
      </c>
      <c r="G662" s="13">
        <v>116.95</v>
      </c>
      <c r="H662" s="13">
        <v>0</v>
      </c>
      <c r="I662" s="13">
        <v>1</v>
      </c>
      <c r="J662" s="12">
        <f t="shared" si="36"/>
        <v>1.1695</v>
      </c>
      <c r="K662" s="13">
        <f t="shared" si="37"/>
        <v>25</v>
      </c>
    </row>
    <row r="663" spans="1:11">
      <c r="A663" s="13" t="s">
        <v>289</v>
      </c>
      <c r="B663" s="13">
        <v>339</v>
      </c>
      <c r="C663" s="13" t="s">
        <v>401</v>
      </c>
      <c r="D663" s="13" t="s">
        <v>380</v>
      </c>
      <c r="E663" s="240">
        <v>42980</v>
      </c>
      <c r="F663" s="240">
        <v>43004</v>
      </c>
      <c r="G663" s="13">
        <v>8640.6299999999992</v>
      </c>
      <c r="H663" s="13">
        <v>0</v>
      </c>
      <c r="I663" s="13">
        <v>1</v>
      </c>
      <c r="J663" s="12">
        <f t="shared" si="36"/>
        <v>86.406299999999987</v>
      </c>
      <c r="K663" s="13">
        <f t="shared" si="37"/>
        <v>24</v>
      </c>
    </row>
    <row r="664" spans="1:11">
      <c r="A664" s="13" t="s">
        <v>427</v>
      </c>
      <c r="B664" s="13">
        <v>21140</v>
      </c>
      <c r="C664" s="13" t="s">
        <v>417</v>
      </c>
      <c r="D664" s="13" t="s">
        <v>380</v>
      </c>
      <c r="E664" s="240">
        <v>42985</v>
      </c>
      <c r="F664" s="240">
        <v>42985</v>
      </c>
      <c r="G664" s="13">
        <v>10482.48</v>
      </c>
      <c r="H664" s="13">
        <v>0</v>
      </c>
      <c r="I664" s="13">
        <v>1</v>
      </c>
      <c r="J664" s="12">
        <f t="shared" si="36"/>
        <v>104.8248</v>
      </c>
      <c r="K664" s="13">
        <f t="shared" si="37"/>
        <v>0</v>
      </c>
    </row>
    <row r="665" spans="1:11">
      <c r="A665" s="13" t="s">
        <v>427</v>
      </c>
      <c r="B665" s="13">
        <v>22493</v>
      </c>
      <c r="C665" s="13" t="s">
        <v>400</v>
      </c>
      <c r="D665" s="13" t="s">
        <v>380</v>
      </c>
      <c r="E665" s="240">
        <v>43004</v>
      </c>
      <c r="F665" s="240">
        <v>43004</v>
      </c>
      <c r="G665" s="13">
        <v>3390</v>
      </c>
      <c r="H665" s="13">
        <v>0</v>
      </c>
      <c r="I665" s="13">
        <v>1</v>
      </c>
      <c r="J665" s="12">
        <f t="shared" si="36"/>
        <v>33.9</v>
      </c>
      <c r="K665" s="13">
        <f t="shared" si="37"/>
        <v>0</v>
      </c>
    </row>
    <row r="666" spans="1:11">
      <c r="A666" s="13" t="s">
        <v>427</v>
      </c>
      <c r="B666" s="13">
        <v>22492</v>
      </c>
      <c r="C666" s="13" t="s">
        <v>417</v>
      </c>
      <c r="D666" s="13" t="s">
        <v>380</v>
      </c>
      <c r="E666" s="240">
        <v>43004</v>
      </c>
      <c r="F666" s="240">
        <v>43004</v>
      </c>
      <c r="G666" s="13">
        <v>4576.5</v>
      </c>
      <c r="H666" s="13">
        <v>0</v>
      </c>
      <c r="I666" s="13">
        <v>1</v>
      </c>
      <c r="J666" s="12">
        <f t="shared" si="36"/>
        <v>45.765000000000001</v>
      </c>
      <c r="K666" s="13">
        <f t="shared" si="37"/>
        <v>0</v>
      </c>
    </row>
    <row r="667" spans="1:11">
      <c r="A667" s="13" t="s">
        <v>427</v>
      </c>
      <c r="B667" s="13">
        <v>22193</v>
      </c>
      <c r="C667" s="13" t="s">
        <v>400</v>
      </c>
      <c r="D667" s="13" t="s">
        <v>380</v>
      </c>
      <c r="E667" s="240">
        <v>43000</v>
      </c>
      <c r="F667" s="240">
        <v>43004</v>
      </c>
      <c r="G667" s="13">
        <v>1695</v>
      </c>
      <c r="H667" s="13">
        <v>0</v>
      </c>
      <c r="I667" s="13">
        <v>1</v>
      </c>
      <c r="J667" s="12">
        <f t="shared" si="36"/>
        <v>16.95</v>
      </c>
      <c r="K667" s="13">
        <f t="shared" si="37"/>
        <v>4</v>
      </c>
    </row>
    <row r="668" spans="1:11">
      <c r="F668" s="258" t="s">
        <v>14</v>
      </c>
      <c r="G668" s="137">
        <f>SUM(G658:G667)</f>
        <v>44347.899999999994</v>
      </c>
      <c r="I668" s="258" t="s">
        <v>383</v>
      </c>
      <c r="J668" s="137">
        <f>SUM(J658:J667)</f>
        <v>443.47899999999993</v>
      </c>
    </row>
    <row r="671" spans="1:11">
      <c r="B671" s="138" t="s">
        <v>403</v>
      </c>
      <c r="C671" s="244" t="s">
        <v>367</v>
      </c>
      <c r="D671" s="243" t="s">
        <v>438</v>
      </c>
    </row>
    <row r="672" spans="1:11">
      <c r="B672" s="138"/>
      <c r="C672" s="244"/>
      <c r="D672" s="243"/>
    </row>
    <row r="673" spans="2:11">
      <c r="B673" s="248" t="s">
        <v>370</v>
      </c>
      <c r="C673" s="248" t="s">
        <v>371</v>
      </c>
      <c r="D673" s="248" t="s">
        <v>372</v>
      </c>
      <c r="E673" s="248" t="s">
        <v>386</v>
      </c>
      <c r="F673" s="248" t="s">
        <v>396</v>
      </c>
      <c r="G673" s="248" t="s">
        <v>14</v>
      </c>
      <c r="H673" s="248" t="s">
        <v>397</v>
      </c>
      <c r="I673" s="248" t="s">
        <v>398</v>
      </c>
      <c r="J673" s="248" t="s">
        <v>399</v>
      </c>
      <c r="K673" s="248" t="s">
        <v>431</v>
      </c>
    </row>
    <row r="674" spans="2:11">
      <c r="B674" s="13">
        <v>286</v>
      </c>
      <c r="C674" s="13" t="s">
        <v>379</v>
      </c>
      <c r="D674" s="13" t="s">
        <v>380</v>
      </c>
      <c r="E674" s="240">
        <v>42955</v>
      </c>
      <c r="F674" s="240">
        <v>42987</v>
      </c>
      <c r="G674" s="13">
        <v>6092.37</v>
      </c>
      <c r="H674" s="13">
        <v>0</v>
      </c>
      <c r="I674" s="13">
        <v>1</v>
      </c>
      <c r="J674" s="12">
        <f t="shared" ref="J674:J679" si="38">G674*I674%</f>
        <v>60.923699999999997</v>
      </c>
      <c r="K674" s="13">
        <f t="shared" ref="K674:K679" si="39">F674-E674</f>
        <v>32</v>
      </c>
    </row>
    <row r="675" spans="2:11">
      <c r="B675" s="13">
        <v>288</v>
      </c>
      <c r="C675" s="13" t="s">
        <v>379</v>
      </c>
      <c r="D675" s="13" t="s">
        <v>380</v>
      </c>
      <c r="E675" s="240">
        <v>42955</v>
      </c>
      <c r="F675" s="240">
        <v>42987</v>
      </c>
      <c r="G675" s="13">
        <f>7016.04+300</f>
        <v>7316.04</v>
      </c>
      <c r="H675" s="13">
        <v>0</v>
      </c>
      <c r="I675" s="13">
        <v>1</v>
      </c>
      <c r="J675" s="12">
        <f t="shared" si="38"/>
        <v>73.160399999999996</v>
      </c>
      <c r="K675" s="13">
        <f t="shared" si="39"/>
        <v>32</v>
      </c>
    </row>
    <row r="676" spans="2:11">
      <c r="B676" s="13">
        <v>21140</v>
      </c>
      <c r="C676" s="13" t="s">
        <v>417</v>
      </c>
      <c r="D676" s="13" t="s">
        <v>380</v>
      </c>
      <c r="E676" s="240">
        <v>42985</v>
      </c>
      <c r="F676" s="240">
        <v>42985</v>
      </c>
      <c r="G676" s="13">
        <v>10482.48</v>
      </c>
      <c r="H676" s="13">
        <v>0</v>
      </c>
      <c r="I676" s="13">
        <v>1</v>
      </c>
      <c r="J676" s="12">
        <f t="shared" si="38"/>
        <v>104.8248</v>
      </c>
      <c r="K676" s="13">
        <f t="shared" si="39"/>
        <v>0</v>
      </c>
    </row>
    <row r="677" spans="2:11">
      <c r="B677" s="13">
        <v>22493</v>
      </c>
      <c r="C677" s="13" t="s">
        <v>400</v>
      </c>
      <c r="D677" s="13" t="s">
        <v>380</v>
      </c>
      <c r="E677" s="240">
        <v>43004</v>
      </c>
      <c r="F677" s="240">
        <v>43004</v>
      </c>
      <c r="G677" s="13">
        <v>3390</v>
      </c>
      <c r="H677" s="13">
        <v>0</v>
      </c>
      <c r="I677" s="13">
        <v>1</v>
      </c>
      <c r="J677" s="12">
        <f t="shared" si="38"/>
        <v>33.9</v>
      </c>
      <c r="K677" s="13">
        <f t="shared" si="39"/>
        <v>0</v>
      </c>
    </row>
    <row r="678" spans="2:11">
      <c r="B678" s="13">
        <v>22492</v>
      </c>
      <c r="C678" s="13" t="s">
        <v>417</v>
      </c>
      <c r="D678" s="13" t="s">
        <v>380</v>
      </c>
      <c r="E678" s="240">
        <v>43004</v>
      </c>
      <c r="F678" s="240">
        <v>43004</v>
      </c>
      <c r="G678" s="13">
        <v>4576.5</v>
      </c>
      <c r="H678" s="13">
        <v>0</v>
      </c>
      <c r="I678" s="13">
        <v>1</v>
      </c>
      <c r="J678" s="12">
        <f t="shared" si="38"/>
        <v>45.765000000000001</v>
      </c>
      <c r="K678" s="13">
        <f t="shared" si="39"/>
        <v>0</v>
      </c>
    </row>
    <row r="679" spans="2:11">
      <c r="B679" s="13">
        <v>22193</v>
      </c>
      <c r="C679" s="13" t="s">
        <v>400</v>
      </c>
      <c r="D679" s="13" t="s">
        <v>380</v>
      </c>
      <c r="E679" s="240">
        <v>43000</v>
      </c>
      <c r="F679" s="240">
        <v>43004</v>
      </c>
      <c r="G679" s="13">
        <v>1695</v>
      </c>
      <c r="H679" s="13">
        <v>0</v>
      </c>
      <c r="I679" s="13">
        <v>1</v>
      </c>
      <c r="J679" s="12">
        <f t="shared" si="38"/>
        <v>16.95</v>
      </c>
      <c r="K679" s="13">
        <f t="shared" si="39"/>
        <v>4</v>
      </c>
    </row>
    <row r="680" spans="2:11">
      <c r="F680" s="258" t="s">
        <v>14</v>
      </c>
      <c r="G680" s="137">
        <f>SUM(G674:G679)</f>
        <v>33552.39</v>
      </c>
      <c r="I680" s="258" t="s">
        <v>383</v>
      </c>
      <c r="J680" s="137">
        <f>SUM(J674:J679)</f>
        <v>335.52389999999991</v>
      </c>
    </row>
    <row r="684" spans="2:11">
      <c r="B684" s="138" t="s">
        <v>403</v>
      </c>
      <c r="C684" s="244" t="s">
        <v>367</v>
      </c>
      <c r="D684" s="243" t="s">
        <v>439</v>
      </c>
    </row>
    <row r="685" spans="2:11">
      <c r="B685" s="138"/>
      <c r="C685" s="244"/>
      <c r="D685" s="243"/>
    </row>
    <row r="686" spans="2:11">
      <c r="B686" s="248" t="s">
        <v>370</v>
      </c>
      <c r="C686" s="248" t="s">
        <v>371</v>
      </c>
      <c r="D686" s="248" t="s">
        <v>372</v>
      </c>
      <c r="E686" s="248" t="s">
        <v>386</v>
      </c>
      <c r="F686" s="248" t="s">
        <v>396</v>
      </c>
      <c r="G686" s="248" t="s">
        <v>14</v>
      </c>
      <c r="H686" s="248" t="s">
        <v>397</v>
      </c>
      <c r="I686" s="248" t="s">
        <v>398</v>
      </c>
      <c r="J686" s="248" t="s">
        <v>399</v>
      </c>
      <c r="K686" s="248" t="s">
        <v>431</v>
      </c>
    </row>
    <row r="687" spans="2:11">
      <c r="B687" s="13">
        <v>2</v>
      </c>
      <c r="C687" s="13" t="s">
        <v>379</v>
      </c>
      <c r="D687" s="13" t="s">
        <v>380</v>
      </c>
      <c r="E687" s="240">
        <v>42986</v>
      </c>
      <c r="F687" s="240">
        <v>43027</v>
      </c>
      <c r="G687" s="13">
        <v>705.07</v>
      </c>
      <c r="H687" s="13">
        <v>0</v>
      </c>
      <c r="I687" s="13">
        <v>1</v>
      </c>
      <c r="J687" s="12">
        <f t="shared" ref="J687:J701" si="40">G687*I687%</f>
        <v>7.0507000000000009</v>
      </c>
      <c r="K687" s="13">
        <f t="shared" ref="K687:K701" si="41">F687-E687</f>
        <v>41</v>
      </c>
    </row>
    <row r="688" spans="2:11">
      <c r="B688" s="13">
        <v>387</v>
      </c>
      <c r="C688" s="13" t="s">
        <v>379</v>
      </c>
      <c r="D688" s="13" t="s">
        <v>380</v>
      </c>
      <c r="E688" s="240">
        <v>42997</v>
      </c>
      <c r="F688" s="240">
        <v>43022</v>
      </c>
      <c r="G688" s="13">
        <v>27071.39</v>
      </c>
      <c r="H688" s="13">
        <v>0</v>
      </c>
      <c r="I688" s="13">
        <v>1</v>
      </c>
      <c r="J688" s="12">
        <f t="shared" si="40"/>
        <v>270.71390000000002</v>
      </c>
      <c r="K688" s="13">
        <f t="shared" si="41"/>
        <v>25</v>
      </c>
    </row>
    <row r="689" spans="2:11">
      <c r="B689" s="13">
        <v>386</v>
      </c>
      <c r="C689" s="13" t="s">
        <v>379</v>
      </c>
      <c r="D689" s="13" t="s">
        <v>380</v>
      </c>
      <c r="E689" s="240">
        <v>42997</v>
      </c>
      <c r="F689" s="240">
        <v>43022</v>
      </c>
      <c r="G689" s="13">
        <v>25222.03</v>
      </c>
      <c r="H689" s="13">
        <v>0</v>
      </c>
      <c r="I689" s="13">
        <v>1</v>
      </c>
      <c r="J689" s="12">
        <f t="shared" si="40"/>
        <v>252.22029999999998</v>
      </c>
      <c r="K689" s="13">
        <f t="shared" si="41"/>
        <v>25</v>
      </c>
    </row>
    <row r="690" spans="2:11">
      <c r="B690" s="13">
        <v>395</v>
      </c>
      <c r="C690" s="13" t="s">
        <v>379</v>
      </c>
      <c r="D690" s="13" t="s">
        <v>380</v>
      </c>
      <c r="E690" s="240">
        <v>42999</v>
      </c>
      <c r="F690" s="240">
        <v>43022</v>
      </c>
      <c r="G690" s="13">
        <v>25841.52</v>
      </c>
      <c r="H690" s="13">
        <v>0</v>
      </c>
      <c r="I690" s="13">
        <v>1</v>
      </c>
      <c r="J690" s="12">
        <f t="shared" si="40"/>
        <v>258.41520000000003</v>
      </c>
      <c r="K690" s="13">
        <f t="shared" si="41"/>
        <v>23</v>
      </c>
    </row>
    <row r="691" spans="2:11">
      <c r="B691" s="13">
        <v>389</v>
      </c>
      <c r="C691" s="13" t="s">
        <v>379</v>
      </c>
      <c r="D691" s="13" t="s">
        <v>380</v>
      </c>
      <c r="E691" s="240">
        <v>42997</v>
      </c>
      <c r="F691" s="240">
        <v>43022</v>
      </c>
      <c r="G691" s="13">
        <v>22195.759999999998</v>
      </c>
      <c r="H691" s="13">
        <v>0</v>
      </c>
      <c r="I691" s="13">
        <v>1</v>
      </c>
      <c r="J691" s="12">
        <f t="shared" si="40"/>
        <v>221.95759999999999</v>
      </c>
      <c r="K691" s="13">
        <f t="shared" si="41"/>
        <v>25</v>
      </c>
    </row>
    <row r="692" spans="2:11">
      <c r="B692" s="13">
        <v>388</v>
      </c>
      <c r="C692" s="13" t="s">
        <v>379</v>
      </c>
      <c r="D692" s="13" t="s">
        <v>380</v>
      </c>
      <c r="E692" s="240">
        <v>42997</v>
      </c>
      <c r="F692" s="240">
        <v>43022</v>
      </c>
      <c r="G692" s="13">
        <v>16503.27</v>
      </c>
      <c r="H692" s="13">
        <v>0</v>
      </c>
      <c r="I692" s="13">
        <v>1</v>
      </c>
      <c r="J692" s="12">
        <f t="shared" si="40"/>
        <v>165.03270000000001</v>
      </c>
      <c r="K692" s="13">
        <f t="shared" si="41"/>
        <v>25</v>
      </c>
    </row>
    <row r="693" spans="2:11">
      <c r="B693" s="13">
        <v>69</v>
      </c>
      <c r="C693" s="13" t="s">
        <v>379</v>
      </c>
      <c r="D693" s="13" t="s">
        <v>380</v>
      </c>
      <c r="E693" s="240">
        <v>42999</v>
      </c>
      <c r="F693" s="259">
        <v>43019</v>
      </c>
      <c r="G693" s="137">
        <v>1593.35</v>
      </c>
      <c r="H693" s="13">
        <v>0</v>
      </c>
      <c r="I693" s="13">
        <v>1</v>
      </c>
      <c r="J693" s="12">
        <f t="shared" si="40"/>
        <v>15.933499999999999</v>
      </c>
      <c r="K693" s="13">
        <f t="shared" si="41"/>
        <v>20</v>
      </c>
    </row>
    <row r="694" spans="2:11">
      <c r="B694" s="13">
        <v>376</v>
      </c>
      <c r="C694" s="13" t="s">
        <v>379</v>
      </c>
      <c r="D694" s="13" t="s">
        <v>380</v>
      </c>
      <c r="E694" s="240">
        <v>42989</v>
      </c>
      <c r="F694" s="240">
        <v>43011</v>
      </c>
      <c r="G694" s="13">
        <v>19227.12</v>
      </c>
      <c r="H694" s="13">
        <v>0</v>
      </c>
      <c r="I694" s="13">
        <v>1</v>
      </c>
      <c r="J694" s="12">
        <f t="shared" si="40"/>
        <v>192.27119999999999</v>
      </c>
      <c r="K694" s="13">
        <f t="shared" si="41"/>
        <v>22</v>
      </c>
    </row>
    <row r="695" spans="2:11">
      <c r="B695" s="13">
        <v>362</v>
      </c>
      <c r="C695" s="13" t="s">
        <v>401</v>
      </c>
      <c r="D695" s="13" t="s">
        <v>380</v>
      </c>
      <c r="E695" s="240">
        <v>42983</v>
      </c>
      <c r="F695" s="240">
        <v>43022</v>
      </c>
      <c r="G695" s="13">
        <v>33.01</v>
      </c>
      <c r="H695" s="13">
        <v>0</v>
      </c>
      <c r="I695" s="13">
        <v>1</v>
      </c>
      <c r="J695" s="12">
        <f t="shared" si="40"/>
        <v>0.3301</v>
      </c>
      <c r="K695" s="13">
        <f t="shared" si="41"/>
        <v>39</v>
      </c>
    </row>
    <row r="696" spans="2:11">
      <c r="B696" s="13">
        <v>342</v>
      </c>
      <c r="C696" s="13" t="s">
        <v>401</v>
      </c>
      <c r="D696" s="13" t="s">
        <v>380</v>
      </c>
      <c r="E696" s="240">
        <v>42980</v>
      </c>
      <c r="F696" s="240">
        <v>43022</v>
      </c>
      <c r="G696" s="13">
        <v>669.22</v>
      </c>
      <c r="H696" s="13">
        <v>0</v>
      </c>
      <c r="I696" s="13">
        <v>1</v>
      </c>
      <c r="J696" s="12">
        <f t="shared" si="40"/>
        <v>6.6922000000000006</v>
      </c>
      <c r="K696" s="13">
        <f t="shared" si="41"/>
        <v>42</v>
      </c>
    </row>
    <row r="697" spans="2:11">
      <c r="B697" s="13">
        <v>308</v>
      </c>
      <c r="C697" s="13" t="s">
        <v>401</v>
      </c>
      <c r="D697" s="13" t="s">
        <v>380</v>
      </c>
      <c r="E697" s="240">
        <v>42965</v>
      </c>
      <c r="F697" s="240">
        <v>43022</v>
      </c>
      <c r="G697" s="13">
        <v>691.95</v>
      </c>
      <c r="H697" s="13">
        <v>0</v>
      </c>
      <c r="I697" s="13">
        <v>1</v>
      </c>
      <c r="J697" s="12">
        <f t="shared" si="40"/>
        <v>6.9195000000000002</v>
      </c>
      <c r="K697" s="13">
        <f t="shared" si="41"/>
        <v>57</v>
      </c>
    </row>
    <row r="698" spans="2:11">
      <c r="B698" s="13">
        <v>399</v>
      </c>
      <c r="C698" s="13" t="s">
        <v>381</v>
      </c>
      <c r="D698" s="13" t="s">
        <v>382</v>
      </c>
      <c r="E698" s="240">
        <v>43004</v>
      </c>
      <c r="F698" s="240">
        <v>43033</v>
      </c>
      <c r="G698" s="13">
        <v>11876.95</v>
      </c>
      <c r="H698" s="13">
        <v>0</v>
      </c>
      <c r="I698" s="13">
        <v>1</v>
      </c>
      <c r="J698" s="12">
        <f t="shared" si="40"/>
        <v>118.76950000000001</v>
      </c>
      <c r="K698" s="13">
        <f t="shared" si="41"/>
        <v>29</v>
      </c>
    </row>
    <row r="699" spans="2:11">
      <c r="B699" s="13">
        <v>398</v>
      </c>
      <c r="C699" s="13" t="s">
        <v>381</v>
      </c>
      <c r="D699" s="13" t="s">
        <v>382</v>
      </c>
      <c r="E699" s="240">
        <v>43003</v>
      </c>
      <c r="F699" s="240">
        <v>43027</v>
      </c>
      <c r="G699" s="13">
        <v>7868.39</v>
      </c>
      <c r="H699" s="13">
        <v>0</v>
      </c>
      <c r="I699" s="13">
        <v>1</v>
      </c>
      <c r="J699" s="12">
        <f t="shared" si="40"/>
        <v>78.683900000000008</v>
      </c>
      <c r="K699" s="13">
        <f t="shared" si="41"/>
        <v>24</v>
      </c>
    </row>
    <row r="700" spans="2:11">
      <c r="B700" s="13">
        <v>25253</v>
      </c>
      <c r="C700" s="13" t="s">
        <v>417</v>
      </c>
      <c r="D700" s="13" t="s">
        <v>380</v>
      </c>
      <c r="E700" s="240">
        <v>43038</v>
      </c>
      <c r="F700" s="240">
        <v>43038</v>
      </c>
      <c r="G700" s="13">
        <v>1827.46</v>
      </c>
      <c r="H700" s="13">
        <v>0</v>
      </c>
      <c r="I700" s="13">
        <v>1</v>
      </c>
      <c r="J700" s="12">
        <f t="shared" si="40"/>
        <v>18.2746</v>
      </c>
      <c r="K700" s="13">
        <f t="shared" si="41"/>
        <v>0</v>
      </c>
    </row>
    <row r="701" spans="2:11">
      <c r="B701" s="13">
        <v>23443</v>
      </c>
      <c r="C701" s="13" t="s">
        <v>417</v>
      </c>
      <c r="D701" s="13" t="s">
        <v>380</v>
      </c>
      <c r="E701" s="240">
        <v>43013</v>
      </c>
      <c r="F701" s="240">
        <v>43013</v>
      </c>
      <c r="G701" s="13">
        <v>7877.18</v>
      </c>
      <c r="H701" s="13">
        <v>0</v>
      </c>
      <c r="I701" s="13">
        <v>1</v>
      </c>
      <c r="J701" s="12">
        <f t="shared" si="40"/>
        <v>78.771799999999999</v>
      </c>
      <c r="K701" s="13">
        <f t="shared" si="41"/>
        <v>0</v>
      </c>
    </row>
    <row r="702" spans="2:11">
      <c r="F702" s="258" t="s">
        <v>14</v>
      </c>
      <c r="G702" s="137">
        <f>SUM(G687:G701)</f>
        <v>169203.67000000004</v>
      </c>
      <c r="I702" s="258" t="s">
        <v>383</v>
      </c>
      <c r="J702" s="137">
        <f>SUM(J687:J701)</f>
        <v>1692.0366999999999</v>
      </c>
    </row>
    <row r="704" spans="2:11">
      <c r="B704" s="138" t="s">
        <v>403</v>
      </c>
      <c r="C704" s="244" t="s">
        <v>367</v>
      </c>
      <c r="D704" s="243" t="s">
        <v>439</v>
      </c>
    </row>
    <row r="705" spans="2:11">
      <c r="B705" s="138"/>
      <c r="C705" s="244"/>
      <c r="D705" s="243"/>
    </row>
    <row r="706" spans="2:11">
      <c r="B706" s="248" t="s">
        <v>370</v>
      </c>
      <c r="C706" s="248" t="s">
        <v>371</v>
      </c>
      <c r="D706" s="248" t="s">
        <v>372</v>
      </c>
      <c r="E706" s="248" t="s">
        <v>386</v>
      </c>
      <c r="F706" s="248" t="s">
        <v>396</v>
      </c>
      <c r="G706" s="248" t="s">
        <v>14</v>
      </c>
      <c r="H706" s="248" t="s">
        <v>397</v>
      </c>
      <c r="I706" s="248" t="s">
        <v>398</v>
      </c>
      <c r="J706" s="248" t="s">
        <v>399</v>
      </c>
      <c r="K706" s="248" t="s">
        <v>431</v>
      </c>
    </row>
    <row r="707" spans="2:11">
      <c r="B707" s="13">
        <v>2</v>
      </c>
      <c r="C707" s="13" t="s">
        <v>379</v>
      </c>
      <c r="D707" s="13" t="s">
        <v>380</v>
      </c>
      <c r="E707" s="240">
        <v>42986</v>
      </c>
      <c r="F707" s="240">
        <v>43027</v>
      </c>
      <c r="G707" s="13">
        <v>705.07</v>
      </c>
      <c r="H707" s="13">
        <v>0</v>
      </c>
      <c r="I707" s="13">
        <v>1</v>
      </c>
      <c r="J707" s="12">
        <f t="shared" ref="J707:J721" si="42">G707*I707%</f>
        <v>7.0507000000000009</v>
      </c>
      <c r="K707" s="13">
        <f t="shared" ref="K707:K721" si="43">F707-E707</f>
        <v>41</v>
      </c>
    </row>
    <row r="708" spans="2:11">
      <c r="B708" s="13">
        <v>387</v>
      </c>
      <c r="C708" s="13" t="s">
        <v>379</v>
      </c>
      <c r="D708" s="13" t="s">
        <v>380</v>
      </c>
      <c r="E708" s="240">
        <v>42997</v>
      </c>
      <c r="F708" s="240">
        <v>43022</v>
      </c>
      <c r="G708" s="13">
        <v>27071.39</v>
      </c>
      <c r="H708" s="13">
        <v>0</v>
      </c>
      <c r="I708" s="13">
        <v>1</v>
      </c>
      <c r="J708" s="12">
        <f t="shared" si="42"/>
        <v>270.71390000000002</v>
      </c>
      <c r="K708" s="13">
        <f t="shared" si="43"/>
        <v>25</v>
      </c>
    </row>
    <row r="709" spans="2:11">
      <c r="B709" s="13">
        <v>386</v>
      </c>
      <c r="C709" s="13" t="s">
        <v>379</v>
      </c>
      <c r="D709" s="13" t="s">
        <v>380</v>
      </c>
      <c r="E709" s="240">
        <v>42997</v>
      </c>
      <c r="F709" s="240">
        <v>43022</v>
      </c>
      <c r="G709" s="13">
        <v>25222.03</v>
      </c>
      <c r="H709" s="13">
        <v>0</v>
      </c>
      <c r="I709" s="13">
        <v>1</v>
      </c>
      <c r="J709" s="12">
        <f t="shared" si="42"/>
        <v>252.22029999999998</v>
      </c>
      <c r="K709" s="13">
        <f t="shared" si="43"/>
        <v>25</v>
      </c>
    </row>
    <row r="710" spans="2:11">
      <c r="B710" s="13">
        <v>395</v>
      </c>
      <c r="C710" s="13" t="s">
        <v>379</v>
      </c>
      <c r="D710" s="13" t="s">
        <v>380</v>
      </c>
      <c r="E710" s="240">
        <v>42999</v>
      </c>
      <c r="F710" s="240">
        <v>43022</v>
      </c>
      <c r="G710" s="13">
        <v>25841.52</v>
      </c>
      <c r="H710" s="13">
        <v>0</v>
      </c>
      <c r="I710" s="13">
        <v>1</v>
      </c>
      <c r="J710" s="12">
        <f t="shared" si="42"/>
        <v>258.41520000000003</v>
      </c>
      <c r="K710" s="13">
        <f t="shared" si="43"/>
        <v>23</v>
      </c>
    </row>
    <row r="711" spans="2:11">
      <c r="B711" s="13">
        <v>389</v>
      </c>
      <c r="C711" s="13" t="s">
        <v>379</v>
      </c>
      <c r="D711" s="13" t="s">
        <v>380</v>
      </c>
      <c r="E711" s="240">
        <v>42997</v>
      </c>
      <c r="F711" s="240">
        <v>43022</v>
      </c>
      <c r="G711" s="13">
        <v>22195.759999999998</v>
      </c>
      <c r="H711" s="13">
        <v>0</v>
      </c>
      <c r="I711" s="13">
        <v>1</v>
      </c>
      <c r="J711" s="12">
        <f t="shared" si="42"/>
        <v>221.95759999999999</v>
      </c>
      <c r="K711" s="13">
        <f t="shared" si="43"/>
        <v>25</v>
      </c>
    </row>
    <row r="712" spans="2:11">
      <c r="B712" s="13">
        <v>388</v>
      </c>
      <c r="C712" s="13" t="s">
        <v>379</v>
      </c>
      <c r="D712" s="13" t="s">
        <v>380</v>
      </c>
      <c r="E712" s="240">
        <v>42997</v>
      </c>
      <c r="F712" s="240">
        <v>43022</v>
      </c>
      <c r="G712" s="13">
        <v>16503.27</v>
      </c>
      <c r="H712" s="13">
        <v>0</v>
      </c>
      <c r="I712" s="13">
        <v>1</v>
      </c>
      <c r="J712" s="12">
        <f t="shared" si="42"/>
        <v>165.03270000000001</v>
      </c>
      <c r="K712" s="13">
        <f t="shared" si="43"/>
        <v>25</v>
      </c>
    </row>
    <row r="713" spans="2:11">
      <c r="B713" s="13">
        <v>69</v>
      </c>
      <c r="C713" s="13" t="s">
        <v>379</v>
      </c>
      <c r="D713" s="13" t="s">
        <v>380</v>
      </c>
      <c r="E713" s="240">
        <v>42999</v>
      </c>
      <c r="F713" s="259">
        <v>43019</v>
      </c>
      <c r="G713" s="137">
        <v>1593.35</v>
      </c>
      <c r="H713" s="13">
        <v>0</v>
      </c>
      <c r="I713" s="13">
        <v>1</v>
      </c>
      <c r="J713" s="12">
        <f t="shared" si="42"/>
        <v>15.933499999999999</v>
      </c>
      <c r="K713" s="13">
        <f t="shared" si="43"/>
        <v>20</v>
      </c>
    </row>
    <row r="714" spans="2:11">
      <c r="B714" s="13">
        <v>376</v>
      </c>
      <c r="C714" s="13" t="s">
        <v>379</v>
      </c>
      <c r="D714" s="13" t="s">
        <v>380</v>
      </c>
      <c r="E714" s="240">
        <v>42989</v>
      </c>
      <c r="F714" s="240">
        <v>43011</v>
      </c>
      <c r="G714" s="13">
        <v>19227.12</v>
      </c>
      <c r="H714" s="13">
        <v>0</v>
      </c>
      <c r="I714" s="13">
        <v>1</v>
      </c>
      <c r="J714" s="12">
        <f t="shared" si="42"/>
        <v>192.27119999999999</v>
      </c>
      <c r="K714" s="13">
        <f t="shared" si="43"/>
        <v>22</v>
      </c>
    </row>
    <row r="715" spans="2:11">
      <c r="B715" s="13">
        <v>362</v>
      </c>
      <c r="C715" s="13" t="s">
        <v>401</v>
      </c>
      <c r="D715" s="13" t="s">
        <v>380</v>
      </c>
      <c r="E715" s="240">
        <v>42983</v>
      </c>
      <c r="F715" s="240">
        <v>43022</v>
      </c>
      <c r="G715" s="13">
        <v>33.01</v>
      </c>
      <c r="H715" s="13">
        <v>0</v>
      </c>
      <c r="I715" s="13">
        <v>1</v>
      </c>
      <c r="J715" s="12">
        <f t="shared" si="42"/>
        <v>0.3301</v>
      </c>
      <c r="K715" s="13">
        <f t="shared" si="43"/>
        <v>39</v>
      </c>
    </row>
    <row r="716" spans="2:11">
      <c r="B716" s="13">
        <v>342</v>
      </c>
      <c r="C716" s="13" t="s">
        <v>401</v>
      </c>
      <c r="D716" s="13" t="s">
        <v>380</v>
      </c>
      <c r="E716" s="240">
        <v>42980</v>
      </c>
      <c r="F716" s="240">
        <v>43022</v>
      </c>
      <c r="G716" s="13">
        <v>669.22</v>
      </c>
      <c r="H716" s="13">
        <v>0</v>
      </c>
      <c r="I716" s="13">
        <v>1</v>
      </c>
      <c r="J716" s="12">
        <f t="shared" si="42"/>
        <v>6.6922000000000006</v>
      </c>
      <c r="K716" s="13">
        <f t="shared" si="43"/>
        <v>42</v>
      </c>
    </row>
    <row r="717" spans="2:11">
      <c r="B717" s="13">
        <v>308</v>
      </c>
      <c r="C717" s="13" t="s">
        <v>401</v>
      </c>
      <c r="D717" s="13" t="s">
        <v>380</v>
      </c>
      <c r="E717" s="240">
        <v>42965</v>
      </c>
      <c r="F717" s="240">
        <v>43022</v>
      </c>
      <c r="G717" s="13">
        <v>691.95</v>
      </c>
      <c r="H717" s="13">
        <v>0</v>
      </c>
      <c r="I717" s="13">
        <v>1</v>
      </c>
      <c r="J717" s="12">
        <f t="shared" si="42"/>
        <v>6.9195000000000002</v>
      </c>
      <c r="K717" s="13">
        <f t="shared" si="43"/>
        <v>57</v>
      </c>
    </row>
    <row r="718" spans="2:11">
      <c r="B718" s="13">
        <v>399</v>
      </c>
      <c r="C718" s="13" t="s">
        <v>381</v>
      </c>
      <c r="D718" s="13" t="s">
        <v>382</v>
      </c>
      <c r="E718" s="240">
        <v>43004</v>
      </c>
      <c r="F718" s="240">
        <v>43033</v>
      </c>
      <c r="G718" s="13">
        <v>11876.95</v>
      </c>
      <c r="H718" s="13">
        <v>0</v>
      </c>
      <c r="I718" s="13">
        <v>1</v>
      </c>
      <c r="J718" s="12">
        <f t="shared" si="42"/>
        <v>118.76950000000001</v>
      </c>
      <c r="K718" s="13">
        <f t="shared" si="43"/>
        <v>29</v>
      </c>
    </row>
    <row r="719" spans="2:11">
      <c r="B719" s="13">
        <v>398</v>
      </c>
      <c r="C719" s="13" t="s">
        <v>381</v>
      </c>
      <c r="D719" s="13" t="s">
        <v>382</v>
      </c>
      <c r="E719" s="240">
        <v>43003</v>
      </c>
      <c r="F719" s="240">
        <v>43027</v>
      </c>
      <c r="G719" s="13">
        <v>7868.39</v>
      </c>
      <c r="H719" s="13">
        <v>0</v>
      </c>
      <c r="I719" s="13">
        <v>1</v>
      </c>
      <c r="J719" s="12">
        <f t="shared" si="42"/>
        <v>78.683900000000008</v>
      </c>
      <c r="K719" s="13">
        <f t="shared" si="43"/>
        <v>24</v>
      </c>
    </row>
    <row r="720" spans="2:11">
      <c r="B720" s="13">
        <v>25253</v>
      </c>
      <c r="C720" s="13" t="s">
        <v>417</v>
      </c>
      <c r="D720" s="13" t="s">
        <v>380</v>
      </c>
      <c r="E720" s="240">
        <v>43038</v>
      </c>
      <c r="F720" s="240">
        <v>43038</v>
      </c>
      <c r="G720" s="13">
        <v>1827.46</v>
      </c>
      <c r="H720" s="13">
        <v>0</v>
      </c>
      <c r="I720" s="13">
        <v>1</v>
      </c>
      <c r="J720" s="12">
        <f t="shared" si="42"/>
        <v>18.2746</v>
      </c>
      <c r="K720" s="13">
        <f t="shared" si="43"/>
        <v>0</v>
      </c>
    </row>
    <row r="721" spans="2:11">
      <c r="B721" s="13">
        <v>23443</v>
      </c>
      <c r="C721" s="13" t="s">
        <v>417</v>
      </c>
      <c r="D721" s="13" t="s">
        <v>380</v>
      </c>
      <c r="E721" s="240">
        <v>43013</v>
      </c>
      <c r="F721" s="240">
        <v>43013</v>
      </c>
      <c r="G721" s="13">
        <v>7877.18</v>
      </c>
      <c r="H721" s="13">
        <v>0</v>
      </c>
      <c r="I721" s="13">
        <v>1</v>
      </c>
      <c r="J721" s="12">
        <f t="shared" si="42"/>
        <v>78.771799999999999</v>
      </c>
      <c r="K721" s="13">
        <f t="shared" si="43"/>
        <v>0</v>
      </c>
    </row>
    <row r="722" spans="2:11">
      <c r="F722" s="258" t="s">
        <v>14</v>
      </c>
      <c r="G722" s="137">
        <f>SUM(G707:G721)</f>
        <v>169203.67000000004</v>
      </c>
      <c r="I722" s="258" t="s">
        <v>383</v>
      </c>
      <c r="J722" s="137">
        <f>SUM(J707:J721)</f>
        <v>1692.0366999999999</v>
      </c>
    </row>
    <row r="726" spans="2:11">
      <c r="B726" s="138" t="s">
        <v>403</v>
      </c>
      <c r="C726" s="244" t="s">
        <v>367</v>
      </c>
      <c r="D726" s="243" t="s">
        <v>440</v>
      </c>
    </row>
    <row r="727" spans="2:11">
      <c r="B727" s="138"/>
      <c r="C727" s="244"/>
      <c r="D727" s="243"/>
    </row>
    <row r="728" spans="2:11">
      <c r="B728" s="248" t="s">
        <v>370</v>
      </c>
      <c r="C728" s="248" t="s">
        <v>371</v>
      </c>
      <c r="D728" s="248" t="s">
        <v>372</v>
      </c>
      <c r="E728" s="248" t="s">
        <v>386</v>
      </c>
      <c r="F728" s="248" t="s">
        <v>396</v>
      </c>
      <c r="G728" s="248" t="s">
        <v>14</v>
      </c>
      <c r="H728" s="248" t="s">
        <v>397</v>
      </c>
      <c r="I728" s="248" t="s">
        <v>398</v>
      </c>
      <c r="J728" s="248" t="s">
        <v>399</v>
      </c>
      <c r="K728" s="248" t="s">
        <v>431</v>
      </c>
    </row>
    <row r="729" spans="2:11">
      <c r="B729" s="13">
        <v>411</v>
      </c>
      <c r="C729" s="13" t="s">
        <v>379</v>
      </c>
      <c r="D729" s="13" t="s">
        <v>380</v>
      </c>
      <c r="E729" s="240">
        <v>43033</v>
      </c>
      <c r="F729" s="240">
        <v>43066</v>
      </c>
      <c r="G729" s="13">
        <v>1874.17</v>
      </c>
      <c r="H729" s="13">
        <v>0</v>
      </c>
      <c r="I729" s="13">
        <v>1</v>
      </c>
      <c r="J729" s="12">
        <f t="shared" ref="J729:J736" si="44">G729*I729%</f>
        <v>18.741700000000002</v>
      </c>
      <c r="K729" s="13">
        <f t="shared" ref="K729:K736" si="45">F729-E729</f>
        <v>33</v>
      </c>
    </row>
    <row r="730" spans="2:11">
      <c r="B730" s="13">
        <v>322</v>
      </c>
      <c r="C730" s="13" t="s">
        <v>401</v>
      </c>
      <c r="D730" s="13" t="s">
        <v>380</v>
      </c>
      <c r="E730" s="240">
        <v>43017</v>
      </c>
      <c r="F730" s="240">
        <v>43054</v>
      </c>
      <c r="G730" s="13">
        <v>10586.82</v>
      </c>
      <c r="H730" s="13">
        <v>0</v>
      </c>
      <c r="I730" s="13">
        <v>1</v>
      </c>
      <c r="J730" s="12">
        <f t="shared" si="44"/>
        <v>105.8682</v>
      </c>
      <c r="K730" s="13">
        <f t="shared" si="45"/>
        <v>37</v>
      </c>
    </row>
    <row r="731" spans="2:11">
      <c r="B731" s="13">
        <v>327</v>
      </c>
      <c r="C731" s="13" t="s">
        <v>401</v>
      </c>
      <c r="D731" s="13" t="s">
        <v>380</v>
      </c>
      <c r="E731" s="240">
        <v>43017</v>
      </c>
      <c r="F731" s="240">
        <v>43054</v>
      </c>
      <c r="G731" s="13">
        <v>395.59</v>
      </c>
      <c r="H731" s="13">
        <v>0</v>
      </c>
      <c r="I731" s="13">
        <v>1</v>
      </c>
      <c r="J731" s="12">
        <f t="shared" si="44"/>
        <v>3.9558999999999997</v>
      </c>
      <c r="K731" s="13">
        <f t="shared" si="45"/>
        <v>37</v>
      </c>
    </row>
    <row r="732" spans="2:11">
      <c r="B732" s="13">
        <v>27585</v>
      </c>
      <c r="C732" s="13" t="s">
        <v>400</v>
      </c>
      <c r="D732" s="13" t="s">
        <v>380</v>
      </c>
      <c r="E732" s="240">
        <v>43067</v>
      </c>
      <c r="F732" s="240">
        <v>43067</v>
      </c>
      <c r="G732" s="13">
        <v>5085</v>
      </c>
      <c r="H732" s="13">
        <v>0</v>
      </c>
      <c r="I732" s="13">
        <v>1</v>
      </c>
      <c r="J732" s="12">
        <f t="shared" si="44"/>
        <v>50.85</v>
      </c>
      <c r="K732" s="13">
        <f t="shared" si="45"/>
        <v>0</v>
      </c>
    </row>
    <row r="733" spans="2:11">
      <c r="B733" s="13">
        <v>27584</v>
      </c>
      <c r="C733" s="13" t="s">
        <v>400</v>
      </c>
      <c r="D733" s="13" t="s">
        <v>380</v>
      </c>
      <c r="E733" s="240">
        <v>43067</v>
      </c>
      <c r="F733" s="240">
        <v>43067</v>
      </c>
      <c r="G733" s="13">
        <v>2542.5</v>
      </c>
      <c r="H733" s="13">
        <v>0</v>
      </c>
      <c r="I733" s="13">
        <v>1</v>
      </c>
      <c r="J733" s="12">
        <f t="shared" si="44"/>
        <v>25.425000000000001</v>
      </c>
      <c r="K733" s="13">
        <f t="shared" si="45"/>
        <v>0</v>
      </c>
    </row>
    <row r="734" spans="2:11">
      <c r="B734" s="13">
        <v>25864</v>
      </c>
      <c r="C734" s="13" t="s">
        <v>417</v>
      </c>
      <c r="D734" s="13" t="s">
        <v>380</v>
      </c>
      <c r="E734" s="240">
        <v>43046</v>
      </c>
      <c r="F734" s="240">
        <v>43046</v>
      </c>
      <c r="G734" s="13">
        <v>2542.5</v>
      </c>
      <c r="H734" s="13">
        <v>0</v>
      </c>
      <c r="I734" s="13">
        <v>1</v>
      </c>
      <c r="J734" s="12">
        <f t="shared" si="44"/>
        <v>25.425000000000001</v>
      </c>
      <c r="K734" s="13">
        <f t="shared" si="45"/>
        <v>0</v>
      </c>
    </row>
    <row r="735" spans="2:11">
      <c r="B735" s="13">
        <v>26348</v>
      </c>
      <c r="C735" s="13" t="s">
        <v>417</v>
      </c>
      <c r="D735" s="13" t="s">
        <v>380</v>
      </c>
      <c r="E735" s="240">
        <v>43053</v>
      </c>
      <c r="F735" s="240">
        <v>43066</v>
      </c>
      <c r="G735" s="13">
        <v>3051</v>
      </c>
      <c r="H735" s="13">
        <v>0</v>
      </c>
      <c r="I735" s="13">
        <v>1</v>
      </c>
      <c r="J735" s="12">
        <f t="shared" si="44"/>
        <v>30.51</v>
      </c>
      <c r="K735" s="13">
        <f t="shared" si="45"/>
        <v>13</v>
      </c>
    </row>
    <row r="736" spans="2:11">
      <c r="B736" s="13">
        <v>27419</v>
      </c>
      <c r="C736" s="13" t="s">
        <v>417</v>
      </c>
      <c r="D736" s="13" t="s">
        <v>380</v>
      </c>
      <c r="E736" s="240">
        <v>43066</v>
      </c>
      <c r="F736" s="240">
        <v>43066</v>
      </c>
      <c r="G736" s="13">
        <v>6102</v>
      </c>
      <c r="H736" s="13">
        <v>0</v>
      </c>
      <c r="I736" s="13">
        <v>1</v>
      </c>
      <c r="J736" s="12">
        <f t="shared" si="44"/>
        <v>61.02</v>
      </c>
      <c r="K736" s="13">
        <f t="shared" si="45"/>
        <v>0</v>
      </c>
    </row>
    <row r="737" spans="2:11">
      <c r="F737" s="260" t="s">
        <v>14</v>
      </c>
      <c r="G737" s="247">
        <f>SUM(G729:G736)</f>
        <v>32179.58</v>
      </c>
      <c r="I737" s="260" t="s">
        <v>383</v>
      </c>
      <c r="J737" s="247">
        <f>SUM(J729:J736)</f>
        <v>321.79580000000004</v>
      </c>
    </row>
    <row r="740" spans="2:11">
      <c r="B740" s="138" t="s">
        <v>403</v>
      </c>
      <c r="C740" s="244" t="s">
        <v>367</v>
      </c>
      <c r="D740" s="243" t="s">
        <v>440</v>
      </c>
    </row>
    <row r="741" spans="2:11">
      <c r="B741" s="138"/>
      <c r="C741" s="244"/>
      <c r="D741" s="243"/>
    </row>
    <row r="742" spans="2:11">
      <c r="B742" s="248" t="s">
        <v>370</v>
      </c>
      <c r="C742" s="248" t="s">
        <v>371</v>
      </c>
      <c r="D742" s="248" t="s">
        <v>372</v>
      </c>
      <c r="E742" s="248" t="s">
        <v>386</v>
      </c>
      <c r="F742" s="248" t="s">
        <v>396</v>
      </c>
      <c r="G742" s="248" t="s">
        <v>14</v>
      </c>
      <c r="H742" s="248" t="s">
        <v>397</v>
      </c>
      <c r="I742" s="248" t="s">
        <v>398</v>
      </c>
      <c r="J742" s="248" t="s">
        <v>399</v>
      </c>
      <c r="K742" s="248" t="s">
        <v>431</v>
      </c>
    </row>
    <row r="743" spans="2:11">
      <c r="B743" s="13">
        <v>411</v>
      </c>
      <c r="C743" s="13" t="s">
        <v>379</v>
      </c>
      <c r="D743" s="13" t="s">
        <v>380</v>
      </c>
      <c r="E743" s="240">
        <v>43033</v>
      </c>
      <c r="F743" s="240">
        <v>43066</v>
      </c>
      <c r="G743" s="13">
        <v>1874.17</v>
      </c>
      <c r="H743" s="13">
        <v>0</v>
      </c>
      <c r="I743" s="13">
        <v>1</v>
      </c>
      <c r="J743" s="12">
        <f t="shared" ref="J743:J748" si="46">G743*I743%</f>
        <v>18.741700000000002</v>
      </c>
      <c r="K743" s="13">
        <f t="shared" ref="K743:K748" si="47">F743-E743</f>
        <v>33</v>
      </c>
    </row>
    <row r="744" spans="2:11">
      <c r="B744" s="13">
        <v>27585</v>
      </c>
      <c r="C744" s="13" t="s">
        <v>400</v>
      </c>
      <c r="D744" s="13" t="s">
        <v>380</v>
      </c>
      <c r="E744" s="240">
        <v>43067</v>
      </c>
      <c r="F744" s="240">
        <v>43067</v>
      </c>
      <c r="G744" s="13">
        <v>5085</v>
      </c>
      <c r="H744" s="13">
        <v>0</v>
      </c>
      <c r="I744" s="13">
        <v>1</v>
      </c>
      <c r="J744" s="12">
        <f t="shared" si="46"/>
        <v>50.85</v>
      </c>
      <c r="K744" s="13">
        <f t="shared" si="47"/>
        <v>0</v>
      </c>
    </row>
    <row r="745" spans="2:11">
      <c r="B745" s="13">
        <v>27584</v>
      </c>
      <c r="C745" s="13" t="s">
        <v>400</v>
      </c>
      <c r="D745" s="13" t="s">
        <v>380</v>
      </c>
      <c r="E745" s="240">
        <v>43067</v>
      </c>
      <c r="F745" s="240">
        <v>43067</v>
      </c>
      <c r="G745" s="13">
        <v>2542.5</v>
      </c>
      <c r="H745" s="13">
        <v>0</v>
      </c>
      <c r="I745" s="13">
        <v>1</v>
      </c>
      <c r="J745" s="12">
        <f t="shared" si="46"/>
        <v>25.425000000000001</v>
      </c>
      <c r="K745" s="13">
        <f t="shared" si="47"/>
        <v>0</v>
      </c>
    </row>
    <row r="746" spans="2:11">
      <c r="B746" s="13">
        <v>25864</v>
      </c>
      <c r="C746" s="13" t="s">
        <v>417</v>
      </c>
      <c r="D746" s="13" t="s">
        <v>380</v>
      </c>
      <c r="E746" s="240">
        <v>43046</v>
      </c>
      <c r="F746" s="240">
        <v>43046</v>
      </c>
      <c r="G746" s="13">
        <v>2542.5</v>
      </c>
      <c r="H746" s="13">
        <v>0</v>
      </c>
      <c r="I746" s="13">
        <v>1</v>
      </c>
      <c r="J746" s="12">
        <f t="shared" si="46"/>
        <v>25.425000000000001</v>
      </c>
      <c r="K746" s="13">
        <f t="shared" si="47"/>
        <v>0</v>
      </c>
    </row>
    <row r="747" spans="2:11">
      <c r="B747" s="13">
        <v>26348</v>
      </c>
      <c r="C747" s="13" t="s">
        <v>417</v>
      </c>
      <c r="D747" s="13" t="s">
        <v>380</v>
      </c>
      <c r="E747" s="240">
        <v>43053</v>
      </c>
      <c r="F747" s="240">
        <v>43066</v>
      </c>
      <c r="G747" s="13">
        <v>3051</v>
      </c>
      <c r="H747" s="13">
        <v>0</v>
      </c>
      <c r="I747" s="13">
        <v>1</v>
      </c>
      <c r="J747" s="12">
        <f t="shared" si="46"/>
        <v>30.51</v>
      </c>
      <c r="K747" s="13">
        <f t="shared" si="47"/>
        <v>13</v>
      </c>
    </row>
    <row r="748" spans="2:11">
      <c r="B748" s="13">
        <v>27419</v>
      </c>
      <c r="C748" s="13" t="s">
        <v>417</v>
      </c>
      <c r="D748" s="13" t="s">
        <v>380</v>
      </c>
      <c r="E748" s="240">
        <v>43066</v>
      </c>
      <c r="F748" s="240">
        <v>43066</v>
      </c>
      <c r="G748" s="13">
        <v>6102</v>
      </c>
      <c r="H748" s="13">
        <v>0</v>
      </c>
      <c r="I748" s="13">
        <v>1</v>
      </c>
      <c r="J748" s="12">
        <f t="shared" si="46"/>
        <v>61.02</v>
      </c>
      <c r="K748" s="13">
        <f t="shared" si="47"/>
        <v>0</v>
      </c>
    </row>
    <row r="749" spans="2:11">
      <c r="F749" s="260" t="s">
        <v>14</v>
      </c>
      <c r="G749" s="247">
        <f>SUM(G743:G748)</f>
        <v>21197.17</v>
      </c>
      <c r="I749" s="260" t="s">
        <v>383</v>
      </c>
      <c r="J749" s="247">
        <f>SUM(J743:J748)</f>
        <v>211.9717</v>
      </c>
    </row>
    <row r="753" spans="2:11">
      <c r="B753" s="138" t="s">
        <v>403</v>
      </c>
      <c r="C753" s="244" t="s">
        <v>367</v>
      </c>
      <c r="D753" s="243" t="s">
        <v>441</v>
      </c>
    </row>
    <row r="754" spans="2:11">
      <c r="B754" s="138"/>
      <c r="C754" s="244"/>
      <c r="D754" s="243"/>
    </row>
    <row r="755" spans="2:11">
      <c r="B755" s="248" t="s">
        <v>370</v>
      </c>
      <c r="C755" s="248" t="s">
        <v>371</v>
      </c>
      <c r="D755" s="248" t="s">
        <v>372</v>
      </c>
      <c r="E755" s="248" t="s">
        <v>386</v>
      </c>
      <c r="F755" s="248" t="s">
        <v>396</v>
      </c>
      <c r="G755" s="248" t="s">
        <v>14</v>
      </c>
      <c r="H755" s="248" t="s">
        <v>397</v>
      </c>
      <c r="I755" s="248" t="s">
        <v>398</v>
      </c>
      <c r="J755" s="248" t="s">
        <v>399</v>
      </c>
      <c r="K755" s="248" t="s">
        <v>431</v>
      </c>
    </row>
    <row r="756" spans="2:11">
      <c r="B756" s="13">
        <v>428</v>
      </c>
      <c r="C756" s="13" t="s">
        <v>381</v>
      </c>
      <c r="D756" s="13" t="s">
        <v>382</v>
      </c>
      <c r="E756" s="240">
        <v>43060</v>
      </c>
      <c r="F756" s="240">
        <v>43085</v>
      </c>
      <c r="G756" s="13">
        <v>473.89</v>
      </c>
      <c r="H756" s="13">
        <v>0</v>
      </c>
      <c r="I756" s="13">
        <v>1</v>
      </c>
      <c r="J756" s="12">
        <f t="shared" ref="J756:J769" si="48">G756*I756%</f>
        <v>4.7389000000000001</v>
      </c>
      <c r="K756" s="13">
        <f t="shared" ref="K756:K769" si="49">F756-E756</f>
        <v>25</v>
      </c>
    </row>
    <row r="757" spans="2:11">
      <c r="B757" s="13">
        <v>104</v>
      </c>
      <c r="C757" s="13" t="s">
        <v>381</v>
      </c>
      <c r="D757" s="13" t="s">
        <v>382</v>
      </c>
      <c r="E757" s="240">
        <v>43001</v>
      </c>
      <c r="F757" s="240">
        <v>43078</v>
      </c>
      <c r="G757" s="13">
        <v>528.73</v>
      </c>
      <c r="H757" s="13">
        <v>0</v>
      </c>
      <c r="I757" s="13">
        <v>1</v>
      </c>
      <c r="J757" s="12">
        <f t="shared" si="48"/>
        <v>5.2873000000000001</v>
      </c>
      <c r="K757" s="13">
        <f t="shared" si="49"/>
        <v>77</v>
      </c>
    </row>
    <row r="758" spans="2:11">
      <c r="B758" s="13">
        <v>100</v>
      </c>
      <c r="C758" s="13" t="s">
        <v>381</v>
      </c>
      <c r="D758" s="13" t="s">
        <v>382</v>
      </c>
      <c r="E758" s="240">
        <v>43001</v>
      </c>
      <c r="F758" s="240">
        <v>43078</v>
      </c>
      <c r="G758" s="13">
        <v>860.65</v>
      </c>
      <c r="H758" s="13">
        <v>0</v>
      </c>
      <c r="I758" s="13">
        <v>1</v>
      </c>
      <c r="J758" s="12">
        <f t="shared" si="48"/>
        <v>8.6065000000000005</v>
      </c>
      <c r="K758" s="13">
        <f t="shared" si="49"/>
        <v>77</v>
      </c>
    </row>
    <row r="759" spans="2:11">
      <c r="B759" s="13">
        <v>97</v>
      </c>
      <c r="C759" s="13" t="s">
        <v>381</v>
      </c>
      <c r="D759" s="13" t="s">
        <v>382</v>
      </c>
      <c r="E759" s="240">
        <v>43001</v>
      </c>
      <c r="F759" s="240">
        <v>43078</v>
      </c>
      <c r="G759" s="13">
        <v>914.75</v>
      </c>
      <c r="H759" s="13">
        <v>0</v>
      </c>
      <c r="I759" s="13">
        <v>1</v>
      </c>
      <c r="J759" s="12">
        <f t="shared" si="48"/>
        <v>9.1475000000000009</v>
      </c>
      <c r="K759" s="13">
        <f t="shared" si="49"/>
        <v>77</v>
      </c>
    </row>
    <row r="760" spans="2:11">
      <c r="B760" s="13">
        <v>93</v>
      </c>
      <c r="C760" s="13" t="s">
        <v>381</v>
      </c>
      <c r="D760" s="13" t="s">
        <v>382</v>
      </c>
      <c r="E760" s="240">
        <v>43001</v>
      </c>
      <c r="F760" s="240">
        <v>43078</v>
      </c>
      <c r="G760" s="13">
        <v>656.97</v>
      </c>
      <c r="H760" s="13">
        <v>0</v>
      </c>
      <c r="I760" s="13">
        <v>1</v>
      </c>
      <c r="J760" s="12">
        <f t="shared" si="48"/>
        <v>6.5697000000000001</v>
      </c>
      <c r="K760" s="13">
        <f t="shared" si="49"/>
        <v>77</v>
      </c>
    </row>
    <row r="761" spans="2:11">
      <c r="B761" s="13">
        <v>28675</v>
      </c>
      <c r="C761" s="13" t="s">
        <v>417</v>
      </c>
      <c r="D761" s="13" t="s">
        <v>380</v>
      </c>
      <c r="E761" s="240">
        <v>43082</v>
      </c>
      <c r="F761" s="240">
        <v>43082</v>
      </c>
      <c r="G761" s="13">
        <v>20585.11</v>
      </c>
      <c r="H761" s="13">
        <v>0</v>
      </c>
      <c r="I761" s="13">
        <v>1</v>
      </c>
      <c r="J761" s="12">
        <f t="shared" si="48"/>
        <v>205.8511</v>
      </c>
      <c r="K761" s="13">
        <f t="shared" si="49"/>
        <v>0</v>
      </c>
    </row>
    <row r="762" spans="2:11">
      <c r="B762" s="13">
        <v>28438</v>
      </c>
      <c r="C762" s="13" t="s">
        <v>417</v>
      </c>
      <c r="D762" s="13" t="s">
        <v>380</v>
      </c>
      <c r="E762" s="240">
        <v>43078</v>
      </c>
      <c r="F762" s="240">
        <v>43078</v>
      </c>
      <c r="G762" s="13">
        <v>2542.5</v>
      </c>
      <c r="H762" s="13">
        <v>0</v>
      </c>
      <c r="I762" s="13">
        <v>1</v>
      </c>
      <c r="J762" s="12">
        <f t="shared" si="48"/>
        <v>25.425000000000001</v>
      </c>
      <c r="K762" s="13">
        <f t="shared" si="49"/>
        <v>0</v>
      </c>
    </row>
    <row r="763" spans="2:11">
      <c r="B763" s="13">
        <v>439</v>
      </c>
      <c r="C763" s="13" t="s">
        <v>379</v>
      </c>
      <c r="D763" s="13" t="s">
        <v>380</v>
      </c>
      <c r="E763" s="240">
        <v>43073</v>
      </c>
      <c r="F763" s="240">
        <v>43099</v>
      </c>
      <c r="G763" s="13">
        <v>13296.61</v>
      </c>
      <c r="H763" s="13">
        <v>0</v>
      </c>
      <c r="I763" s="13">
        <v>1</v>
      </c>
      <c r="J763" s="12">
        <f t="shared" si="48"/>
        <v>132.96610000000001</v>
      </c>
      <c r="K763" s="13">
        <f t="shared" si="49"/>
        <v>26</v>
      </c>
    </row>
    <row r="764" spans="2:11">
      <c r="B764" s="13">
        <v>425</v>
      </c>
      <c r="C764" s="13" t="s">
        <v>379</v>
      </c>
      <c r="D764" s="13" t="s">
        <v>380</v>
      </c>
      <c r="E764" s="240">
        <v>43060</v>
      </c>
      <c r="F764" s="240">
        <v>43082</v>
      </c>
      <c r="G764" s="13">
        <v>25222.880000000001</v>
      </c>
      <c r="H764" s="13">
        <v>0</v>
      </c>
      <c r="I764" s="13">
        <v>1</v>
      </c>
      <c r="J764" s="12">
        <f t="shared" si="48"/>
        <v>252.22880000000001</v>
      </c>
      <c r="K764" s="13">
        <f t="shared" si="49"/>
        <v>22</v>
      </c>
    </row>
    <row r="765" spans="2:11">
      <c r="B765" s="13">
        <v>502</v>
      </c>
      <c r="C765" s="13" t="s">
        <v>379</v>
      </c>
      <c r="D765" s="13" t="s">
        <v>380</v>
      </c>
      <c r="E765" s="240">
        <v>43041</v>
      </c>
      <c r="F765" s="240">
        <v>43075</v>
      </c>
      <c r="G765" s="13">
        <v>1014.79</v>
      </c>
      <c r="H765" s="13">
        <v>0</v>
      </c>
      <c r="I765" s="13">
        <v>1</v>
      </c>
      <c r="J765" s="12">
        <f t="shared" si="48"/>
        <v>10.1479</v>
      </c>
      <c r="K765" s="13">
        <f t="shared" si="49"/>
        <v>34</v>
      </c>
    </row>
    <row r="766" spans="2:11">
      <c r="B766" s="13">
        <v>376</v>
      </c>
      <c r="C766" s="13" t="s">
        <v>379</v>
      </c>
      <c r="D766" s="13" t="s">
        <v>380</v>
      </c>
      <c r="E766" s="240">
        <v>43021</v>
      </c>
      <c r="F766" s="240">
        <v>43075</v>
      </c>
      <c r="G766" s="13">
        <v>849.72</v>
      </c>
      <c r="H766" s="13">
        <v>0</v>
      </c>
      <c r="I766" s="13">
        <v>1</v>
      </c>
      <c r="J766" s="12">
        <f t="shared" si="48"/>
        <v>8.4972000000000012</v>
      </c>
      <c r="K766" s="13">
        <f t="shared" si="49"/>
        <v>54</v>
      </c>
    </row>
    <row r="767" spans="2:11">
      <c r="B767" s="13">
        <v>430</v>
      </c>
      <c r="C767" s="13" t="s">
        <v>379</v>
      </c>
      <c r="D767" s="13" t="s">
        <v>380</v>
      </c>
      <c r="E767" s="240">
        <v>43061</v>
      </c>
      <c r="F767" s="240">
        <v>43075</v>
      </c>
      <c r="G767" s="13">
        <v>5448.17</v>
      </c>
      <c r="H767" s="13">
        <v>0</v>
      </c>
      <c r="I767" s="13">
        <v>1</v>
      </c>
      <c r="J767" s="12">
        <f t="shared" si="48"/>
        <v>54.481700000000004</v>
      </c>
      <c r="K767" s="13">
        <f t="shared" si="49"/>
        <v>14</v>
      </c>
    </row>
    <row r="768" spans="2:11">
      <c r="B768" s="13">
        <v>427</v>
      </c>
      <c r="C768" s="13" t="s">
        <v>379</v>
      </c>
      <c r="D768" s="13" t="s">
        <v>380</v>
      </c>
      <c r="E768" s="240">
        <v>43060</v>
      </c>
      <c r="F768" s="240">
        <v>43075</v>
      </c>
      <c r="G768" s="13">
        <v>24100.85</v>
      </c>
      <c r="H768" s="13">
        <v>0</v>
      </c>
      <c r="I768" s="13">
        <v>1</v>
      </c>
      <c r="J768" s="12">
        <f t="shared" si="48"/>
        <v>241.0085</v>
      </c>
      <c r="K768" s="13">
        <f t="shared" si="49"/>
        <v>15</v>
      </c>
    </row>
    <row r="769" spans="2:11">
      <c r="B769" s="13">
        <v>426</v>
      </c>
      <c r="C769" s="13" t="s">
        <v>379</v>
      </c>
      <c r="D769" s="13" t="s">
        <v>380</v>
      </c>
      <c r="E769" s="240">
        <v>43060</v>
      </c>
      <c r="F769" s="240">
        <v>43075</v>
      </c>
      <c r="G769" s="13">
        <v>22481.360000000001</v>
      </c>
      <c r="H769" s="13">
        <v>0</v>
      </c>
      <c r="I769" s="13">
        <v>1</v>
      </c>
      <c r="J769" s="12">
        <f t="shared" si="48"/>
        <v>224.81360000000001</v>
      </c>
      <c r="K769" s="13">
        <f t="shared" si="49"/>
        <v>15</v>
      </c>
    </row>
    <row r="770" spans="2:11">
      <c r="F770" s="260" t="s">
        <v>14</v>
      </c>
      <c r="G770" s="247">
        <f>SUM(G756:G769)</f>
        <v>118976.98</v>
      </c>
      <c r="I770" s="260" t="s">
        <v>383</v>
      </c>
      <c r="J770" s="247">
        <f>SUM(J756:J769)</f>
        <v>1189.7698</v>
      </c>
    </row>
    <row r="773" spans="2:11">
      <c r="B773" s="138" t="s">
        <v>403</v>
      </c>
      <c r="C773" s="244" t="s">
        <v>367</v>
      </c>
      <c r="D773" s="243" t="s">
        <v>441</v>
      </c>
    </row>
    <row r="774" spans="2:11">
      <c r="B774" s="138"/>
      <c r="C774" s="244"/>
      <c r="D774" s="243"/>
    </row>
    <row r="775" spans="2:11">
      <c r="B775" s="248" t="s">
        <v>370</v>
      </c>
      <c r="C775" s="248" t="s">
        <v>371</v>
      </c>
      <c r="D775" s="248" t="s">
        <v>372</v>
      </c>
      <c r="E775" s="248" t="s">
        <v>386</v>
      </c>
      <c r="F775" s="248" t="s">
        <v>396</v>
      </c>
      <c r="G775" s="248" t="s">
        <v>14</v>
      </c>
      <c r="H775" s="248" t="s">
        <v>397</v>
      </c>
      <c r="I775" s="248" t="s">
        <v>398</v>
      </c>
      <c r="J775" s="248" t="s">
        <v>399</v>
      </c>
      <c r="K775" s="248" t="s">
        <v>431</v>
      </c>
    </row>
    <row r="776" spans="2:11">
      <c r="B776" s="13">
        <v>28675</v>
      </c>
      <c r="C776" s="13" t="s">
        <v>417</v>
      </c>
      <c r="D776" s="13" t="s">
        <v>380</v>
      </c>
      <c r="E776" s="240">
        <v>43082</v>
      </c>
      <c r="F776" s="240">
        <v>43082</v>
      </c>
      <c r="G776" s="13">
        <v>20585.11</v>
      </c>
      <c r="H776" s="13">
        <v>0</v>
      </c>
      <c r="I776" s="13">
        <v>1</v>
      </c>
      <c r="J776" s="12">
        <f t="shared" ref="J776:J784" si="50">G776*I776%</f>
        <v>205.8511</v>
      </c>
      <c r="K776" s="13">
        <f t="shared" ref="K776:K784" si="51">F776-E776</f>
        <v>0</v>
      </c>
    </row>
    <row r="777" spans="2:11">
      <c r="B777" s="13">
        <v>28438</v>
      </c>
      <c r="C777" s="13" t="s">
        <v>417</v>
      </c>
      <c r="D777" s="13" t="s">
        <v>380</v>
      </c>
      <c r="E777" s="240">
        <v>43078</v>
      </c>
      <c r="F777" s="240">
        <v>43078</v>
      </c>
      <c r="G777" s="13">
        <v>2542.5</v>
      </c>
      <c r="H777" s="13">
        <v>0</v>
      </c>
      <c r="I777" s="13">
        <v>1</v>
      </c>
      <c r="J777" s="12">
        <f t="shared" si="50"/>
        <v>25.425000000000001</v>
      </c>
      <c r="K777" s="13">
        <f t="shared" si="51"/>
        <v>0</v>
      </c>
    </row>
    <row r="778" spans="2:11">
      <c r="B778" s="13">
        <v>439</v>
      </c>
      <c r="C778" s="13" t="s">
        <v>379</v>
      </c>
      <c r="D778" s="13" t="s">
        <v>380</v>
      </c>
      <c r="E778" s="240">
        <v>43073</v>
      </c>
      <c r="F778" s="240">
        <v>43099</v>
      </c>
      <c r="G778" s="13">
        <v>13296.61</v>
      </c>
      <c r="H778" s="13">
        <v>0</v>
      </c>
      <c r="I778" s="13">
        <v>1</v>
      </c>
      <c r="J778" s="12">
        <f t="shared" si="50"/>
        <v>132.96610000000001</v>
      </c>
      <c r="K778" s="13">
        <f t="shared" si="51"/>
        <v>26</v>
      </c>
    </row>
    <row r="779" spans="2:11">
      <c r="B779" s="13">
        <v>425</v>
      </c>
      <c r="C779" s="13" t="s">
        <v>379</v>
      </c>
      <c r="D779" s="13" t="s">
        <v>380</v>
      </c>
      <c r="E779" s="240">
        <v>43060</v>
      </c>
      <c r="F779" s="240">
        <v>43082</v>
      </c>
      <c r="G779" s="13">
        <v>25222.880000000001</v>
      </c>
      <c r="H779" s="13">
        <v>0</v>
      </c>
      <c r="I779" s="13">
        <v>1</v>
      </c>
      <c r="J779" s="12">
        <f t="shared" si="50"/>
        <v>252.22880000000001</v>
      </c>
      <c r="K779" s="13">
        <f t="shared" si="51"/>
        <v>22</v>
      </c>
    </row>
    <row r="780" spans="2:11">
      <c r="B780" s="13">
        <v>502</v>
      </c>
      <c r="C780" s="13" t="s">
        <v>379</v>
      </c>
      <c r="D780" s="13" t="s">
        <v>380</v>
      </c>
      <c r="E780" s="240">
        <v>43041</v>
      </c>
      <c r="F780" s="240">
        <v>43075</v>
      </c>
      <c r="G780" s="13">
        <v>1014.79</v>
      </c>
      <c r="H780" s="13">
        <v>0</v>
      </c>
      <c r="I780" s="13">
        <v>1</v>
      </c>
      <c r="J780" s="12">
        <f t="shared" si="50"/>
        <v>10.1479</v>
      </c>
      <c r="K780" s="13">
        <f t="shared" si="51"/>
        <v>34</v>
      </c>
    </row>
    <row r="781" spans="2:11">
      <c r="B781" s="13">
        <v>376</v>
      </c>
      <c r="C781" s="13" t="s">
        <v>379</v>
      </c>
      <c r="D781" s="13" t="s">
        <v>380</v>
      </c>
      <c r="E781" s="240">
        <v>43021</v>
      </c>
      <c r="F781" s="240">
        <v>43075</v>
      </c>
      <c r="G781" s="13">
        <v>849.72</v>
      </c>
      <c r="H781" s="13">
        <v>0</v>
      </c>
      <c r="I781" s="13">
        <v>1</v>
      </c>
      <c r="J781" s="12">
        <f t="shared" si="50"/>
        <v>8.4972000000000012</v>
      </c>
      <c r="K781" s="13">
        <f t="shared" si="51"/>
        <v>54</v>
      </c>
    </row>
    <row r="782" spans="2:11">
      <c r="B782" s="13">
        <v>430</v>
      </c>
      <c r="C782" s="13" t="s">
        <v>379</v>
      </c>
      <c r="D782" s="13" t="s">
        <v>380</v>
      </c>
      <c r="E782" s="240">
        <v>43061</v>
      </c>
      <c r="F782" s="240">
        <v>43075</v>
      </c>
      <c r="G782" s="13">
        <v>5448.17</v>
      </c>
      <c r="H782" s="13">
        <v>0</v>
      </c>
      <c r="I782" s="13">
        <v>1</v>
      </c>
      <c r="J782" s="12">
        <f t="shared" si="50"/>
        <v>54.481700000000004</v>
      </c>
      <c r="K782" s="13">
        <f t="shared" si="51"/>
        <v>14</v>
      </c>
    </row>
    <row r="783" spans="2:11">
      <c r="B783" s="13">
        <v>427</v>
      </c>
      <c r="C783" s="13" t="s">
        <v>379</v>
      </c>
      <c r="D783" s="13" t="s">
        <v>380</v>
      </c>
      <c r="E783" s="240">
        <v>43060</v>
      </c>
      <c r="F783" s="240">
        <v>43075</v>
      </c>
      <c r="G783" s="13">
        <v>24100.85</v>
      </c>
      <c r="H783" s="13">
        <v>0</v>
      </c>
      <c r="I783" s="13">
        <v>1</v>
      </c>
      <c r="J783" s="12">
        <f t="shared" si="50"/>
        <v>241.0085</v>
      </c>
      <c r="K783" s="13">
        <f t="shared" si="51"/>
        <v>15</v>
      </c>
    </row>
    <row r="784" spans="2:11">
      <c r="B784" s="13">
        <v>426</v>
      </c>
      <c r="C784" s="13" t="s">
        <v>379</v>
      </c>
      <c r="D784" s="13" t="s">
        <v>380</v>
      </c>
      <c r="E784" s="240">
        <v>43060</v>
      </c>
      <c r="F784" s="240">
        <v>43075</v>
      </c>
      <c r="G784" s="13">
        <v>22481.360000000001</v>
      </c>
      <c r="H784" s="13">
        <v>0</v>
      </c>
      <c r="I784" s="13">
        <v>1</v>
      </c>
      <c r="J784" s="12">
        <f t="shared" si="50"/>
        <v>224.81360000000001</v>
      </c>
      <c r="K784" s="13">
        <f t="shared" si="51"/>
        <v>15</v>
      </c>
    </row>
    <row r="785" spans="2:11">
      <c r="F785" s="260" t="s">
        <v>14</v>
      </c>
      <c r="G785" s="247">
        <f>SUM(G776:G784)</f>
        <v>115541.99</v>
      </c>
      <c r="I785" s="260" t="s">
        <v>383</v>
      </c>
      <c r="J785" s="247">
        <f>SUM(J776:J784)</f>
        <v>1155.4199000000001</v>
      </c>
    </row>
    <row r="789" spans="2:11">
      <c r="B789" s="138" t="s">
        <v>403</v>
      </c>
      <c r="C789" s="244" t="s">
        <v>367</v>
      </c>
      <c r="D789" s="243" t="s">
        <v>426</v>
      </c>
    </row>
    <row r="790" spans="2:11">
      <c r="B790" s="138"/>
      <c r="C790" s="244"/>
      <c r="D790" s="243"/>
    </row>
    <row r="791" spans="2:11">
      <c r="B791" s="248" t="s">
        <v>370</v>
      </c>
      <c r="C791" s="248" t="s">
        <v>371</v>
      </c>
      <c r="D791" s="248" t="s">
        <v>372</v>
      </c>
      <c r="E791" s="248" t="s">
        <v>386</v>
      </c>
      <c r="F791" s="248" t="s">
        <v>396</v>
      </c>
      <c r="G791" s="248" t="s">
        <v>14</v>
      </c>
      <c r="H791" s="248" t="s">
        <v>397</v>
      </c>
      <c r="I791" s="248" t="s">
        <v>398</v>
      </c>
      <c r="J791" s="248" t="s">
        <v>399</v>
      </c>
      <c r="K791" s="248" t="s">
        <v>431</v>
      </c>
    </row>
    <row r="792" spans="2:11">
      <c r="B792" s="13">
        <v>173</v>
      </c>
      <c r="C792" s="13" t="s">
        <v>381</v>
      </c>
      <c r="D792" s="13" t="s">
        <v>382</v>
      </c>
      <c r="E792" s="240">
        <v>43011</v>
      </c>
      <c r="F792" s="240">
        <v>43130</v>
      </c>
      <c r="G792" s="13">
        <v>555.41</v>
      </c>
      <c r="H792" s="13">
        <v>0</v>
      </c>
      <c r="I792" s="13">
        <v>1</v>
      </c>
      <c r="J792" s="12">
        <f t="shared" ref="J792:J809" si="52">G792*I792%</f>
        <v>5.5541</v>
      </c>
      <c r="K792" s="13">
        <f t="shared" ref="K792:K809" si="53">F792-E792</f>
        <v>119</v>
      </c>
    </row>
    <row r="793" spans="2:11">
      <c r="B793" s="13">
        <v>505</v>
      </c>
      <c r="C793" s="13" t="s">
        <v>379</v>
      </c>
      <c r="D793" s="13" t="s">
        <v>380</v>
      </c>
      <c r="E793" s="240">
        <v>43041</v>
      </c>
      <c r="F793" s="240">
        <v>43123</v>
      </c>
      <c r="G793" s="13">
        <v>84.15</v>
      </c>
      <c r="H793" s="13">
        <v>0</v>
      </c>
      <c r="I793" s="13">
        <v>1</v>
      </c>
      <c r="J793" s="12">
        <f t="shared" si="52"/>
        <v>0.84150000000000003</v>
      </c>
      <c r="K793" s="13">
        <f t="shared" si="53"/>
        <v>82</v>
      </c>
    </row>
    <row r="794" spans="2:11">
      <c r="B794" s="13">
        <v>675</v>
      </c>
      <c r="C794" s="13" t="s">
        <v>381</v>
      </c>
      <c r="D794" s="13" t="s">
        <v>382</v>
      </c>
      <c r="E794" s="240">
        <v>43056</v>
      </c>
      <c r="F794" s="240">
        <v>43123</v>
      </c>
      <c r="G794" s="13">
        <v>914.75</v>
      </c>
      <c r="H794" s="13">
        <v>0</v>
      </c>
      <c r="I794" s="13">
        <v>1</v>
      </c>
      <c r="J794" s="12">
        <f t="shared" si="52"/>
        <v>9.1475000000000009</v>
      </c>
      <c r="K794" s="13">
        <f t="shared" si="53"/>
        <v>67</v>
      </c>
    </row>
    <row r="795" spans="2:11">
      <c r="B795" s="13">
        <v>438</v>
      </c>
      <c r="C795" s="13" t="s">
        <v>379</v>
      </c>
      <c r="D795" s="13" t="s">
        <v>380</v>
      </c>
      <c r="E795" s="240">
        <v>43073</v>
      </c>
      <c r="F795" s="240">
        <v>43103</v>
      </c>
      <c r="G795" s="13">
        <v>1549.15</v>
      </c>
      <c r="H795" s="13">
        <v>0</v>
      </c>
      <c r="I795" s="13">
        <v>1</v>
      </c>
      <c r="J795" s="12">
        <f t="shared" si="52"/>
        <v>15.491500000000002</v>
      </c>
      <c r="K795" s="13">
        <f t="shared" si="53"/>
        <v>30</v>
      </c>
    </row>
    <row r="796" spans="2:11">
      <c r="B796" s="13">
        <v>892</v>
      </c>
      <c r="C796" s="13" t="s">
        <v>381</v>
      </c>
      <c r="D796" s="13" t="s">
        <v>382</v>
      </c>
      <c r="E796" s="240">
        <v>43081</v>
      </c>
      <c r="F796" s="240">
        <v>43130</v>
      </c>
      <c r="G796" s="13">
        <v>1721.3</v>
      </c>
      <c r="H796" s="13">
        <v>0</v>
      </c>
      <c r="I796" s="13">
        <v>1</v>
      </c>
      <c r="J796" s="12">
        <f t="shared" si="52"/>
        <v>17.213000000000001</v>
      </c>
      <c r="K796" s="13">
        <f t="shared" si="53"/>
        <v>49</v>
      </c>
    </row>
    <row r="797" spans="2:11">
      <c r="B797" s="13">
        <v>893</v>
      </c>
      <c r="C797" s="13" t="s">
        <v>381</v>
      </c>
      <c r="D797" s="13" t="s">
        <v>382</v>
      </c>
      <c r="E797" s="240">
        <v>43081</v>
      </c>
      <c r="F797" s="240">
        <v>43130</v>
      </c>
      <c r="G797" s="13">
        <v>1829.5</v>
      </c>
      <c r="H797" s="13">
        <v>0</v>
      </c>
      <c r="I797" s="13">
        <v>1</v>
      </c>
      <c r="J797" s="12">
        <f t="shared" si="52"/>
        <v>18.295000000000002</v>
      </c>
      <c r="K797" s="13">
        <f t="shared" si="53"/>
        <v>49</v>
      </c>
    </row>
    <row r="798" spans="2:11">
      <c r="B798" s="13">
        <v>450</v>
      </c>
      <c r="C798" s="13" t="s">
        <v>379</v>
      </c>
      <c r="D798" s="13" t="s">
        <v>380</v>
      </c>
      <c r="E798" s="240">
        <v>43098</v>
      </c>
      <c r="F798" s="240">
        <v>43119</v>
      </c>
      <c r="G798" s="13">
        <v>469.97</v>
      </c>
      <c r="H798" s="13">
        <v>0</v>
      </c>
      <c r="I798" s="13">
        <v>1</v>
      </c>
      <c r="J798" s="12">
        <f t="shared" si="52"/>
        <v>4.6997</v>
      </c>
      <c r="K798" s="13">
        <f t="shared" si="53"/>
        <v>21</v>
      </c>
    </row>
    <row r="799" spans="2:11">
      <c r="B799" s="13">
        <v>454</v>
      </c>
      <c r="C799" s="13" t="s">
        <v>379</v>
      </c>
      <c r="D799" s="13" t="s">
        <v>380</v>
      </c>
      <c r="E799" s="240">
        <v>43099</v>
      </c>
      <c r="F799" s="240">
        <v>43123</v>
      </c>
      <c r="G799" s="13">
        <v>5364.41</v>
      </c>
      <c r="H799" s="13">
        <v>0</v>
      </c>
      <c r="I799" s="13">
        <v>1</v>
      </c>
      <c r="J799" s="12">
        <f t="shared" si="52"/>
        <v>53.644100000000002</v>
      </c>
      <c r="K799" s="13">
        <f t="shared" si="53"/>
        <v>24</v>
      </c>
    </row>
    <row r="800" spans="2:11">
      <c r="B800" s="13">
        <v>456</v>
      </c>
      <c r="C800" s="13" t="s">
        <v>379</v>
      </c>
      <c r="D800" s="13" t="s">
        <v>380</v>
      </c>
      <c r="E800" s="240">
        <v>43099</v>
      </c>
      <c r="F800" s="240">
        <v>43123</v>
      </c>
      <c r="G800" s="13">
        <v>25576.27</v>
      </c>
      <c r="H800" s="13">
        <v>0</v>
      </c>
      <c r="I800" s="13">
        <v>1</v>
      </c>
      <c r="J800" s="12">
        <f t="shared" si="52"/>
        <v>255.76270000000002</v>
      </c>
      <c r="K800" s="13">
        <f t="shared" si="53"/>
        <v>24</v>
      </c>
    </row>
    <row r="801" spans="2:11">
      <c r="B801" s="13">
        <v>453</v>
      </c>
      <c r="C801" s="13" t="s">
        <v>379</v>
      </c>
      <c r="D801" s="13" t="s">
        <v>380</v>
      </c>
      <c r="E801" s="240">
        <v>43099</v>
      </c>
      <c r="F801" s="240">
        <v>43123</v>
      </c>
      <c r="G801" s="13">
        <v>16813.560000000001</v>
      </c>
      <c r="H801" s="13">
        <v>0</v>
      </c>
      <c r="I801" s="13">
        <v>1</v>
      </c>
      <c r="J801" s="12">
        <f t="shared" si="52"/>
        <v>168.13560000000001</v>
      </c>
      <c r="K801" s="13">
        <f t="shared" si="53"/>
        <v>24</v>
      </c>
    </row>
    <row r="802" spans="2:11">
      <c r="B802" s="13">
        <v>452</v>
      </c>
      <c r="C802" s="13" t="s">
        <v>379</v>
      </c>
      <c r="D802" s="13" t="s">
        <v>380</v>
      </c>
      <c r="E802" s="240">
        <v>43099</v>
      </c>
      <c r="F802" s="240">
        <v>43119</v>
      </c>
      <c r="G802" s="13">
        <v>1915.25</v>
      </c>
      <c r="H802" s="13">
        <v>0</v>
      </c>
      <c r="I802" s="13">
        <v>1</v>
      </c>
      <c r="J802" s="12">
        <f t="shared" si="52"/>
        <v>19.1525</v>
      </c>
      <c r="K802" s="13">
        <f t="shared" si="53"/>
        <v>20</v>
      </c>
    </row>
    <row r="803" spans="2:11">
      <c r="B803" s="13">
        <v>455</v>
      </c>
      <c r="C803" s="13" t="s">
        <v>379</v>
      </c>
      <c r="D803" s="13" t="s">
        <v>380</v>
      </c>
      <c r="E803" s="240">
        <v>43099</v>
      </c>
      <c r="F803" s="240">
        <v>43123</v>
      </c>
      <c r="G803" s="13">
        <v>3813.56</v>
      </c>
      <c r="H803" s="13">
        <v>0</v>
      </c>
      <c r="I803" s="13">
        <v>1</v>
      </c>
      <c r="J803" s="12">
        <f t="shared" si="52"/>
        <v>38.135600000000004</v>
      </c>
      <c r="K803" s="13">
        <f t="shared" si="53"/>
        <v>24</v>
      </c>
    </row>
    <row r="804" spans="2:11">
      <c r="B804" s="13">
        <v>435</v>
      </c>
      <c r="C804" s="13" t="s">
        <v>379</v>
      </c>
      <c r="D804" s="13" t="s">
        <v>380</v>
      </c>
      <c r="E804" s="240">
        <v>43068</v>
      </c>
      <c r="F804" s="240">
        <v>43103</v>
      </c>
      <c r="G804" s="13">
        <v>25267.75</v>
      </c>
      <c r="H804" s="13">
        <v>0</v>
      </c>
      <c r="I804" s="13">
        <v>1</v>
      </c>
      <c r="J804" s="12">
        <f t="shared" si="52"/>
        <v>252.67750000000001</v>
      </c>
      <c r="K804" s="13">
        <f t="shared" si="53"/>
        <v>35</v>
      </c>
    </row>
    <row r="805" spans="2:11">
      <c r="B805" s="13">
        <v>457</v>
      </c>
      <c r="C805" s="13" t="s">
        <v>379</v>
      </c>
      <c r="D805" s="13" t="s">
        <v>380</v>
      </c>
      <c r="E805" s="240">
        <v>43099</v>
      </c>
      <c r="F805" s="240">
        <v>43123</v>
      </c>
      <c r="G805" s="13">
        <v>18633.900000000001</v>
      </c>
      <c r="H805" s="13">
        <v>0</v>
      </c>
      <c r="I805" s="13">
        <v>1</v>
      </c>
      <c r="J805" s="12">
        <f t="shared" si="52"/>
        <v>186.33900000000003</v>
      </c>
      <c r="K805" s="13">
        <f t="shared" si="53"/>
        <v>24</v>
      </c>
    </row>
    <row r="806" spans="2:11">
      <c r="B806" s="13">
        <v>29981</v>
      </c>
      <c r="C806" s="13" t="s">
        <v>400</v>
      </c>
      <c r="D806" s="13" t="s">
        <v>380</v>
      </c>
      <c r="E806" s="240">
        <v>43104</v>
      </c>
      <c r="F806" s="240">
        <v>43104</v>
      </c>
      <c r="G806" s="13">
        <v>8475</v>
      </c>
      <c r="H806" s="13">
        <v>0</v>
      </c>
      <c r="I806" s="13">
        <v>1</v>
      </c>
      <c r="J806" s="12">
        <f t="shared" si="52"/>
        <v>84.75</v>
      </c>
      <c r="K806" s="13">
        <f t="shared" si="53"/>
        <v>0</v>
      </c>
    </row>
    <row r="807" spans="2:11">
      <c r="B807" s="13">
        <v>30471</v>
      </c>
      <c r="C807" s="13" t="s">
        <v>417</v>
      </c>
      <c r="D807" s="13" t="s">
        <v>380</v>
      </c>
      <c r="E807" s="240">
        <v>43111</v>
      </c>
      <c r="F807" s="240">
        <v>43112</v>
      </c>
      <c r="G807" s="13">
        <v>3787.67</v>
      </c>
      <c r="H807" s="13">
        <v>0</v>
      </c>
      <c r="I807" s="13">
        <v>1</v>
      </c>
      <c r="J807" s="12">
        <f t="shared" si="52"/>
        <v>37.8767</v>
      </c>
      <c r="K807" s="13">
        <f t="shared" si="53"/>
        <v>1</v>
      </c>
    </row>
    <row r="808" spans="2:11">
      <c r="B808" s="13">
        <v>30561</v>
      </c>
      <c r="C808" s="13" t="s">
        <v>417</v>
      </c>
      <c r="D808" s="13" t="s">
        <v>380</v>
      </c>
      <c r="E808" s="240">
        <v>43112</v>
      </c>
      <c r="F808" s="240">
        <v>43112</v>
      </c>
      <c r="G808" s="13">
        <v>5763</v>
      </c>
      <c r="H808" s="13">
        <v>0</v>
      </c>
      <c r="I808" s="13">
        <v>1</v>
      </c>
      <c r="J808" s="12">
        <f t="shared" si="52"/>
        <v>57.63</v>
      </c>
      <c r="K808" s="13">
        <f t="shared" si="53"/>
        <v>0</v>
      </c>
    </row>
    <row r="809" spans="2:11">
      <c r="B809" s="13">
        <v>31667</v>
      </c>
      <c r="C809" s="13" t="s">
        <v>400</v>
      </c>
      <c r="D809" s="13" t="s">
        <v>380</v>
      </c>
      <c r="E809" s="240">
        <v>43127</v>
      </c>
      <c r="F809" s="240">
        <v>43127</v>
      </c>
      <c r="G809" s="13">
        <v>6552.8</v>
      </c>
      <c r="H809" s="13">
        <v>0</v>
      </c>
      <c r="I809" s="13">
        <v>1</v>
      </c>
      <c r="J809" s="12">
        <f t="shared" si="52"/>
        <v>65.528000000000006</v>
      </c>
      <c r="K809" s="13">
        <f t="shared" si="53"/>
        <v>0</v>
      </c>
    </row>
    <row r="810" spans="2:11">
      <c r="F810" s="260" t="s">
        <v>14</v>
      </c>
      <c r="G810" s="247">
        <f>SUM(G792:G809)</f>
        <v>129087.4</v>
      </c>
      <c r="I810" s="260" t="s">
        <v>383</v>
      </c>
      <c r="J810" s="247">
        <f>SUM(J792:J809)</f>
        <v>1290.8740000000003</v>
      </c>
    </row>
    <row r="812" spans="2:11">
      <c r="B812" s="138" t="s">
        <v>403</v>
      </c>
      <c r="C812" s="244" t="s">
        <v>367</v>
      </c>
      <c r="D812" s="243" t="s">
        <v>426</v>
      </c>
    </row>
    <row r="813" spans="2:11">
      <c r="B813" s="138"/>
      <c r="C813" s="244"/>
      <c r="D813" s="243"/>
    </row>
    <row r="814" spans="2:11">
      <c r="B814" s="248" t="s">
        <v>370</v>
      </c>
      <c r="C814" s="248" t="s">
        <v>371</v>
      </c>
      <c r="D814" s="248" t="s">
        <v>372</v>
      </c>
      <c r="E814" s="248" t="s">
        <v>386</v>
      </c>
      <c r="F814" s="248" t="s">
        <v>396</v>
      </c>
      <c r="G814" s="248" t="s">
        <v>14</v>
      </c>
      <c r="H814" s="248" t="s">
        <v>397</v>
      </c>
      <c r="I814" s="248" t="s">
        <v>398</v>
      </c>
      <c r="J814" s="248" t="s">
        <v>399</v>
      </c>
      <c r="K814" s="248" t="s">
        <v>431</v>
      </c>
    </row>
    <row r="815" spans="2:11">
      <c r="B815" s="13">
        <v>173</v>
      </c>
      <c r="C815" s="13" t="s">
        <v>381</v>
      </c>
      <c r="D815" s="13" t="s">
        <v>382</v>
      </c>
      <c r="E815" s="240">
        <v>43011</v>
      </c>
      <c r="F815" s="240">
        <v>43130</v>
      </c>
      <c r="G815" s="13">
        <v>555.41</v>
      </c>
      <c r="H815" s="13">
        <v>0</v>
      </c>
      <c r="I815" s="13">
        <v>1</v>
      </c>
      <c r="J815" s="12">
        <f t="shared" ref="J815:J832" si="54">G815*I815%</f>
        <v>5.5541</v>
      </c>
      <c r="K815" s="13">
        <f t="shared" ref="K815:K832" si="55">F815-E815</f>
        <v>119</v>
      </c>
    </row>
    <row r="816" spans="2:11">
      <c r="B816" s="253">
        <v>505</v>
      </c>
      <c r="C816" s="253" t="s">
        <v>379</v>
      </c>
      <c r="D816" s="253" t="s">
        <v>380</v>
      </c>
      <c r="E816" s="254">
        <v>43041</v>
      </c>
      <c r="F816" s="254">
        <v>43123</v>
      </c>
      <c r="G816" s="253">
        <v>84.15</v>
      </c>
      <c r="H816" s="253">
        <v>0</v>
      </c>
      <c r="I816" s="253">
        <v>1</v>
      </c>
      <c r="J816" s="255">
        <f t="shared" si="54"/>
        <v>0.84150000000000003</v>
      </c>
      <c r="K816" s="253">
        <f t="shared" si="55"/>
        <v>82</v>
      </c>
    </row>
    <row r="817" spans="2:11">
      <c r="B817" s="13">
        <v>675</v>
      </c>
      <c r="C817" s="13" t="s">
        <v>381</v>
      </c>
      <c r="D817" s="13" t="s">
        <v>382</v>
      </c>
      <c r="E817" s="240">
        <v>43056</v>
      </c>
      <c r="F817" s="240">
        <v>43123</v>
      </c>
      <c r="G817" s="13">
        <v>914.75</v>
      </c>
      <c r="H817" s="13">
        <v>0</v>
      </c>
      <c r="I817" s="13">
        <v>1</v>
      </c>
      <c r="J817" s="12">
        <f t="shared" si="54"/>
        <v>9.1475000000000009</v>
      </c>
      <c r="K817" s="13">
        <f t="shared" si="55"/>
        <v>67</v>
      </c>
    </row>
    <row r="818" spans="2:11">
      <c r="B818" s="253">
        <v>438</v>
      </c>
      <c r="C818" s="253" t="s">
        <v>379</v>
      </c>
      <c r="D818" s="253" t="s">
        <v>380</v>
      </c>
      <c r="E818" s="254">
        <v>43073</v>
      </c>
      <c r="F818" s="254">
        <v>43103</v>
      </c>
      <c r="G818" s="253">
        <v>1549.15</v>
      </c>
      <c r="H818" s="253">
        <v>0</v>
      </c>
      <c r="I818" s="253">
        <v>1</v>
      </c>
      <c r="J818" s="255">
        <f t="shared" si="54"/>
        <v>15.491500000000002</v>
      </c>
      <c r="K818" s="253">
        <f t="shared" si="55"/>
        <v>30</v>
      </c>
    </row>
    <row r="819" spans="2:11">
      <c r="B819" s="13">
        <v>892</v>
      </c>
      <c r="C819" s="13" t="s">
        <v>381</v>
      </c>
      <c r="D819" s="13" t="s">
        <v>382</v>
      </c>
      <c r="E819" s="240">
        <v>43081</v>
      </c>
      <c r="F819" s="240">
        <v>43130</v>
      </c>
      <c r="G819" s="13">
        <v>1721.3</v>
      </c>
      <c r="H819" s="13">
        <v>0</v>
      </c>
      <c r="I819" s="13">
        <v>1</v>
      </c>
      <c r="J819" s="12">
        <f t="shared" si="54"/>
        <v>17.213000000000001</v>
      </c>
      <c r="K819" s="13">
        <f t="shared" si="55"/>
        <v>49</v>
      </c>
    </row>
    <row r="820" spans="2:11">
      <c r="B820" s="13">
        <v>893</v>
      </c>
      <c r="C820" s="13" t="s">
        <v>381</v>
      </c>
      <c r="D820" s="13" t="s">
        <v>382</v>
      </c>
      <c r="E820" s="240">
        <v>43081</v>
      </c>
      <c r="F820" s="240">
        <v>43130</v>
      </c>
      <c r="G820" s="13">
        <v>1829.5</v>
      </c>
      <c r="H820" s="13">
        <v>0</v>
      </c>
      <c r="I820" s="13">
        <v>1</v>
      </c>
      <c r="J820" s="12">
        <f t="shared" si="54"/>
        <v>18.295000000000002</v>
      </c>
      <c r="K820" s="13">
        <f t="shared" si="55"/>
        <v>49</v>
      </c>
    </row>
    <row r="821" spans="2:11">
      <c r="B821" s="253">
        <v>450</v>
      </c>
      <c r="C821" s="253" t="s">
        <v>379</v>
      </c>
      <c r="D821" s="253" t="s">
        <v>380</v>
      </c>
      <c r="E821" s="254">
        <v>43098</v>
      </c>
      <c r="F821" s="254">
        <v>43119</v>
      </c>
      <c r="G821" s="253">
        <v>469.97</v>
      </c>
      <c r="H821" s="253">
        <v>0</v>
      </c>
      <c r="I821" s="253">
        <v>1</v>
      </c>
      <c r="J821" s="255">
        <f t="shared" si="54"/>
        <v>4.6997</v>
      </c>
      <c r="K821" s="253">
        <f t="shared" si="55"/>
        <v>21</v>
      </c>
    </row>
    <row r="822" spans="2:11">
      <c r="B822" s="253">
        <v>454</v>
      </c>
      <c r="C822" s="253" t="s">
        <v>379</v>
      </c>
      <c r="D822" s="253" t="s">
        <v>380</v>
      </c>
      <c r="E822" s="254">
        <v>43099</v>
      </c>
      <c r="F822" s="254">
        <v>43123</v>
      </c>
      <c r="G822" s="253">
        <v>5364.41</v>
      </c>
      <c r="H822" s="253">
        <v>0</v>
      </c>
      <c r="I822" s="253">
        <v>1</v>
      </c>
      <c r="J822" s="255">
        <f t="shared" si="54"/>
        <v>53.644100000000002</v>
      </c>
      <c r="K822" s="253">
        <f t="shared" si="55"/>
        <v>24</v>
      </c>
    </row>
    <row r="823" spans="2:11">
      <c r="B823" s="253">
        <v>456</v>
      </c>
      <c r="C823" s="253" t="s">
        <v>379</v>
      </c>
      <c r="D823" s="253" t="s">
        <v>380</v>
      </c>
      <c r="E823" s="254">
        <v>43099</v>
      </c>
      <c r="F823" s="254">
        <v>43123</v>
      </c>
      <c r="G823" s="253">
        <v>25576.27</v>
      </c>
      <c r="H823" s="253">
        <v>0</v>
      </c>
      <c r="I823" s="253">
        <v>1</v>
      </c>
      <c r="J823" s="255">
        <f t="shared" si="54"/>
        <v>255.76270000000002</v>
      </c>
      <c r="K823" s="253">
        <f t="shared" si="55"/>
        <v>24</v>
      </c>
    </row>
    <row r="824" spans="2:11">
      <c r="B824" s="253">
        <v>453</v>
      </c>
      <c r="C824" s="253" t="s">
        <v>379</v>
      </c>
      <c r="D824" s="253" t="s">
        <v>380</v>
      </c>
      <c r="E824" s="254">
        <v>43099</v>
      </c>
      <c r="F824" s="254">
        <v>43123</v>
      </c>
      <c r="G824" s="253">
        <v>16813.560000000001</v>
      </c>
      <c r="H824" s="253">
        <v>0</v>
      </c>
      <c r="I824" s="253">
        <v>1</v>
      </c>
      <c r="J824" s="255">
        <f t="shared" si="54"/>
        <v>168.13560000000001</v>
      </c>
      <c r="K824" s="253">
        <f t="shared" si="55"/>
        <v>24</v>
      </c>
    </row>
    <row r="825" spans="2:11">
      <c r="B825" s="253">
        <v>452</v>
      </c>
      <c r="C825" s="253" t="s">
        <v>379</v>
      </c>
      <c r="D825" s="253" t="s">
        <v>380</v>
      </c>
      <c r="E825" s="254">
        <v>43099</v>
      </c>
      <c r="F825" s="254">
        <v>43119</v>
      </c>
      <c r="G825" s="253">
        <v>1915.25</v>
      </c>
      <c r="H825" s="253">
        <v>0</v>
      </c>
      <c r="I825" s="253">
        <v>1</v>
      </c>
      <c r="J825" s="255">
        <f t="shared" si="54"/>
        <v>19.1525</v>
      </c>
      <c r="K825" s="253">
        <f t="shared" si="55"/>
        <v>20</v>
      </c>
    </row>
    <row r="826" spans="2:11">
      <c r="B826" s="253">
        <v>455</v>
      </c>
      <c r="C826" s="253" t="s">
        <v>379</v>
      </c>
      <c r="D826" s="253" t="s">
        <v>380</v>
      </c>
      <c r="E826" s="254">
        <v>43099</v>
      </c>
      <c r="F826" s="254">
        <v>43123</v>
      </c>
      <c r="G826" s="253">
        <v>3813.56</v>
      </c>
      <c r="H826" s="253">
        <v>0</v>
      </c>
      <c r="I826" s="253">
        <v>1</v>
      </c>
      <c r="J826" s="255">
        <f t="shared" si="54"/>
        <v>38.135600000000004</v>
      </c>
      <c r="K826" s="253">
        <f t="shared" si="55"/>
        <v>24</v>
      </c>
    </row>
    <row r="827" spans="2:11">
      <c r="B827" s="253">
        <v>435</v>
      </c>
      <c r="C827" s="253" t="s">
        <v>379</v>
      </c>
      <c r="D827" s="253" t="s">
        <v>380</v>
      </c>
      <c r="E827" s="254">
        <v>43068</v>
      </c>
      <c r="F827" s="254">
        <v>43103</v>
      </c>
      <c r="G827" s="253">
        <v>25267.75</v>
      </c>
      <c r="H827" s="253">
        <v>0</v>
      </c>
      <c r="I827" s="253">
        <v>1</v>
      </c>
      <c r="J827" s="255">
        <f t="shared" si="54"/>
        <v>252.67750000000001</v>
      </c>
      <c r="K827" s="253">
        <f t="shared" si="55"/>
        <v>35</v>
      </c>
    </row>
    <row r="828" spans="2:11">
      <c r="B828" s="253">
        <v>457</v>
      </c>
      <c r="C828" s="253" t="s">
        <v>379</v>
      </c>
      <c r="D828" s="253" t="s">
        <v>380</v>
      </c>
      <c r="E828" s="254">
        <v>43099</v>
      </c>
      <c r="F828" s="254">
        <v>43123</v>
      </c>
      <c r="G828" s="253">
        <v>18633.900000000001</v>
      </c>
      <c r="H828" s="253">
        <v>0</v>
      </c>
      <c r="I828" s="253">
        <v>1</v>
      </c>
      <c r="J828" s="255">
        <f t="shared" si="54"/>
        <v>186.33900000000003</v>
      </c>
      <c r="K828" s="253">
        <f t="shared" si="55"/>
        <v>24</v>
      </c>
    </row>
    <row r="829" spans="2:11">
      <c r="B829" s="13">
        <v>29981</v>
      </c>
      <c r="C829" s="13" t="s">
        <v>400</v>
      </c>
      <c r="D829" s="13" t="s">
        <v>380</v>
      </c>
      <c r="E829" s="240">
        <v>43104</v>
      </c>
      <c r="F829" s="240">
        <v>43104</v>
      </c>
      <c r="G829" s="13">
        <v>8475</v>
      </c>
      <c r="H829" s="13">
        <v>0</v>
      </c>
      <c r="I829" s="13">
        <v>1</v>
      </c>
      <c r="J829" s="12">
        <f t="shared" si="54"/>
        <v>84.75</v>
      </c>
      <c r="K829" s="13">
        <f t="shared" si="55"/>
        <v>0</v>
      </c>
    </row>
    <row r="830" spans="2:11">
      <c r="B830" s="13">
        <v>30471</v>
      </c>
      <c r="C830" s="13" t="s">
        <v>417</v>
      </c>
      <c r="D830" s="13" t="s">
        <v>380</v>
      </c>
      <c r="E830" s="240">
        <v>43111</v>
      </c>
      <c r="F830" s="240">
        <v>43112</v>
      </c>
      <c r="G830" s="13">
        <v>3787.67</v>
      </c>
      <c r="H830" s="13">
        <v>0</v>
      </c>
      <c r="I830" s="13">
        <v>1</v>
      </c>
      <c r="J830" s="12">
        <f t="shared" si="54"/>
        <v>37.8767</v>
      </c>
      <c r="K830" s="13">
        <f t="shared" si="55"/>
        <v>1</v>
      </c>
    </row>
    <row r="831" spans="2:11">
      <c r="B831" s="13">
        <v>30561</v>
      </c>
      <c r="C831" s="13" t="s">
        <v>417</v>
      </c>
      <c r="D831" s="13" t="s">
        <v>380</v>
      </c>
      <c r="E831" s="240">
        <v>43112</v>
      </c>
      <c r="F831" s="240">
        <v>43112</v>
      </c>
      <c r="G831" s="13">
        <v>5763</v>
      </c>
      <c r="H831" s="13">
        <v>0</v>
      </c>
      <c r="I831" s="13">
        <v>1</v>
      </c>
      <c r="J831" s="12">
        <f t="shared" si="54"/>
        <v>57.63</v>
      </c>
      <c r="K831" s="13">
        <f t="shared" si="55"/>
        <v>0</v>
      </c>
    </row>
    <row r="832" spans="2:11">
      <c r="B832" s="13">
        <v>31667</v>
      </c>
      <c r="C832" s="13" t="s">
        <v>400</v>
      </c>
      <c r="D832" s="13" t="s">
        <v>380</v>
      </c>
      <c r="E832" s="240">
        <v>43127</v>
      </c>
      <c r="F832" s="240">
        <v>43127</v>
      </c>
      <c r="G832" s="13">
        <v>6552.8</v>
      </c>
      <c r="H832" s="13">
        <v>0</v>
      </c>
      <c r="I832" s="13">
        <v>1</v>
      </c>
      <c r="J832" s="12">
        <f t="shared" si="54"/>
        <v>65.528000000000006</v>
      </c>
      <c r="K832" s="13">
        <f t="shared" si="55"/>
        <v>0</v>
      </c>
    </row>
    <row r="833" spans="2:11">
      <c r="F833" s="260" t="s">
        <v>14</v>
      </c>
      <c r="G833" s="247">
        <f>SUM(G815:G832)</f>
        <v>129087.4</v>
      </c>
      <c r="I833" s="260" t="s">
        <v>383</v>
      </c>
      <c r="J833" s="247">
        <f>SUM(J815:J832)</f>
        <v>1290.8740000000003</v>
      </c>
    </row>
    <row r="836" spans="2:11">
      <c r="B836" s="138" t="s">
        <v>403</v>
      </c>
      <c r="C836" s="244" t="s">
        <v>367</v>
      </c>
      <c r="D836" s="243" t="s">
        <v>426</v>
      </c>
    </row>
    <row r="837" spans="2:11">
      <c r="B837" s="138"/>
      <c r="C837" s="244"/>
      <c r="D837" s="243"/>
    </row>
    <row r="838" spans="2:11">
      <c r="B838" s="248" t="s">
        <v>370</v>
      </c>
      <c r="C838" s="248" t="s">
        <v>371</v>
      </c>
      <c r="D838" s="248" t="s">
        <v>372</v>
      </c>
      <c r="E838" s="248" t="s">
        <v>386</v>
      </c>
      <c r="F838" s="248" t="s">
        <v>396</v>
      </c>
      <c r="G838" s="248" t="s">
        <v>14</v>
      </c>
      <c r="H838" s="248" t="s">
        <v>397</v>
      </c>
      <c r="I838" s="248" t="s">
        <v>398</v>
      </c>
      <c r="J838" s="248" t="s">
        <v>399</v>
      </c>
      <c r="K838" s="248" t="s">
        <v>431</v>
      </c>
    </row>
    <row r="839" spans="2:11">
      <c r="B839" s="13">
        <v>438</v>
      </c>
      <c r="C839" s="13" t="s">
        <v>379</v>
      </c>
      <c r="D839" s="13" t="s">
        <v>380</v>
      </c>
      <c r="E839" s="240">
        <v>43073</v>
      </c>
      <c r="F839" s="240">
        <v>43103</v>
      </c>
      <c r="G839" s="13">
        <v>1549.15</v>
      </c>
      <c r="H839" s="13">
        <v>0</v>
      </c>
      <c r="I839" s="13">
        <v>1</v>
      </c>
      <c r="J839" s="12">
        <f t="shared" ref="J839:J851" si="56">G839*I839%</f>
        <v>15.491500000000002</v>
      </c>
      <c r="K839" s="13">
        <f t="shared" ref="K839:K851" si="57">F839-E839</f>
        <v>30</v>
      </c>
    </row>
    <row r="840" spans="2:11">
      <c r="B840" s="13">
        <v>450</v>
      </c>
      <c r="C840" s="13" t="s">
        <v>379</v>
      </c>
      <c r="D840" s="13" t="s">
        <v>380</v>
      </c>
      <c r="E840" s="240">
        <v>43098</v>
      </c>
      <c r="F840" s="240">
        <v>43119</v>
      </c>
      <c r="G840" s="13">
        <v>469.97</v>
      </c>
      <c r="H840" s="13">
        <v>0</v>
      </c>
      <c r="I840" s="13">
        <v>1</v>
      </c>
      <c r="J840" s="12">
        <f t="shared" si="56"/>
        <v>4.6997</v>
      </c>
      <c r="K840" s="13">
        <f t="shared" si="57"/>
        <v>21</v>
      </c>
    </row>
    <row r="841" spans="2:11">
      <c r="B841" s="13">
        <v>454</v>
      </c>
      <c r="C841" s="13" t="s">
        <v>379</v>
      </c>
      <c r="D841" s="13" t="s">
        <v>380</v>
      </c>
      <c r="E841" s="240">
        <v>43099</v>
      </c>
      <c r="F841" s="240">
        <v>43123</v>
      </c>
      <c r="G841" s="13">
        <v>5364.41</v>
      </c>
      <c r="H841" s="13">
        <v>0</v>
      </c>
      <c r="I841" s="13">
        <v>1</v>
      </c>
      <c r="J841" s="12">
        <f t="shared" si="56"/>
        <v>53.644100000000002</v>
      </c>
      <c r="K841" s="13">
        <f t="shared" si="57"/>
        <v>24</v>
      </c>
    </row>
    <row r="842" spans="2:11">
      <c r="B842" s="13">
        <v>456</v>
      </c>
      <c r="C842" s="13" t="s">
        <v>379</v>
      </c>
      <c r="D842" s="13" t="s">
        <v>380</v>
      </c>
      <c r="E842" s="240">
        <v>43099</v>
      </c>
      <c r="F842" s="240">
        <v>43123</v>
      </c>
      <c r="G842" s="13">
        <v>25576.27</v>
      </c>
      <c r="H842" s="13">
        <v>0</v>
      </c>
      <c r="I842" s="13">
        <v>1</v>
      </c>
      <c r="J842" s="12">
        <f t="shared" si="56"/>
        <v>255.76270000000002</v>
      </c>
      <c r="K842" s="13">
        <f t="shared" si="57"/>
        <v>24</v>
      </c>
    </row>
    <row r="843" spans="2:11">
      <c r="B843" s="13">
        <v>453</v>
      </c>
      <c r="C843" s="13" t="s">
        <v>379</v>
      </c>
      <c r="D843" s="13" t="s">
        <v>380</v>
      </c>
      <c r="E843" s="240">
        <v>43099</v>
      </c>
      <c r="F843" s="240">
        <v>43123</v>
      </c>
      <c r="G843" s="13">
        <v>16813.560000000001</v>
      </c>
      <c r="H843" s="13">
        <v>0</v>
      </c>
      <c r="I843" s="13">
        <v>1</v>
      </c>
      <c r="J843" s="12">
        <f t="shared" si="56"/>
        <v>168.13560000000001</v>
      </c>
      <c r="K843" s="13">
        <f t="shared" si="57"/>
        <v>24</v>
      </c>
    </row>
    <row r="844" spans="2:11">
      <c r="B844" s="13">
        <v>452</v>
      </c>
      <c r="C844" s="13" t="s">
        <v>379</v>
      </c>
      <c r="D844" s="13" t="s">
        <v>380</v>
      </c>
      <c r="E844" s="240">
        <v>43099</v>
      </c>
      <c r="F844" s="240">
        <v>43119</v>
      </c>
      <c r="G844" s="13">
        <v>1915.25</v>
      </c>
      <c r="H844" s="13">
        <v>0</v>
      </c>
      <c r="I844" s="13">
        <v>1</v>
      </c>
      <c r="J844" s="12">
        <f t="shared" si="56"/>
        <v>19.1525</v>
      </c>
      <c r="K844" s="13">
        <f t="shared" si="57"/>
        <v>20</v>
      </c>
    </row>
    <row r="845" spans="2:11">
      <c r="B845" s="13">
        <v>455</v>
      </c>
      <c r="C845" s="13" t="s">
        <v>379</v>
      </c>
      <c r="D845" s="13" t="s">
        <v>380</v>
      </c>
      <c r="E845" s="240">
        <v>43099</v>
      </c>
      <c r="F845" s="240">
        <v>43123</v>
      </c>
      <c r="G845" s="13">
        <v>3813.56</v>
      </c>
      <c r="H845" s="13">
        <v>0</v>
      </c>
      <c r="I845" s="13">
        <v>1</v>
      </c>
      <c r="J845" s="12">
        <f t="shared" si="56"/>
        <v>38.135600000000004</v>
      </c>
      <c r="K845" s="13">
        <f t="shared" si="57"/>
        <v>24</v>
      </c>
    </row>
    <row r="846" spans="2:11">
      <c r="B846" s="13">
        <v>435</v>
      </c>
      <c r="C846" s="13" t="s">
        <v>379</v>
      </c>
      <c r="D846" s="13" t="s">
        <v>380</v>
      </c>
      <c r="E846" s="240">
        <v>43068</v>
      </c>
      <c r="F846" s="240">
        <v>43103</v>
      </c>
      <c r="G846" s="13">
        <v>25267.75</v>
      </c>
      <c r="H846" s="13">
        <v>0</v>
      </c>
      <c r="I846" s="13">
        <v>1</v>
      </c>
      <c r="J846" s="12">
        <f t="shared" si="56"/>
        <v>252.67750000000001</v>
      </c>
      <c r="K846" s="13">
        <f t="shared" si="57"/>
        <v>35</v>
      </c>
    </row>
    <row r="847" spans="2:11">
      <c r="B847" s="13">
        <v>457</v>
      </c>
      <c r="C847" s="13" t="s">
        <v>379</v>
      </c>
      <c r="D847" s="13" t="s">
        <v>380</v>
      </c>
      <c r="E847" s="240">
        <v>43099</v>
      </c>
      <c r="F847" s="240">
        <v>43123</v>
      </c>
      <c r="G847" s="13">
        <v>18633.900000000001</v>
      </c>
      <c r="H847" s="13">
        <v>0</v>
      </c>
      <c r="I847" s="13">
        <v>1</v>
      </c>
      <c r="J847" s="12">
        <f t="shared" si="56"/>
        <v>186.33900000000003</v>
      </c>
      <c r="K847" s="13">
        <f t="shared" si="57"/>
        <v>24</v>
      </c>
    </row>
    <row r="848" spans="2:11">
      <c r="B848" s="13">
        <v>29981</v>
      </c>
      <c r="C848" s="13" t="s">
        <v>400</v>
      </c>
      <c r="D848" s="13" t="s">
        <v>380</v>
      </c>
      <c r="E848" s="240">
        <v>43104</v>
      </c>
      <c r="F848" s="240">
        <v>43104</v>
      </c>
      <c r="G848" s="13">
        <v>8475</v>
      </c>
      <c r="H848" s="13">
        <v>0</v>
      </c>
      <c r="I848" s="13">
        <v>1</v>
      </c>
      <c r="J848" s="12">
        <f t="shared" si="56"/>
        <v>84.75</v>
      </c>
      <c r="K848" s="13">
        <f t="shared" si="57"/>
        <v>0</v>
      </c>
    </row>
    <row r="849" spans="2:11">
      <c r="B849" s="13">
        <v>30471</v>
      </c>
      <c r="C849" s="13" t="s">
        <v>417</v>
      </c>
      <c r="D849" s="13" t="s">
        <v>380</v>
      </c>
      <c r="E849" s="240">
        <v>43111</v>
      </c>
      <c r="F849" s="240">
        <v>43112</v>
      </c>
      <c r="G849" s="13">
        <v>3787.67</v>
      </c>
      <c r="H849" s="13">
        <v>0</v>
      </c>
      <c r="I849" s="13">
        <v>1</v>
      </c>
      <c r="J849" s="12">
        <f t="shared" si="56"/>
        <v>37.8767</v>
      </c>
      <c r="K849" s="13">
        <f t="shared" si="57"/>
        <v>1</v>
      </c>
    </row>
    <row r="850" spans="2:11">
      <c r="B850" s="13">
        <v>30561</v>
      </c>
      <c r="C850" s="13" t="s">
        <v>417</v>
      </c>
      <c r="D850" s="13" t="s">
        <v>380</v>
      </c>
      <c r="E850" s="240">
        <v>43112</v>
      </c>
      <c r="F850" s="240">
        <v>43112</v>
      </c>
      <c r="G850" s="13">
        <v>5763</v>
      </c>
      <c r="H850" s="13">
        <v>0</v>
      </c>
      <c r="I850" s="13">
        <v>1</v>
      </c>
      <c r="J850" s="12">
        <f t="shared" si="56"/>
        <v>57.63</v>
      </c>
      <c r="K850" s="13">
        <f t="shared" si="57"/>
        <v>0</v>
      </c>
    </row>
    <row r="851" spans="2:11">
      <c r="B851" s="13">
        <v>31667</v>
      </c>
      <c r="C851" s="13" t="s">
        <v>400</v>
      </c>
      <c r="D851" s="13" t="s">
        <v>380</v>
      </c>
      <c r="E851" s="240">
        <v>43127</v>
      </c>
      <c r="F851" s="240">
        <v>43127</v>
      </c>
      <c r="G851" s="13">
        <v>6552.8</v>
      </c>
      <c r="H851" s="13">
        <v>0</v>
      </c>
      <c r="I851" s="13">
        <v>1</v>
      </c>
      <c r="J851" s="12">
        <f t="shared" si="56"/>
        <v>65.528000000000006</v>
      </c>
      <c r="K851" s="13">
        <f t="shared" si="57"/>
        <v>0</v>
      </c>
    </row>
    <row r="852" spans="2:11">
      <c r="F852" s="260" t="s">
        <v>14</v>
      </c>
      <c r="G852" s="247">
        <f>SUM(G839:G851)</f>
        <v>123982.29000000001</v>
      </c>
      <c r="I852" s="260" t="s">
        <v>383</v>
      </c>
      <c r="J852" s="247">
        <f>SUM(J839:J851)</f>
        <v>1239.8229000000001</v>
      </c>
    </row>
    <row r="870" spans="1:10">
      <c r="A870" s="138" t="s">
        <v>403</v>
      </c>
      <c r="B870" s="244" t="s">
        <v>367</v>
      </c>
      <c r="C870" s="243" t="s">
        <v>436</v>
      </c>
    </row>
    <row r="872" spans="1:10">
      <c r="A872" s="248" t="s">
        <v>370</v>
      </c>
      <c r="B872" s="248" t="s">
        <v>371</v>
      </c>
      <c r="C872" s="248" t="s">
        <v>372</v>
      </c>
      <c r="D872" s="248" t="s">
        <v>386</v>
      </c>
      <c r="E872" s="248" t="s">
        <v>396</v>
      </c>
      <c r="F872" s="248" t="s">
        <v>14</v>
      </c>
      <c r="G872" s="248" t="s">
        <v>397</v>
      </c>
      <c r="H872" s="248" t="s">
        <v>398</v>
      </c>
      <c r="I872" s="248" t="s">
        <v>399</v>
      </c>
      <c r="J872" s="248" t="s">
        <v>431</v>
      </c>
    </row>
    <row r="873" spans="1:10">
      <c r="A873" s="13">
        <v>2536</v>
      </c>
      <c r="B873" s="261" t="s">
        <v>379</v>
      </c>
      <c r="C873" s="261" t="s">
        <v>380</v>
      </c>
      <c r="D873" s="240">
        <v>43265</v>
      </c>
      <c r="E873" s="240">
        <v>43294</v>
      </c>
      <c r="F873" s="13">
        <v>4487.28</v>
      </c>
      <c r="G873" s="13">
        <v>0</v>
      </c>
      <c r="H873" s="13">
        <v>1</v>
      </c>
      <c r="I873" s="13">
        <f t="shared" ref="I873:I886" si="58">F873*H873%</f>
        <v>44.872799999999998</v>
      </c>
      <c r="J873" s="13">
        <f t="shared" ref="J873:J886" si="59">E873-D873</f>
        <v>29</v>
      </c>
    </row>
    <row r="874" spans="1:10">
      <c r="A874" s="13">
        <v>598</v>
      </c>
      <c r="B874" s="261" t="s">
        <v>379</v>
      </c>
      <c r="C874" s="261" t="s">
        <v>380</v>
      </c>
      <c r="D874" s="240">
        <v>43274</v>
      </c>
      <c r="E874" s="240">
        <v>43308</v>
      </c>
      <c r="F874" s="13">
        <v>31405.5</v>
      </c>
      <c r="G874" s="13">
        <v>0</v>
      </c>
      <c r="H874" s="13">
        <v>1</v>
      </c>
      <c r="I874" s="13">
        <f t="shared" si="58"/>
        <v>314.05500000000001</v>
      </c>
      <c r="J874" s="13">
        <f t="shared" si="59"/>
        <v>34</v>
      </c>
    </row>
    <row r="875" spans="1:10">
      <c r="A875" s="13">
        <v>619</v>
      </c>
      <c r="B875" s="261" t="s">
        <v>379</v>
      </c>
      <c r="C875" s="261" t="s">
        <v>380</v>
      </c>
      <c r="D875" s="240">
        <v>43291</v>
      </c>
      <c r="E875" s="240">
        <v>43308</v>
      </c>
      <c r="F875" s="13">
        <v>31150</v>
      </c>
      <c r="G875" s="13">
        <v>0</v>
      </c>
      <c r="H875" s="13">
        <v>1</v>
      </c>
      <c r="I875" s="13">
        <f t="shared" si="58"/>
        <v>311.5</v>
      </c>
      <c r="J875" s="13">
        <f t="shared" si="59"/>
        <v>17</v>
      </c>
    </row>
    <row r="876" spans="1:10">
      <c r="A876" s="13">
        <v>1165</v>
      </c>
      <c r="B876" s="261" t="s">
        <v>381</v>
      </c>
      <c r="C876" s="261" t="s">
        <v>382</v>
      </c>
      <c r="D876" s="240">
        <v>43105</v>
      </c>
      <c r="E876" s="240">
        <v>43294</v>
      </c>
      <c r="F876" s="13">
        <v>623.9</v>
      </c>
      <c r="G876" s="13">
        <v>0</v>
      </c>
      <c r="H876" s="13">
        <v>1</v>
      </c>
      <c r="I876" s="13">
        <f t="shared" si="58"/>
        <v>6.2389999999999999</v>
      </c>
      <c r="J876" s="13">
        <f t="shared" si="59"/>
        <v>189</v>
      </c>
    </row>
    <row r="877" spans="1:10">
      <c r="A877" s="13">
        <v>1234</v>
      </c>
      <c r="B877" s="261" t="s">
        <v>381</v>
      </c>
      <c r="C877" s="261" t="s">
        <v>382</v>
      </c>
      <c r="D877" s="240">
        <v>43120</v>
      </c>
      <c r="E877" s="240">
        <v>43294</v>
      </c>
      <c r="F877" s="13">
        <v>2408.46</v>
      </c>
      <c r="G877" s="13">
        <v>0</v>
      </c>
      <c r="H877" s="13">
        <v>1</v>
      </c>
      <c r="I877" s="13">
        <f t="shared" si="58"/>
        <v>24.084600000000002</v>
      </c>
      <c r="J877" s="13">
        <f t="shared" si="59"/>
        <v>174</v>
      </c>
    </row>
    <row r="878" spans="1:10">
      <c r="A878" s="13">
        <v>1235</v>
      </c>
      <c r="B878" s="261" t="s">
        <v>381</v>
      </c>
      <c r="C878" s="261" t="s">
        <v>382</v>
      </c>
      <c r="D878" s="240">
        <v>43120</v>
      </c>
      <c r="E878" s="240">
        <v>43294</v>
      </c>
      <c r="F878" s="13">
        <v>655.38</v>
      </c>
      <c r="G878" s="13">
        <v>0</v>
      </c>
      <c r="H878" s="13">
        <v>1</v>
      </c>
      <c r="I878" s="13">
        <f t="shared" si="58"/>
        <v>6.5537999999999998</v>
      </c>
      <c r="J878" s="13">
        <f t="shared" si="59"/>
        <v>174</v>
      </c>
    </row>
    <row r="879" spans="1:10">
      <c r="A879" s="13">
        <v>1343</v>
      </c>
      <c r="B879" s="261" t="s">
        <v>381</v>
      </c>
      <c r="C879" s="261" t="s">
        <v>382</v>
      </c>
      <c r="D879" s="240">
        <v>43143</v>
      </c>
      <c r="E879" s="240">
        <v>43294</v>
      </c>
      <c r="F879" s="13">
        <v>505.29</v>
      </c>
      <c r="G879" s="13">
        <v>0</v>
      </c>
      <c r="H879" s="13">
        <v>1</v>
      </c>
      <c r="I879" s="13">
        <f t="shared" si="58"/>
        <v>5.0529000000000002</v>
      </c>
      <c r="J879" s="13">
        <f t="shared" si="59"/>
        <v>151</v>
      </c>
    </row>
    <row r="880" spans="1:10">
      <c r="A880" s="13">
        <v>1355</v>
      </c>
      <c r="B880" s="261" t="s">
        <v>381</v>
      </c>
      <c r="C880" s="261" t="s">
        <v>382</v>
      </c>
      <c r="D880" s="240">
        <v>43143</v>
      </c>
      <c r="E880" s="240">
        <v>43294</v>
      </c>
      <c r="F880" s="13">
        <v>1079.4100000000001</v>
      </c>
      <c r="G880" s="13">
        <v>0</v>
      </c>
      <c r="H880" s="13">
        <v>1</v>
      </c>
      <c r="I880" s="13">
        <f t="shared" si="58"/>
        <v>10.7941</v>
      </c>
      <c r="J880" s="13">
        <f t="shared" si="59"/>
        <v>151</v>
      </c>
    </row>
    <row r="881" spans="1:10">
      <c r="A881" s="13">
        <v>2404</v>
      </c>
      <c r="B881" s="261" t="s">
        <v>381</v>
      </c>
      <c r="C881" s="261" t="s">
        <v>382</v>
      </c>
      <c r="D881" s="240">
        <v>43250</v>
      </c>
      <c r="E881" s="240">
        <v>43294</v>
      </c>
      <c r="F881" s="13">
        <v>1817.44</v>
      </c>
      <c r="G881" s="13">
        <v>0</v>
      </c>
      <c r="H881" s="13">
        <v>1</v>
      </c>
      <c r="I881" s="13">
        <f t="shared" si="58"/>
        <v>18.174400000000002</v>
      </c>
      <c r="J881" s="13">
        <f t="shared" si="59"/>
        <v>44</v>
      </c>
    </row>
    <row r="882" spans="1:10">
      <c r="A882" s="13">
        <v>2443</v>
      </c>
      <c r="B882" s="261" t="s">
        <v>381</v>
      </c>
      <c r="C882" s="261" t="s">
        <v>382</v>
      </c>
      <c r="D882" s="240">
        <v>43250</v>
      </c>
      <c r="E882" s="240">
        <v>43294</v>
      </c>
      <c r="F882" s="13">
        <v>1351.78</v>
      </c>
      <c r="G882" s="13">
        <v>0</v>
      </c>
      <c r="H882" s="13">
        <v>1</v>
      </c>
      <c r="I882" s="13">
        <f t="shared" si="58"/>
        <v>13.517799999999999</v>
      </c>
      <c r="J882" s="13">
        <f t="shared" si="59"/>
        <v>44</v>
      </c>
    </row>
    <row r="883" spans="1:10">
      <c r="A883" s="13">
        <v>2630</v>
      </c>
      <c r="B883" s="261" t="s">
        <v>381</v>
      </c>
      <c r="C883" s="261" t="s">
        <v>382</v>
      </c>
      <c r="D883" s="240">
        <v>43290</v>
      </c>
      <c r="E883" s="240">
        <v>43304</v>
      </c>
      <c r="F883" s="13">
        <v>1462.35</v>
      </c>
      <c r="G883" s="13">
        <v>0</v>
      </c>
      <c r="H883" s="13">
        <v>1</v>
      </c>
      <c r="I883" s="13">
        <f t="shared" si="58"/>
        <v>14.6235</v>
      </c>
      <c r="J883" s="13">
        <f t="shared" si="59"/>
        <v>14</v>
      </c>
    </row>
    <row r="884" spans="1:10">
      <c r="A884" s="13">
        <v>1164</v>
      </c>
      <c r="B884" s="261" t="s">
        <v>381</v>
      </c>
      <c r="C884" s="261" t="s">
        <v>382</v>
      </c>
      <c r="D884" s="240">
        <v>43105</v>
      </c>
      <c r="E884" s="240">
        <v>43294</v>
      </c>
      <c r="F884" s="13">
        <v>1304.08</v>
      </c>
      <c r="G884" s="13">
        <v>0</v>
      </c>
      <c r="H884" s="13">
        <v>1</v>
      </c>
      <c r="I884" s="13">
        <f t="shared" si="58"/>
        <v>13.040799999999999</v>
      </c>
      <c r="J884" s="13">
        <f t="shared" si="59"/>
        <v>189</v>
      </c>
    </row>
    <row r="885" spans="1:10">
      <c r="A885" s="13">
        <v>2614</v>
      </c>
      <c r="B885" s="261" t="s">
        <v>381</v>
      </c>
      <c r="C885" s="261" t="s">
        <v>382</v>
      </c>
      <c r="D885" s="240">
        <v>43290</v>
      </c>
      <c r="E885" s="240">
        <v>43304</v>
      </c>
      <c r="F885" s="13">
        <v>52.65</v>
      </c>
      <c r="G885" s="13">
        <v>0</v>
      </c>
      <c r="H885" s="13">
        <v>1</v>
      </c>
      <c r="I885" s="13">
        <f t="shared" si="58"/>
        <v>0.52649999999999997</v>
      </c>
      <c r="J885" s="13">
        <f t="shared" si="59"/>
        <v>14</v>
      </c>
    </row>
    <row r="886" spans="1:10">
      <c r="A886" s="13">
        <v>45029</v>
      </c>
      <c r="B886" s="261" t="s">
        <v>417</v>
      </c>
      <c r="C886" s="261" t="s">
        <v>380</v>
      </c>
      <c r="D886" s="240">
        <v>43291</v>
      </c>
      <c r="E886" s="240">
        <v>43292</v>
      </c>
      <c r="F886" s="13">
        <v>3059.98</v>
      </c>
      <c r="G886" s="13">
        <v>0</v>
      </c>
      <c r="H886" s="13">
        <v>1</v>
      </c>
      <c r="I886" s="13">
        <f t="shared" si="58"/>
        <v>30.599800000000002</v>
      </c>
      <c r="J886" s="13">
        <f t="shared" si="59"/>
        <v>1</v>
      </c>
    </row>
    <row r="887" spans="1:10">
      <c r="E887" s="260" t="s">
        <v>14</v>
      </c>
      <c r="F887" s="247">
        <f>SUM(F873:F886)</f>
        <v>81363.5</v>
      </c>
      <c r="H887" s="260" t="s">
        <v>383</v>
      </c>
      <c r="I887" s="247">
        <f>SUM(I873:I886)</f>
        <v>813.63499999999999</v>
      </c>
    </row>
  </sheetData>
  <pageMargins left="0.31527777777777799" right="0.43333333333333302" top="0.74791666666666701" bottom="0.74791666666666701" header="0.51180555555555496" footer="0.51180555555555496"/>
  <pageSetup paperSize="7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6:J31"/>
  <sheetViews>
    <sheetView zoomScale="120" zoomScaleNormal="120" workbookViewId="0">
      <selection activeCell="I31" sqref="I31"/>
    </sheetView>
  </sheetViews>
  <sheetFormatPr baseColWidth="10" defaultColWidth="8.85546875" defaultRowHeight="15"/>
  <cols>
    <col min="1" max="1" width="8.42578125" customWidth="1"/>
    <col min="2" max="2" width="32.28515625" customWidth="1"/>
    <col min="3" max="3" width="9.7109375" customWidth="1"/>
    <col min="4" max="6" width="10.5703125" customWidth="1"/>
    <col min="7" max="7" width="6.7109375" customWidth="1"/>
    <col min="8" max="8" width="8.28515625" customWidth="1"/>
    <col min="9" max="9" width="10.5703125" customWidth="1"/>
    <col min="10" max="10" width="11" customWidth="1"/>
    <col min="11" max="1025" width="10.5703125" customWidth="1"/>
  </cols>
  <sheetData>
    <row r="6" spans="1:10" ht="23.25">
      <c r="A6" s="377" t="s">
        <v>442</v>
      </c>
      <c r="B6" s="377"/>
      <c r="C6" s="377"/>
      <c r="E6" s="4"/>
      <c r="F6" s="4"/>
      <c r="I6" s="378" t="s">
        <v>443</v>
      </c>
      <c r="J6" s="378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248" t="s">
        <v>370</v>
      </c>
      <c r="B8" s="248" t="s">
        <v>371</v>
      </c>
      <c r="C8" s="248" t="s">
        <v>372</v>
      </c>
      <c r="D8" s="248" t="s">
        <v>386</v>
      </c>
      <c r="E8" s="248" t="s">
        <v>396</v>
      </c>
      <c r="F8" s="248" t="s">
        <v>14</v>
      </c>
      <c r="G8" s="248" t="s">
        <v>397</v>
      </c>
      <c r="H8" s="248" t="s">
        <v>398</v>
      </c>
      <c r="I8" s="248" t="s">
        <v>399</v>
      </c>
      <c r="J8" s="248" t="s">
        <v>431</v>
      </c>
    </row>
    <row r="9" spans="1:10">
      <c r="A9" s="13">
        <v>2536</v>
      </c>
      <c r="B9" s="261" t="s">
        <v>379</v>
      </c>
      <c r="C9" s="261" t="s">
        <v>380</v>
      </c>
      <c r="D9" s="240">
        <v>43265</v>
      </c>
      <c r="E9" s="240">
        <v>43294</v>
      </c>
      <c r="F9" s="13">
        <v>4487.28</v>
      </c>
      <c r="G9" s="13">
        <v>0</v>
      </c>
      <c r="H9" s="13">
        <v>1</v>
      </c>
      <c r="I9" s="13">
        <f t="shared" ref="I9:I22" si="0">F9*H9%</f>
        <v>44.872799999999998</v>
      </c>
      <c r="J9" s="13">
        <f t="shared" ref="J9:J22" si="1">E9-D9</f>
        <v>29</v>
      </c>
    </row>
    <row r="10" spans="1:10">
      <c r="A10" s="13">
        <v>598</v>
      </c>
      <c r="B10" s="261" t="s">
        <v>379</v>
      </c>
      <c r="C10" s="261" t="s">
        <v>380</v>
      </c>
      <c r="D10" s="240">
        <v>43274</v>
      </c>
      <c r="E10" s="240">
        <v>43308</v>
      </c>
      <c r="F10" s="13">
        <v>31405.5</v>
      </c>
      <c r="G10" s="13">
        <v>0</v>
      </c>
      <c r="H10" s="13">
        <v>1</v>
      </c>
      <c r="I10" s="13">
        <f t="shared" si="0"/>
        <v>314.05500000000001</v>
      </c>
      <c r="J10" s="13">
        <f t="shared" si="1"/>
        <v>34</v>
      </c>
    </row>
    <row r="11" spans="1:10">
      <c r="A11" s="13">
        <v>619</v>
      </c>
      <c r="B11" s="261" t="s">
        <v>379</v>
      </c>
      <c r="C11" s="261" t="s">
        <v>380</v>
      </c>
      <c r="D11" s="240">
        <v>43291</v>
      </c>
      <c r="E11" s="240">
        <v>43308</v>
      </c>
      <c r="F11" s="13">
        <v>31150</v>
      </c>
      <c r="G11" s="13">
        <v>0</v>
      </c>
      <c r="H11" s="13">
        <v>1</v>
      </c>
      <c r="I11" s="13">
        <f t="shared" si="0"/>
        <v>311.5</v>
      </c>
      <c r="J11" s="13">
        <f t="shared" si="1"/>
        <v>17</v>
      </c>
    </row>
    <row r="12" spans="1:10">
      <c r="A12" s="13">
        <v>1165</v>
      </c>
      <c r="B12" s="261" t="s">
        <v>381</v>
      </c>
      <c r="C12" s="261" t="s">
        <v>382</v>
      </c>
      <c r="D12" s="240">
        <v>43105</v>
      </c>
      <c r="E12" s="240">
        <v>43294</v>
      </c>
      <c r="F12" s="13">
        <v>623.9</v>
      </c>
      <c r="G12" s="13">
        <v>0</v>
      </c>
      <c r="H12" s="13">
        <v>1</v>
      </c>
      <c r="I12" s="13">
        <f t="shared" si="0"/>
        <v>6.2389999999999999</v>
      </c>
      <c r="J12" s="13">
        <f t="shared" si="1"/>
        <v>189</v>
      </c>
    </row>
    <row r="13" spans="1:10">
      <c r="A13" s="13">
        <v>1234</v>
      </c>
      <c r="B13" s="261" t="s">
        <v>381</v>
      </c>
      <c r="C13" s="261" t="s">
        <v>382</v>
      </c>
      <c r="D13" s="240">
        <v>43120</v>
      </c>
      <c r="E13" s="240">
        <v>43294</v>
      </c>
      <c r="F13" s="13">
        <v>2408.46</v>
      </c>
      <c r="G13" s="13">
        <v>0</v>
      </c>
      <c r="H13" s="13">
        <v>1</v>
      </c>
      <c r="I13" s="13">
        <f t="shared" si="0"/>
        <v>24.084600000000002</v>
      </c>
      <c r="J13" s="13">
        <f t="shared" si="1"/>
        <v>174</v>
      </c>
    </row>
    <row r="14" spans="1:10">
      <c r="A14" s="13">
        <v>1235</v>
      </c>
      <c r="B14" s="261" t="s">
        <v>381</v>
      </c>
      <c r="C14" s="261" t="s">
        <v>382</v>
      </c>
      <c r="D14" s="240">
        <v>43120</v>
      </c>
      <c r="E14" s="240">
        <v>43294</v>
      </c>
      <c r="F14" s="13">
        <v>655.38</v>
      </c>
      <c r="G14" s="13">
        <v>0</v>
      </c>
      <c r="H14" s="13">
        <v>1</v>
      </c>
      <c r="I14" s="13">
        <f t="shared" si="0"/>
        <v>6.5537999999999998</v>
      </c>
      <c r="J14" s="13">
        <f t="shared" si="1"/>
        <v>174</v>
      </c>
    </row>
    <row r="15" spans="1:10">
      <c r="A15" s="13">
        <v>1343</v>
      </c>
      <c r="B15" s="261" t="s">
        <v>381</v>
      </c>
      <c r="C15" s="261" t="s">
        <v>382</v>
      </c>
      <c r="D15" s="240">
        <v>43143</v>
      </c>
      <c r="E15" s="240">
        <v>43294</v>
      </c>
      <c r="F15" s="13">
        <v>505.29</v>
      </c>
      <c r="G15" s="13">
        <v>0</v>
      </c>
      <c r="H15" s="13">
        <v>1</v>
      </c>
      <c r="I15" s="13">
        <f t="shared" si="0"/>
        <v>5.0529000000000002</v>
      </c>
      <c r="J15" s="13">
        <f t="shared" si="1"/>
        <v>151</v>
      </c>
    </row>
    <row r="16" spans="1:10">
      <c r="A16" s="13">
        <v>1355</v>
      </c>
      <c r="B16" s="261" t="s">
        <v>381</v>
      </c>
      <c r="C16" s="261" t="s">
        <v>382</v>
      </c>
      <c r="D16" s="240">
        <v>43143</v>
      </c>
      <c r="E16" s="240">
        <v>43294</v>
      </c>
      <c r="F16" s="13">
        <v>1079.4100000000001</v>
      </c>
      <c r="G16" s="13">
        <v>0</v>
      </c>
      <c r="H16" s="13">
        <v>1</v>
      </c>
      <c r="I16" s="13">
        <f t="shared" si="0"/>
        <v>10.7941</v>
      </c>
      <c r="J16" s="13">
        <f t="shared" si="1"/>
        <v>151</v>
      </c>
    </row>
    <row r="17" spans="1:10">
      <c r="A17" s="13">
        <v>2404</v>
      </c>
      <c r="B17" s="261" t="s">
        <v>381</v>
      </c>
      <c r="C17" s="261" t="s">
        <v>382</v>
      </c>
      <c r="D17" s="240">
        <v>43250</v>
      </c>
      <c r="E17" s="240">
        <v>43294</v>
      </c>
      <c r="F17" s="13">
        <v>1817.44</v>
      </c>
      <c r="G17" s="13">
        <v>0</v>
      </c>
      <c r="H17" s="13">
        <v>1</v>
      </c>
      <c r="I17" s="13">
        <f t="shared" si="0"/>
        <v>18.174400000000002</v>
      </c>
      <c r="J17" s="13">
        <f t="shared" si="1"/>
        <v>44</v>
      </c>
    </row>
    <row r="18" spans="1:10">
      <c r="A18" s="13">
        <v>2443</v>
      </c>
      <c r="B18" s="261" t="s">
        <v>381</v>
      </c>
      <c r="C18" s="261" t="s">
        <v>382</v>
      </c>
      <c r="D18" s="240">
        <v>43250</v>
      </c>
      <c r="E18" s="240">
        <v>43294</v>
      </c>
      <c r="F18" s="13">
        <v>1351.78</v>
      </c>
      <c r="G18" s="13">
        <v>0</v>
      </c>
      <c r="H18" s="13">
        <v>1</v>
      </c>
      <c r="I18" s="13">
        <f t="shared" si="0"/>
        <v>13.517799999999999</v>
      </c>
      <c r="J18" s="13">
        <f t="shared" si="1"/>
        <v>44</v>
      </c>
    </row>
    <row r="19" spans="1:10">
      <c r="A19" s="13">
        <v>2630</v>
      </c>
      <c r="B19" s="261" t="s">
        <v>381</v>
      </c>
      <c r="C19" s="261" t="s">
        <v>382</v>
      </c>
      <c r="D19" s="240">
        <v>43290</v>
      </c>
      <c r="E19" s="240">
        <v>43304</v>
      </c>
      <c r="F19" s="13">
        <v>1462.35</v>
      </c>
      <c r="G19" s="13">
        <v>0</v>
      </c>
      <c r="H19" s="13">
        <v>1</v>
      </c>
      <c r="I19" s="13">
        <f t="shared" si="0"/>
        <v>14.6235</v>
      </c>
      <c r="J19" s="13">
        <f t="shared" si="1"/>
        <v>14</v>
      </c>
    </row>
    <row r="20" spans="1:10">
      <c r="A20" s="13">
        <v>1164</v>
      </c>
      <c r="B20" s="261" t="s">
        <v>381</v>
      </c>
      <c r="C20" s="261" t="s">
        <v>382</v>
      </c>
      <c r="D20" s="240">
        <v>43105</v>
      </c>
      <c r="E20" s="240">
        <v>43294</v>
      </c>
      <c r="F20" s="13">
        <v>1304.08</v>
      </c>
      <c r="G20" s="13">
        <v>0</v>
      </c>
      <c r="H20" s="13">
        <v>1</v>
      </c>
      <c r="I20" s="13">
        <f t="shared" si="0"/>
        <v>13.040799999999999</v>
      </c>
      <c r="J20" s="13">
        <f t="shared" si="1"/>
        <v>189</v>
      </c>
    </row>
    <row r="21" spans="1:10">
      <c r="A21" s="13">
        <v>2614</v>
      </c>
      <c r="B21" s="261" t="s">
        <v>381</v>
      </c>
      <c r="C21" s="261" t="s">
        <v>382</v>
      </c>
      <c r="D21" s="240">
        <v>43290</v>
      </c>
      <c r="E21" s="240">
        <v>43304</v>
      </c>
      <c r="F21" s="13">
        <v>52.65</v>
      </c>
      <c r="G21" s="13">
        <v>0</v>
      </c>
      <c r="H21" s="13">
        <v>1</v>
      </c>
      <c r="I21" s="13">
        <f t="shared" si="0"/>
        <v>0.52649999999999997</v>
      </c>
      <c r="J21" s="13">
        <f t="shared" si="1"/>
        <v>14</v>
      </c>
    </row>
    <row r="22" spans="1:10">
      <c r="A22" s="13">
        <v>45029</v>
      </c>
      <c r="B22" s="261" t="s">
        <v>417</v>
      </c>
      <c r="C22" s="261" t="s">
        <v>380</v>
      </c>
      <c r="D22" s="240">
        <v>43291</v>
      </c>
      <c r="E22" s="240">
        <v>43292</v>
      </c>
      <c r="F22" s="13">
        <v>3059.98</v>
      </c>
      <c r="G22" s="13">
        <v>0</v>
      </c>
      <c r="H22" s="13">
        <v>1</v>
      </c>
      <c r="I22" s="13">
        <f t="shared" si="0"/>
        <v>30.599800000000002</v>
      </c>
      <c r="J22" s="13">
        <f t="shared" si="1"/>
        <v>1</v>
      </c>
    </row>
    <row r="23" spans="1:10">
      <c r="A23" s="4"/>
      <c r="B23" s="4"/>
      <c r="C23" s="4"/>
      <c r="D23" s="4"/>
      <c r="E23" s="260" t="s">
        <v>14</v>
      </c>
      <c r="F23" s="247">
        <f>SUM(F9:F22)</f>
        <v>81363.5</v>
      </c>
      <c r="G23" s="4"/>
      <c r="H23" s="260" t="s">
        <v>383</v>
      </c>
      <c r="I23" s="247">
        <f>SUM(I9:I22)</f>
        <v>813.63499999999999</v>
      </c>
      <c r="J23" s="4"/>
    </row>
    <row r="27" spans="1:10">
      <c r="A27" t="s">
        <v>444</v>
      </c>
      <c r="B27" t="s">
        <v>381</v>
      </c>
      <c r="C27" t="s">
        <v>382</v>
      </c>
      <c r="D27" s="262">
        <v>43290</v>
      </c>
      <c r="E27" s="262">
        <v>43321</v>
      </c>
      <c r="F27">
        <v>1351.78</v>
      </c>
      <c r="G27">
        <v>0</v>
      </c>
      <c r="H27">
        <v>1</v>
      </c>
      <c r="I27" s="13">
        <f>F27*H27%</f>
        <v>13.517799999999999</v>
      </c>
      <c r="J27" s="13">
        <f>E27-D27</f>
        <v>31</v>
      </c>
    </row>
    <row r="28" spans="1:10">
      <c r="A28" t="s">
        <v>444</v>
      </c>
      <c r="B28" t="s">
        <v>401</v>
      </c>
      <c r="C28" t="s">
        <v>380</v>
      </c>
      <c r="D28" s="262">
        <v>43293</v>
      </c>
      <c r="E28" s="262">
        <v>43343</v>
      </c>
      <c r="F28">
        <v>9583.51</v>
      </c>
      <c r="G28">
        <v>0</v>
      </c>
      <c r="H28">
        <v>1</v>
      </c>
      <c r="I28" s="13">
        <f>F28*H28%</f>
        <v>95.835100000000011</v>
      </c>
      <c r="J28">
        <v>0</v>
      </c>
    </row>
    <row r="29" spans="1:10">
      <c r="A29" t="s">
        <v>444</v>
      </c>
      <c r="B29" t="s">
        <v>381</v>
      </c>
      <c r="C29" t="s">
        <v>382</v>
      </c>
      <c r="D29" s="262">
        <v>43306</v>
      </c>
      <c r="E29" s="262">
        <v>43343</v>
      </c>
      <c r="F29">
        <v>565.04999999999995</v>
      </c>
      <c r="G29">
        <v>0</v>
      </c>
      <c r="H29">
        <v>1</v>
      </c>
      <c r="I29" s="13">
        <f>F29*H29%</f>
        <v>5.6505000000000001</v>
      </c>
      <c r="J29">
        <v>0</v>
      </c>
    </row>
    <row r="30" spans="1:10">
      <c r="A30" t="s">
        <v>444</v>
      </c>
      <c r="B30" t="s">
        <v>381</v>
      </c>
      <c r="C30" t="s">
        <v>382</v>
      </c>
      <c r="D30" s="262">
        <v>43306</v>
      </c>
      <c r="E30" s="262">
        <v>43343</v>
      </c>
      <c r="F30">
        <v>105.29</v>
      </c>
      <c r="G30">
        <v>0</v>
      </c>
      <c r="H30">
        <v>1</v>
      </c>
      <c r="I30" s="13">
        <f>F30*H30%</f>
        <v>1.0529000000000002</v>
      </c>
      <c r="J30">
        <v>0</v>
      </c>
    </row>
    <row r="31" spans="1:10">
      <c r="A31" t="s">
        <v>444</v>
      </c>
      <c r="B31" t="s">
        <v>381</v>
      </c>
      <c r="C31" t="s">
        <v>382</v>
      </c>
      <c r="D31" s="262">
        <v>43306</v>
      </c>
      <c r="E31" s="262">
        <v>43343</v>
      </c>
      <c r="F31">
        <v>961.59</v>
      </c>
      <c r="G31">
        <v>0</v>
      </c>
      <c r="H31">
        <v>1</v>
      </c>
      <c r="I31" s="13">
        <f>F31*H31%</f>
        <v>9.6158999999999999</v>
      </c>
      <c r="J31">
        <v>0</v>
      </c>
    </row>
  </sheetData>
  <mergeCells count="2">
    <mergeCell ref="A6:C6"/>
    <mergeCell ref="I6:J6"/>
  </mergeCells>
  <pageMargins left="1.10208333333333" right="0.70833333333333304" top="0.94513888888888897" bottom="0.55138888888888904" header="0.51180555555555496" footer="0.51180555555555496"/>
  <pageSetup paperSize="7" scale="85" firstPageNumber="0" orientation="landscape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233"/>
  <sheetViews>
    <sheetView workbookViewId="0">
      <selection activeCell="G215" sqref="G215"/>
    </sheetView>
  </sheetViews>
  <sheetFormatPr baseColWidth="10" defaultRowHeight="15"/>
  <cols>
    <col min="1" max="1" width="11.85546875" customWidth="1"/>
    <col min="2" max="2" width="22.140625" customWidth="1"/>
    <col min="3" max="3" width="2.28515625" customWidth="1"/>
    <col min="4" max="4" width="2.85546875" customWidth="1"/>
    <col min="5" max="5" width="11" bestFit="1" customWidth="1"/>
    <col min="6" max="6" width="8.42578125" customWidth="1"/>
    <col min="7" max="7" width="9.5703125" customWidth="1"/>
    <col min="8" max="8" width="8.28515625" customWidth="1"/>
    <col min="9" max="9" width="10.42578125" customWidth="1"/>
    <col min="10" max="11" width="14.42578125" customWidth="1"/>
    <col min="12" max="12" width="12.42578125" customWidth="1"/>
    <col min="13" max="13" width="7.42578125" customWidth="1"/>
  </cols>
  <sheetData>
    <row r="1" spans="1:13">
      <c r="A1" s="318" t="s">
        <v>4</v>
      </c>
      <c r="B1" s="318" t="s">
        <v>5</v>
      </c>
      <c r="C1" s="318" t="s">
        <v>46</v>
      </c>
      <c r="D1" s="318" t="s">
        <v>47</v>
      </c>
      <c r="E1" s="318" t="s">
        <v>7</v>
      </c>
      <c r="F1" s="318" t="s">
        <v>8</v>
      </c>
      <c r="G1" s="318" t="s">
        <v>48</v>
      </c>
      <c r="H1" s="318" t="s">
        <v>52</v>
      </c>
      <c r="I1" s="318" t="s">
        <v>11</v>
      </c>
      <c r="J1" s="318" t="s">
        <v>49</v>
      </c>
      <c r="K1" s="318" t="s">
        <v>50</v>
      </c>
      <c r="L1" s="318" t="s">
        <v>10</v>
      </c>
      <c r="M1" s="318" t="s">
        <v>51</v>
      </c>
    </row>
    <row r="3" spans="1:13">
      <c r="A3" s="315" t="s">
        <v>34</v>
      </c>
      <c r="B3" s="315" t="s">
        <v>102</v>
      </c>
      <c r="C3" s="315">
        <v>130901.83</v>
      </c>
      <c r="D3" s="315">
        <v>5618.2</v>
      </c>
      <c r="E3" s="315">
        <v>125283.63</v>
      </c>
      <c r="F3" s="315">
        <v>132610.32</v>
      </c>
      <c r="G3" s="316">
        <v>94.48</v>
      </c>
      <c r="H3" s="315">
        <v>54</v>
      </c>
      <c r="I3" s="315">
        <v>15</v>
      </c>
      <c r="J3" s="315">
        <v>82069.179999999993</v>
      </c>
      <c r="K3" s="315">
        <v>358615.82</v>
      </c>
      <c r="L3" s="315">
        <v>20.309999999999999</v>
      </c>
      <c r="M3" s="315">
        <v>72821.259999999995</v>
      </c>
    </row>
    <row r="4" spans="1:13">
      <c r="A4" s="315" t="s">
        <v>35</v>
      </c>
      <c r="B4" s="315" t="s">
        <v>102</v>
      </c>
      <c r="C4" s="315">
        <v>182553.21</v>
      </c>
      <c r="D4" s="315">
        <v>8837.09</v>
      </c>
      <c r="E4" s="315">
        <v>173716.12</v>
      </c>
      <c r="F4" s="315">
        <v>125727.37</v>
      </c>
      <c r="G4" s="316">
        <v>138.16999999999999</v>
      </c>
      <c r="H4" s="315">
        <v>86</v>
      </c>
      <c r="I4" s="315">
        <v>23</v>
      </c>
      <c r="J4" s="315">
        <v>161450.29</v>
      </c>
      <c r="K4" s="315">
        <v>559624.11</v>
      </c>
      <c r="L4" s="315">
        <v>19.3</v>
      </c>
      <c r="M4" s="315">
        <v>108050.17</v>
      </c>
    </row>
    <row r="5" spans="1:13"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</row>
    <row r="6" spans="1:13">
      <c r="A6" s="319" t="s">
        <v>814</v>
      </c>
      <c r="B6" s="319" t="s">
        <v>815</v>
      </c>
      <c r="C6" s="320">
        <v>117790.3</v>
      </c>
      <c r="D6" s="320">
        <v>642.66</v>
      </c>
      <c r="E6" s="320">
        <v>117147.64</v>
      </c>
      <c r="F6" s="320">
        <v>167703.54</v>
      </c>
      <c r="G6" s="321">
        <v>69.849999999999994</v>
      </c>
      <c r="H6" s="319">
        <v>74</v>
      </c>
      <c r="I6" s="319">
        <v>31</v>
      </c>
      <c r="J6" s="320">
        <v>148817.65</v>
      </c>
      <c r="K6" s="320">
        <v>273846.65999999997</v>
      </c>
      <c r="L6" s="320">
        <v>26.22</v>
      </c>
      <c r="M6" s="322">
        <v>210510</v>
      </c>
    </row>
    <row r="7" spans="1:13"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</row>
    <row r="8" spans="1:13">
      <c r="B8" s="319" t="s">
        <v>818</v>
      </c>
      <c r="C8" s="194">
        <f t="shared" ref="C8:M8" si="0">C3+C4</f>
        <v>313455.03999999998</v>
      </c>
      <c r="D8" s="194">
        <f t="shared" si="0"/>
        <v>14455.29</v>
      </c>
      <c r="E8" s="194">
        <f t="shared" si="0"/>
        <v>298999.75</v>
      </c>
      <c r="F8" s="194">
        <f t="shared" si="0"/>
        <v>258337.69</v>
      </c>
      <c r="G8" s="194">
        <f t="shared" si="0"/>
        <v>232.64999999999998</v>
      </c>
      <c r="H8" s="194">
        <f t="shared" si="0"/>
        <v>140</v>
      </c>
      <c r="I8" s="194">
        <f t="shared" si="0"/>
        <v>38</v>
      </c>
      <c r="J8" s="194">
        <f t="shared" si="0"/>
        <v>243519.47</v>
      </c>
      <c r="K8" s="194">
        <f t="shared" si="0"/>
        <v>918239.92999999993</v>
      </c>
      <c r="L8" s="194">
        <f t="shared" si="0"/>
        <v>39.61</v>
      </c>
      <c r="M8" s="194">
        <f t="shared" si="0"/>
        <v>180871.43</v>
      </c>
    </row>
    <row r="12" spans="1:13">
      <c r="B12" s="319" t="s">
        <v>816</v>
      </c>
      <c r="C12">
        <f t="shared" ref="C12:M12" si="1">C6+C4+C3</f>
        <v>431245.34</v>
      </c>
      <c r="D12">
        <f t="shared" si="1"/>
        <v>15097.95</v>
      </c>
      <c r="E12">
        <f t="shared" si="1"/>
        <v>416147.39</v>
      </c>
      <c r="F12">
        <f t="shared" si="1"/>
        <v>426041.23000000004</v>
      </c>
      <c r="G12">
        <f t="shared" si="1"/>
        <v>302.5</v>
      </c>
      <c r="H12">
        <f t="shared" si="1"/>
        <v>214</v>
      </c>
      <c r="I12">
        <f t="shared" si="1"/>
        <v>69</v>
      </c>
      <c r="J12">
        <f t="shared" si="1"/>
        <v>392337.12</v>
      </c>
      <c r="K12">
        <f t="shared" si="1"/>
        <v>1192086.5900000001</v>
      </c>
      <c r="L12">
        <f t="shared" si="1"/>
        <v>65.83</v>
      </c>
      <c r="M12">
        <f t="shared" si="1"/>
        <v>391381.43</v>
      </c>
    </row>
    <row r="14" spans="1:13">
      <c r="C14">
        <f t="shared" ref="C14:M14" si="2">C3+C4+C8</f>
        <v>626910.07999999996</v>
      </c>
      <c r="D14">
        <f t="shared" si="2"/>
        <v>28910.58</v>
      </c>
      <c r="E14">
        <f t="shared" si="2"/>
        <v>597999.5</v>
      </c>
      <c r="F14">
        <f t="shared" si="2"/>
        <v>516675.38</v>
      </c>
      <c r="G14">
        <f t="shared" si="2"/>
        <v>465.29999999999995</v>
      </c>
      <c r="H14">
        <f t="shared" si="2"/>
        <v>280</v>
      </c>
      <c r="I14">
        <f t="shared" si="2"/>
        <v>76</v>
      </c>
      <c r="J14">
        <f t="shared" si="2"/>
        <v>487038.94</v>
      </c>
      <c r="K14">
        <f t="shared" si="2"/>
        <v>1836479.8599999999</v>
      </c>
      <c r="L14">
        <f t="shared" si="2"/>
        <v>79.22</v>
      </c>
      <c r="M14">
        <f t="shared" si="2"/>
        <v>361742.86</v>
      </c>
    </row>
    <row r="21" spans="4:4">
      <c r="D21">
        <v>134862.81</v>
      </c>
    </row>
    <row r="22" spans="4:4">
      <c r="D22">
        <v>117147.64</v>
      </c>
    </row>
    <row r="23" spans="4:4">
      <c r="D23">
        <v>83840.27</v>
      </c>
    </row>
    <row r="24" spans="4:4">
      <c r="D24">
        <f>D21+D22+D23</f>
        <v>335850.72000000003</v>
      </c>
    </row>
    <row r="25" spans="4:4">
      <c r="D25">
        <f>D24*0.5%</f>
        <v>1679.2536000000002</v>
      </c>
    </row>
    <row r="52" spans="1:9">
      <c r="A52" s="323" t="s">
        <v>112</v>
      </c>
      <c r="B52" s="324"/>
      <c r="D52" s="324"/>
      <c r="E52" s="324"/>
      <c r="F52" s="324"/>
      <c r="G52" s="324"/>
      <c r="H52" s="324"/>
    </row>
    <row r="53" spans="1:9">
      <c r="A53" s="323" t="s">
        <v>113</v>
      </c>
      <c r="B53" s="324"/>
      <c r="D53" s="324"/>
      <c r="E53" s="324"/>
      <c r="F53" s="324"/>
      <c r="G53" s="324"/>
      <c r="H53" s="324"/>
    </row>
    <row r="54" spans="1:9">
      <c r="A54" s="323" t="s">
        <v>114</v>
      </c>
      <c r="B54" s="324"/>
      <c r="D54" s="324"/>
      <c r="E54" s="324"/>
      <c r="F54" s="324"/>
      <c r="G54" s="324"/>
      <c r="H54" s="324"/>
    </row>
    <row r="55" spans="1:9">
      <c r="A55" s="324"/>
      <c r="B55" s="324"/>
      <c r="D55" s="324"/>
      <c r="E55" s="324"/>
      <c r="F55" s="324"/>
      <c r="G55" s="324"/>
      <c r="I55" s="324">
        <v>48</v>
      </c>
    </row>
    <row r="56" spans="1:9">
      <c r="A56" s="324" t="s">
        <v>115</v>
      </c>
      <c r="B56" s="324"/>
      <c r="D56" s="324"/>
      <c r="E56" s="324"/>
      <c r="F56" s="324"/>
      <c r="G56" s="324"/>
      <c r="I56" s="325">
        <v>43497</v>
      </c>
    </row>
    <row r="57" spans="1:9">
      <c r="A57" s="324"/>
      <c r="B57" s="324"/>
      <c r="D57" s="324"/>
      <c r="E57" s="324"/>
      <c r="F57" s="324"/>
      <c r="G57" s="324"/>
      <c r="H57" s="324"/>
    </row>
    <row r="58" spans="1:9">
      <c r="A58" s="324" t="s">
        <v>116</v>
      </c>
      <c r="B58" s="324"/>
      <c r="C58" s="326" t="s">
        <v>812</v>
      </c>
      <c r="D58" s="324"/>
      <c r="E58" s="324"/>
      <c r="F58" s="324"/>
      <c r="G58" s="324"/>
      <c r="H58" s="323"/>
    </row>
    <row r="59" spans="1:9">
      <c r="A59" s="324"/>
      <c r="B59" s="324"/>
      <c r="D59" s="324"/>
      <c r="E59" s="324"/>
      <c r="F59" s="324"/>
      <c r="G59" s="324"/>
      <c r="H59" s="323" t="s">
        <v>118</v>
      </c>
    </row>
    <row r="60" spans="1:9">
      <c r="A60" s="324"/>
      <c r="B60" s="324"/>
      <c r="D60" s="324"/>
      <c r="E60" s="324"/>
      <c r="F60" s="324"/>
      <c r="G60" s="324"/>
      <c r="H60" s="324"/>
    </row>
    <row r="61" spans="1:9">
      <c r="A61" s="324" t="s">
        <v>119</v>
      </c>
      <c r="B61" s="324"/>
      <c r="D61" s="324"/>
      <c r="E61" s="324"/>
      <c r="F61" s="324"/>
      <c r="G61" s="324"/>
      <c r="H61" s="324"/>
      <c r="I61">
        <v>850</v>
      </c>
    </row>
    <row r="62" spans="1:9" ht="19.5">
      <c r="A62" s="324" t="s">
        <v>120</v>
      </c>
      <c r="B62" s="324"/>
      <c r="D62" s="324"/>
      <c r="E62" s="324"/>
      <c r="F62" s="327" t="s">
        <v>272</v>
      </c>
      <c r="G62" s="327" t="s">
        <v>122</v>
      </c>
      <c r="H62" s="327" t="s">
        <v>123</v>
      </c>
      <c r="I62">
        <v>400</v>
      </c>
    </row>
    <row r="63" spans="1:9">
      <c r="A63" s="324" t="s">
        <v>291</v>
      </c>
      <c r="B63" s="324"/>
      <c r="D63" s="324"/>
      <c r="E63" s="324"/>
      <c r="F63" s="328">
        <v>0.5</v>
      </c>
      <c r="G63" s="328">
        <f>IF(I55=13,80,85)</f>
        <v>85</v>
      </c>
      <c r="H63" s="328">
        <f>+H76</f>
        <v>94.47502275840975</v>
      </c>
      <c r="I63" s="146">
        <f>IF(H63&gt;=G63,E76*F63%,0)</f>
        <v>626.41815000000008</v>
      </c>
    </row>
    <row r="64" spans="1:9">
      <c r="A64" s="324" t="str">
        <f>CONCATENATE("COM. MOROSIDAD AL ",G64,"%")</f>
        <v>COM. MOROSIDAD AL 5%</v>
      </c>
      <c r="B64" s="324"/>
      <c r="D64" s="324"/>
      <c r="E64" s="324"/>
      <c r="F64" s="328">
        <v>0.3</v>
      </c>
      <c r="G64" s="328">
        <v>5</v>
      </c>
      <c r="H64" s="328">
        <f>+H79</f>
        <v>20.306204004050905</v>
      </c>
      <c r="I64" s="194">
        <f>+IF(H64&lt;=G64,E76*F64%,0)</f>
        <v>0</v>
      </c>
    </row>
    <row r="65" spans="1:9">
      <c r="A65" s="324" t="s">
        <v>292</v>
      </c>
      <c r="B65" s="324"/>
      <c r="D65" s="324"/>
      <c r="E65" s="324"/>
      <c r="F65" s="328">
        <f>IF(I55=3,0.1,0.2)</f>
        <v>0.2</v>
      </c>
      <c r="G65" s="328">
        <f>IF(I55=23,50,85)</f>
        <v>85</v>
      </c>
      <c r="H65" s="328">
        <f>+H83</f>
        <v>27.777777777777779</v>
      </c>
      <c r="I65">
        <f>IF(H65&gt;=G65,E76*F65%,0)</f>
        <v>0</v>
      </c>
    </row>
    <row r="66" spans="1:9">
      <c r="A66" s="324" t="str">
        <f>IF(I55=23,"COMISION POR TIEMPODE VIAJE",IF(I55=22,"BONIFICACION"," "))</f>
        <v xml:space="preserve"> </v>
      </c>
      <c r="B66" s="324"/>
      <c r="D66" s="324"/>
      <c r="E66" s="324"/>
      <c r="F66" s="324"/>
      <c r="G66" s="324"/>
      <c r="H66" s="328"/>
    </row>
    <row r="67" spans="1:9">
      <c r="A67" s="329" t="s">
        <v>274</v>
      </c>
      <c r="B67" s="329"/>
      <c r="D67" s="329"/>
      <c r="E67" s="329"/>
      <c r="F67" s="379" t="s">
        <v>275</v>
      </c>
      <c r="G67" s="379"/>
      <c r="H67" s="380" t="s">
        <v>276</v>
      </c>
    </row>
    <row r="68" spans="1:9">
      <c r="A68" s="329"/>
      <c r="B68" s="329"/>
      <c r="D68" s="329"/>
      <c r="E68" s="329"/>
      <c r="F68" s="379" t="s">
        <v>277</v>
      </c>
      <c r="G68" s="379"/>
      <c r="H68" s="380"/>
    </row>
    <row r="69" spans="1:9">
      <c r="A69" s="329"/>
      <c r="B69" s="330"/>
      <c r="D69" s="330"/>
      <c r="E69" s="330"/>
      <c r="F69" s="379" t="s">
        <v>278</v>
      </c>
      <c r="G69" s="379"/>
      <c r="H69" s="380"/>
    </row>
    <row r="70" spans="1:9">
      <c r="A70" s="329"/>
      <c r="B70" s="330"/>
      <c r="D70" s="330"/>
      <c r="E70" s="330"/>
      <c r="F70" s="379" t="s">
        <v>279</v>
      </c>
      <c r="G70" s="379"/>
      <c r="H70" s="380"/>
    </row>
    <row r="71" spans="1:9">
      <c r="A71" s="324"/>
      <c r="B71" s="323" t="str">
        <f>IF(I55=13,"Remuneracion Extra"," ")</f>
        <v xml:space="preserve"> </v>
      </c>
      <c r="D71" s="324"/>
      <c r="E71" s="324"/>
      <c r="F71" s="324"/>
      <c r="G71" s="324"/>
      <c r="H71" s="324"/>
    </row>
    <row r="72" spans="1:9" ht="15.75">
      <c r="A72" s="331" t="s">
        <v>129</v>
      </c>
      <c r="B72" s="332"/>
      <c r="D72" s="332"/>
      <c r="E72" s="332"/>
      <c r="F72" s="332"/>
      <c r="G72" s="332"/>
      <c r="H72" s="332"/>
      <c r="I72" s="333">
        <f>I61+I62+I63+I64+I65</f>
        <v>1876.41815</v>
      </c>
    </row>
    <row r="73" spans="1:9">
      <c r="A73" s="324"/>
      <c r="B73" s="324"/>
      <c r="D73" s="324"/>
      <c r="E73" s="324"/>
      <c r="F73" s="324"/>
      <c r="G73" s="324"/>
      <c r="H73" s="324"/>
    </row>
    <row r="74" spans="1:9">
      <c r="A74" s="334" t="s">
        <v>130</v>
      </c>
      <c r="B74" s="334"/>
      <c r="D74" s="334"/>
      <c r="E74" s="334"/>
      <c r="F74" s="334"/>
      <c r="G74" s="334"/>
      <c r="H74" s="334"/>
    </row>
    <row r="75" spans="1:9">
      <c r="A75" s="334"/>
      <c r="B75" s="334" t="s">
        <v>131</v>
      </c>
      <c r="D75" s="334"/>
      <c r="E75" s="322">
        <f>F3</f>
        <v>132610.32</v>
      </c>
      <c r="F75" s="322"/>
      <c r="G75" s="334"/>
      <c r="H75" s="334"/>
    </row>
    <row r="76" spans="1:9">
      <c r="A76" s="334"/>
      <c r="B76" s="334" t="s">
        <v>132</v>
      </c>
      <c r="D76" s="334"/>
      <c r="E76" s="322">
        <f>E3</f>
        <v>125283.63</v>
      </c>
      <c r="F76" s="322"/>
      <c r="G76" s="335" t="s">
        <v>133</v>
      </c>
      <c r="H76" s="322">
        <f>+E76*100/E75</f>
        <v>94.47502275840975</v>
      </c>
    </row>
    <row r="77" spans="1:9">
      <c r="A77" s="334"/>
      <c r="B77" s="334"/>
      <c r="D77" s="334"/>
      <c r="E77" s="334"/>
      <c r="F77" s="334"/>
      <c r="G77" s="335"/>
      <c r="H77" s="334"/>
    </row>
    <row r="78" spans="1:9">
      <c r="A78" s="334"/>
      <c r="B78" s="334" t="s">
        <v>134</v>
      </c>
      <c r="D78" s="334"/>
      <c r="E78" s="322">
        <f>K3</f>
        <v>358615.82</v>
      </c>
      <c r="F78" s="322"/>
      <c r="G78" s="335"/>
      <c r="H78" s="334"/>
    </row>
    <row r="79" spans="1:9">
      <c r="A79" s="334"/>
      <c r="B79" s="334" t="s">
        <v>135</v>
      </c>
      <c r="D79" s="334"/>
      <c r="E79" s="322">
        <f>M3</f>
        <v>72821.259999999995</v>
      </c>
      <c r="F79" s="322"/>
      <c r="G79" s="335" t="s">
        <v>136</v>
      </c>
      <c r="H79" s="322">
        <f>E79*100/E78</f>
        <v>20.306204004050905</v>
      </c>
    </row>
    <row r="80" spans="1:9">
      <c r="A80" s="334"/>
      <c r="B80" s="334" t="s">
        <v>137</v>
      </c>
      <c r="D80" s="334"/>
      <c r="E80" s="322">
        <f>J3</f>
        <v>82069.179999999993</v>
      </c>
      <c r="F80" s="322"/>
      <c r="G80" s="335"/>
      <c r="H80" s="334"/>
    </row>
    <row r="81" spans="1:8">
      <c r="A81" s="334"/>
      <c r="B81" s="334"/>
      <c r="D81" s="334"/>
      <c r="E81" s="334"/>
      <c r="F81" s="334"/>
      <c r="G81" s="335"/>
      <c r="H81" s="334"/>
    </row>
    <row r="82" spans="1:8">
      <c r="A82" s="334"/>
      <c r="B82" s="334" t="s">
        <v>280</v>
      </c>
      <c r="D82" s="334"/>
      <c r="E82" s="322">
        <f>H3</f>
        <v>54</v>
      </c>
      <c r="F82" s="322"/>
      <c r="G82" s="334"/>
      <c r="H82" s="322"/>
    </row>
    <row r="83" spans="1:8">
      <c r="A83" s="334"/>
      <c r="B83" s="334" t="s">
        <v>281</v>
      </c>
      <c r="D83" s="334"/>
      <c r="E83" s="322">
        <f>I3</f>
        <v>15</v>
      </c>
      <c r="F83" s="322"/>
      <c r="G83" s="335" t="s">
        <v>140</v>
      </c>
      <c r="H83" s="322">
        <f>+E83*100/E82</f>
        <v>27.777777777777779</v>
      </c>
    </row>
    <row r="102" spans="1:9">
      <c r="A102" s="323" t="s">
        <v>112</v>
      </c>
      <c r="B102" s="324"/>
      <c r="D102" s="324"/>
      <c r="E102" s="324"/>
      <c r="F102" s="324"/>
      <c r="G102" s="324"/>
      <c r="H102" s="324"/>
    </row>
    <row r="103" spans="1:9">
      <c r="A103" s="323" t="s">
        <v>113</v>
      </c>
      <c r="B103" s="324"/>
      <c r="D103" s="324"/>
      <c r="E103" s="324"/>
      <c r="F103" s="324"/>
      <c r="G103" s="324"/>
      <c r="H103" s="324"/>
    </row>
    <row r="104" spans="1:9">
      <c r="A104" s="323" t="s">
        <v>114</v>
      </c>
      <c r="B104" s="324"/>
      <c r="D104" s="324"/>
      <c r="E104" s="324"/>
      <c r="F104" s="324"/>
      <c r="G104" s="324"/>
      <c r="H104" s="324"/>
    </row>
    <row r="105" spans="1:9">
      <c r="A105" s="324"/>
      <c r="B105" s="324"/>
      <c r="D105" s="324"/>
      <c r="E105" s="324"/>
      <c r="F105" s="324"/>
      <c r="G105" s="324"/>
      <c r="I105" s="324">
        <v>42</v>
      </c>
    </row>
    <row r="106" spans="1:9">
      <c r="A106" s="324" t="s">
        <v>115</v>
      </c>
      <c r="B106" s="324"/>
      <c r="D106" s="324"/>
      <c r="E106" s="324"/>
      <c r="F106" s="324"/>
      <c r="G106" s="324"/>
      <c r="I106" s="336">
        <f>I56</f>
        <v>43497</v>
      </c>
    </row>
    <row r="107" spans="1:9">
      <c r="A107" s="324"/>
      <c r="B107" s="324"/>
      <c r="D107" s="324"/>
      <c r="E107" s="324"/>
      <c r="F107" s="324"/>
      <c r="G107" s="324"/>
      <c r="H107" s="324"/>
    </row>
    <row r="108" spans="1:9">
      <c r="A108" s="324" t="s">
        <v>116</v>
      </c>
      <c r="B108" s="324"/>
      <c r="C108" s="337" t="s">
        <v>813</v>
      </c>
      <c r="D108" s="324"/>
      <c r="E108" s="324"/>
      <c r="F108" s="324"/>
      <c r="G108" s="324"/>
      <c r="H108" s="324"/>
    </row>
    <row r="109" spans="1:9">
      <c r="A109" s="324"/>
      <c r="B109" s="324"/>
      <c r="D109" s="324"/>
      <c r="E109" s="324"/>
      <c r="F109" s="324"/>
      <c r="G109" s="324"/>
      <c r="H109" s="323"/>
      <c r="I109" s="323" t="s">
        <v>118</v>
      </c>
    </row>
    <row r="110" spans="1:9">
      <c r="A110" s="324"/>
      <c r="B110" s="324"/>
      <c r="D110" s="324"/>
      <c r="E110" s="324"/>
      <c r="F110" s="324"/>
      <c r="G110" s="324"/>
      <c r="H110" s="324"/>
    </row>
    <row r="111" spans="1:9">
      <c r="A111" s="324" t="s">
        <v>119</v>
      </c>
      <c r="B111" s="324"/>
      <c r="D111" s="324"/>
      <c r="E111" s="324"/>
      <c r="F111" s="324"/>
      <c r="G111" s="324"/>
      <c r="H111" s="324"/>
      <c r="I111">
        <v>850</v>
      </c>
    </row>
    <row r="112" spans="1:9" ht="19.5">
      <c r="A112" s="324" t="s">
        <v>120</v>
      </c>
      <c r="B112" s="324"/>
      <c r="D112" s="324"/>
      <c r="E112" s="324"/>
      <c r="F112" s="327" t="s">
        <v>272</v>
      </c>
      <c r="G112" s="327" t="s">
        <v>122</v>
      </c>
      <c r="H112" s="327" t="s">
        <v>123</v>
      </c>
      <c r="I112">
        <v>400</v>
      </c>
    </row>
    <row r="113" spans="1:9">
      <c r="A113" s="324" t="s">
        <v>291</v>
      </c>
      <c r="B113" s="324"/>
      <c r="D113" s="324"/>
      <c r="E113" s="324"/>
      <c r="F113" s="328">
        <v>0.5</v>
      </c>
      <c r="G113" s="328">
        <f>IF(I105=13,80,85)</f>
        <v>85</v>
      </c>
      <c r="H113" s="328">
        <f>+H126</f>
        <v>138.16889671676105</v>
      </c>
      <c r="I113" s="194">
        <f>IF(H113&gt;=G113,E126*F113%,0)</f>
        <v>868.5806</v>
      </c>
    </row>
    <row r="114" spans="1:9">
      <c r="A114" s="324" t="str">
        <f>CONCATENATE("COM. MOROSIDAD AL ",G114,"%")</f>
        <v>COM. MOROSIDAD AL 5%</v>
      </c>
      <c r="B114" s="324"/>
      <c r="D114" s="324"/>
      <c r="E114" s="324"/>
      <c r="F114" s="328">
        <v>0.3</v>
      </c>
      <c r="G114" s="328">
        <v>5</v>
      </c>
      <c r="H114" s="328">
        <f>+H129</f>
        <v>19.30763311823717</v>
      </c>
      <c r="I114">
        <f>+IF(H114&lt;=G114,E126*F114%,0)</f>
        <v>0</v>
      </c>
    </row>
    <row r="115" spans="1:9">
      <c r="A115" s="324" t="s">
        <v>292</v>
      </c>
      <c r="B115" s="324"/>
      <c r="D115" s="324"/>
      <c r="E115" s="324"/>
      <c r="F115" s="328">
        <f>IF(I105=3,0.1,0.2)</f>
        <v>0.2</v>
      </c>
      <c r="G115" s="328">
        <f>IF(I105=23,50,85)</f>
        <v>85</v>
      </c>
      <c r="H115" s="328">
        <f>+H133</f>
        <v>26.744186046511629</v>
      </c>
      <c r="I115">
        <f>IF(H115&gt;=G115,E126*F115%,0)</f>
        <v>0</v>
      </c>
    </row>
    <row r="116" spans="1:9">
      <c r="A116" s="324" t="str">
        <f>IF(I105=23,"COMISION POR TIEMPODE VIAJE",IF(I105=22,"BONIFICACION"," "))</f>
        <v xml:space="preserve"> </v>
      </c>
      <c r="B116" s="324"/>
      <c r="D116" s="324"/>
      <c r="E116" s="324"/>
      <c r="F116" s="324"/>
      <c r="G116" s="324"/>
      <c r="H116" s="328"/>
    </row>
    <row r="117" spans="1:9">
      <c r="A117" s="329" t="s">
        <v>274</v>
      </c>
      <c r="B117" s="329"/>
      <c r="D117" s="329"/>
      <c r="E117" s="329"/>
      <c r="F117" s="379" t="s">
        <v>275</v>
      </c>
      <c r="G117" s="379"/>
      <c r="H117" s="380" t="s">
        <v>276</v>
      </c>
    </row>
    <row r="118" spans="1:9">
      <c r="A118" s="329"/>
      <c r="B118" s="329"/>
      <c r="D118" s="329"/>
      <c r="E118" s="329"/>
      <c r="F118" s="379" t="s">
        <v>277</v>
      </c>
      <c r="G118" s="379"/>
      <c r="H118" s="380"/>
    </row>
    <row r="119" spans="1:9">
      <c r="A119" s="329"/>
      <c r="B119" s="330"/>
      <c r="D119" s="330"/>
      <c r="E119" s="330"/>
      <c r="F119" s="379" t="s">
        <v>278</v>
      </c>
      <c r="G119" s="379"/>
      <c r="H119" s="380"/>
    </row>
    <row r="120" spans="1:9">
      <c r="A120" s="329"/>
      <c r="B120" s="330"/>
      <c r="D120" s="330"/>
      <c r="E120" s="330"/>
      <c r="F120" s="379" t="s">
        <v>279</v>
      </c>
      <c r="G120" s="379"/>
      <c r="H120" s="380"/>
    </row>
    <row r="121" spans="1:9">
      <c r="A121" s="324"/>
      <c r="B121" s="323" t="str">
        <f>IF(I105=13,"Remuneracion Extra"," ")</f>
        <v xml:space="preserve"> </v>
      </c>
      <c r="D121" s="324"/>
      <c r="E121" s="324"/>
      <c r="F121" s="324"/>
      <c r="G121" s="324"/>
      <c r="H121" s="324"/>
    </row>
    <row r="122" spans="1:9" ht="15.75">
      <c r="A122" s="331" t="s">
        <v>129</v>
      </c>
      <c r="B122" s="332"/>
      <c r="D122" s="332"/>
      <c r="E122" s="332"/>
      <c r="F122" s="332"/>
      <c r="G122" s="332"/>
      <c r="H122" s="338"/>
      <c r="I122" s="333">
        <f>SUM(I111:I121)</f>
        <v>2118.5806000000002</v>
      </c>
    </row>
    <row r="123" spans="1:9">
      <c r="A123" s="324"/>
      <c r="B123" s="324"/>
      <c r="D123" s="324"/>
      <c r="E123" s="324"/>
      <c r="F123" s="324"/>
      <c r="G123" s="324"/>
      <c r="H123" s="324"/>
    </row>
    <row r="124" spans="1:9">
      <c r="A124" s="334" t="s">
        <v>130</v>
      </c>
      <c r="B124" s="334"/>
      <c r="D124" s="334"/>
      <c r="E124" s="334"/>
      <c r="F124" s="334"/>
      <c r="G124" s="334"/>
      <c r="H124" s="334"/>
    </row>
    <row r="125" spans="1:9">
      <c r="A125" s="334"/>
      <c r="B125" s="334" t="s">
        <v>131</v>
      </c>
      <c r="D125" s="334"/>
      <c r="E125" s="322">
        <f>F4</f>
        <v>125727.37</v>
      </c>
      <c r="F125" s="322"/>
      <c r="G125" s="334"/>
      <c r="H125" s="334"/>
    </row>
    <row r="126" spans="1:9">
      <c r="A126" s="334"/>
      <c r="B126" s="334" t="s">
        <v>132</v>
      </c>
      <c r="D126" s="334"/>
      <c r="E126" s="322">
        <f>E4</f>
        <v>173716.12</v>
      </c>
      <c r="F126" s="322"/>
      <c r="G126" s="335" t="s">
        <v>133</v>
      </c>
      <c r="H126" s="322">
        <f>+E126*100/E125</f>
        <v>138.16889671676105</v>
      </c>
    </row>
    <row r="127" spans="1:9">
      <c r="A127" s="334"/>
      <c r="B127" s="334"/>
      <c r="D127" s="334"/>
      <c r="E127" s="334"/>
      <c r="F127" s="334"/>
      <c r="G127" s="335"/>
      <c r="H127" s="334"/>
    </row>
    <row r="128" spans="1:9">
      <c r="A128" s="334"/>
      <c r="B128" s="334" t="s">
        <v>134</v>
      </c>
      <c r="D128" s="334"/>
      <c r="E128" s="322">
        <f>K4</f>
        <v>559624.11</v>
      </c>
      <c r="F128" s="322"/>
      <c r="G128" s="335"/>
      <c r="H128" s="334"/>
    </row>
    <row r="129" spans="1:8">
      <c r="A129" s="334"/>
      <c r="B129" s="334" t="s">
        <v>135</v>
      </c>
      <c r="D129" s="334"/>
      <c r="E129" s="322">
        <f>M4</f>
        <v>108050.17</v>
      </c>
      <c r="F129" s="322"/>
      <c r="G129" s="335" t="s">
        <v>136</v>
      </c>
      <c r="H129" s="322">
        <f>E129*100/E128</f>
        <v>19.30763311823717</v>
      </c>
    </row>
    <row r="130" spans="1:8">
      <c r="A130" s="334"/>
      <c r="B130" s="334" t="s">
        <v>137</v>
      </c>
      <c r="D130" s="334"/>
      <c r="E130" s="322">
        <f>J4</f>
        <v>161450.29</v>
      </c>
      <c r="F130" s="322"/>
      <c r="G130" s="335"/>
      <c r="H130" s="334"/>
    </row>
    <row r="131" spans="1:8">
      <c r="A131" s="334"/>
      <c r="B131" s="334"/>
      <c r="D131" s="334"/>
      <c r="E131" s="334"/>
      <c r="F131" s="334"/>
      <c r="G131" s="335"/>
      <c r="H131" s="334"/>
    </row>
    <row r="132" spans="1:8">
      <c r="A132" s="334"/>
      <c r="B132" s="334" t="s">
        <v>280</v>
      </c>
      <c r="D132" s="334"/>
      <c r="E132" s="322">
        <f>H4</f>
        <v>86</v>
      </c>
      <c r="F132" s="322"/>
      <c r="G132" s="334"/>
      <c r="H132" s="322"/>
    </row>
    <row r="133" spans="1:8">
      <c r="A133" s="334"/>
      <c r="B133" s="334" t="s">
        <v>281</v>
      </c>
      <c r="D133" s="334"/>
      <c r="E133" s="322">
        <f>I4</f>
        <v>23</v>
      </c>
      <c r="F133" s="322"/>
      <c r="G133" s="335" t="s">
        <v>140</v>
      </c>
      <c r="H133" s="322">
        <f>+E133*100/E132</f>
        <v>26.744186046511629</v>
      </c>
    </row>
    <row r="152" spans="1:9">
      <c r="A152" s="323" t="s">
        <v>112</v>
      </c>
      <c r="B152" s="324"/>
      <c r="D152" s="324"/>
      <c r="E152" s="324"/>
      <c r="F152" s="324"/>
      <c r="G152" s="324"/>
      <c r="H152" s="324"/>
    </row>
    <row r="153" spans="1:9">
      <c r="A153" s="323" t="s">
        <v>113</v>
      </c>
      <c r="B153" s="324"/>
      <c r="D153" s="324"/>
      <c r="E153" s="324"/>
      <c r="F153" s="324"/>
      <c r="G153" s="324"/>
      <c r="H153" s="324"/>
    </row>
    <row r="154" spans="1:9">
      <c r="A154" s="323" t="s">
        <v>114</v>
      </c>
      <c r="B154" s="324"/>
      <c r="D154" s="324"/>
      <c r="E154" s="324"/>
      <c r="F154" s="324"/>
      <c r="G154" s="324"/>
      <c r="H154" s="324"/>
    </row>
    <row r="155" spans="1:9">
      <c r="A155" s="324"/>
      <c r="B155" s="324"/>
      <c r="D155" s="324"/>
      <c r="E155" s="324"/>
      <c r="F155" s="324"/>
      <c r="G155" s="324"/>
      <c r="I155" s="324">
        <v>41</v>
      </c>
    </row>
    <row r="156" spans="1:9">
      <c r="A156" s="324" t="s">
        <v>115</v>
      </c>
      <c r="B156" s="324"/>
      <c r="D156" s="324"/>
      <c r="E156" s="324"/>
      <c r="F156" s="324"/>
      <c r="G156" s="324"/>
      <c r="I156" s="325">
        <f>I56</f>
        <v>43497</v>
      </c>
    </row>
    <row r="157" spans="1:9">
      <c r="A157" s="324"/>
      <c r="B157" s="324"/>
      <c r="D157" s="324"/>
      <c r="E157" s="324"/>
      <c r="F157" s="324"/>
      <c r="G157" s="324"/>
      <c r="H157" s="324"/>
    </row>
    <row r="158" spans="1:9">
      <c r="A158" s="324" t="s">
        <v>116</v>
      </c>
      <c r="B158" s="324"/>
      <c r="C158" s="337" t="s">
        <v>815</v>
      </c>
      <c r="D158" s="324"/>
      <c r="E158" s="324"/>
      <c r="F158" s="324"/>
      <c r="G158" s="324"/>
      <c r="H158" s="324"/>
    </row>
    <row r="159" spans="1:9">
      <c r="A159" s="324"/>
      <c r="B159" s="324"/>
      <c r="D159" s="324"/>
      <c r="E159" s="324"/>
      <c r="F159" s="324"/>
      <c r="G159" s="324"/>
      <c r="H159" s="323"/>
      <c r="I159" s="323" t="s">
        <v>118</v>
      </c>
    </row>
    <row r="160" spans="1:9">
      <c r="A160" s="324"/>
      <c r="B160" s="324"/>
      <c r="D160" s="324"/>
      <c r="E160" s="324"/>
      <c r="F160" s="324"/>
      <c r="G160" s="324"/>
      <c r="H160" s="324"/>
    </row>
    <row r="161" spans="1:9">
      <c r="A161" s="324" t="s">
        <v>119</v>
      </c>
      <c r="B161" s="324"/>
      <c r="D161" s="324"/>
      <c r="E161" s="324"/>
      <c r="F161" s="324"/>
      <c r="G161" s="324"/>
      <c r="H161" s="324"/>
      <c r="I161">
        <v>850</v>
      </c>
    </row>
    <row r="162" spans="1:9" ht="19.5">
      <c r="A162" s="324" t="s">
        <v>120</v>
      </c>
      <c r="B162" s="324"/>
      <c r="D162" s="324"/>
      <c r="E162" s="324"/>
      <c r="F162" s="327" t="s">
        <v>272</v>
      </c>
      <c r="G162" s="327" t="s">
        <v>122</v>
      </c>
      <c r="H162" s="327" t="s">
        <v>123</v>
      </c>
      <c r="I162">
        <v>400</v>
      </c>
    </row>
    <row r="163" spans="1:9">
      <c r="A163" s="324" t="s">
        <v>291</v>
      </c>
      <c r="B163" s="324"/>
      <c r="D163" s="324"/>
      <c r="E163" s="324"/>
      <c r="F163" s="328">
        <v>0.5</v>
      </c>
      <c r="G163" s="328">
        <f>IF(I155=13,80,85)</f>
        <v>85</v>
      </c>
      <c r="H163" s="328">
        <f>+H176</f>
        <v>69.854005467028301</v>
      </c>
      <c r="I163">
        <f>IF(H163&gt;=G163,E176*F163%,0)</f>
        <v>0</v>
      </c>
    </row>
    <row r="164" spans="1:9">
      <c r="A164" s="324" t="str">
        <f>CONCATENATE("COM. MOROSIDAD AL ",G164,"%")</f>
        <v>COM. MOROSIDAD AL 5%</v>
      </c>
      <c r="B164" s="324"/>
      <c r="D164" s="324"/>
      <c r="E164" s="324"/>
      <c r="F164" s="328">
        <v>0.3</v>
      </c>
      <c r="G164" s="328">
        <v>5</v>
      </c>
      <c r="H164" s="328">
        <f>+H179</f>
        <v>22.925380733551851</v>
      </c>
      <c r="I164">
        <f>+IF(H164&lt;=G164,E176*F164%,0)</f>
        <v>0</v>
      </c>
    </row>
    <row r="165" spans="1:9">
      <c r="A165" s="324" t="s">
        <v>292</v>
      </c>
      <c r="B165" s="324"/>
      <c r="D165" s="324"/>
      <c r="E165" s="324"/>
      <c r="F165" s="328">
        <f>IF(I155=3,0.1,0.2)</f>
        <v>0.2</v>
      </c>
      <c r="G165" s="328">
        <f>IF(I155=23,50,85)</f>
        <v>85</v>
      </c>
      <c r="H165" s="328">
        <f>+H183</f>
        <v>27.142857142857142</v>
      </c>
      <c r="I165">
        <f>IF(H165&gt;=G165,E176*F165%,0)</f>
        <v>0</v>
      </c>
    </row>
    <row r="166" spans="1:9">
      <c r="A166" s="324" t="str">
        <f>IF(I155=23,"COMISION POR TIEMPODE VIAJE",IF(I155=22,"BONIFICACION"," "))</f>
        <v xml:space="preserve"> </v>
      </c>
      <c r="B166" s="324"/>
      <c r="D166" s="324"/>
      <c r="E166" s="324"/>
      <c r="F166" s="324"/>
      <c r="G166" s="324"/>
      <c r="H166" s="328"/>
    </row>
    <row r="167" spans="1:9">
      <c r="A167" s="329" t="s">
        <v>274</v>
      </c>
      <c r="B167" s="329"/>
      <c r="D167" s="329"/>
      <c r="E167" s="329"/>
      <c r="F167" s="379" t="s">
        <v>275</v>
      </c>
      <c r="G167" s="379"/>
      <c r="H167" s="380" t="s">
        <v>276</v>
      </c>
    </row>
    <row r="168" spans="1:9">
      <c r="A168" s="329"/>
      <c r="B168" s="329"/>
      <c r="D168" s="329"/>
      <c r="E168" s="329"/>
      <c r="F168" s="379" t="s">
        <v>277</v>
      </c>
      <c r="G168" s="379"/>
      <c r="H168" s="380"/>
    </row>
    <row r="169" spans="1:9">
      <c r="A169" s="329"/>
      <c r="B169" s="330"/>
      <c r="D169" s="330"/>
      <c r="E169" s="330"/>
      <c r="F169" s="379" t="s">
        <v>278</v>
      </c>
      <c r="G169" s="379"/>
      <c r="H169" s="380"/>
    </row>
    <row r="170" spans="1:9">
      <c r="A170" s="329"/>
      <c r="B170" s="330"/>
      <c r="D170" s="330"/>
      <c r="E170" s="330"/>
      <c r="F170" s="379" t="s">
        <v>279</v>
      </c>
      <c r="G170" s="379"/>
      <c r="H170" s="380"/>
    </row>
    <row r="171" spans="1:9">
      <c r="A171" s="324"/>
      <c r="B171" s="323" t="str">
        <f>IF(I155=13,"Remuneracion Extra"," ")</f>
        <v xml:space="preserve"> </v>
      </c>
      <c r="D171" s="324"/>
      <c r="E171" s="324"/>
      <c r="F171" s="324"/>
      <c r="G171" s="324"/>
      <c r="H171" s="324"/>
    </row>
    <row r="172" spans="1:9" ht="15.75">
      <c r="A172" s="331" t="s">
        <v>129</v>
      </c>
      <c r="B172" s="332"/>
      <c r="D172" s="332"/>
      <c r="E172" s="332"/>
      <c r="F172" s="332"/>
      <c r="G172" s="332"/>
      <c r="H172" s="332"/>
      <c r="I172" s="333">
        <f>I161+I162+I163+I164+I165</f>
        <v>1250</v>
      </c>
    </row>
    <row r="173" spans="1:9">
      <c r="A173" s="324"/>
      <c r="B173" s="324"/>
      <c r="D173" s="324"/>
      <c r="E173" s="324"/>
      <c r="F173" s="324"/>
      <c r="G173" s="324"/>
      <c r="H173" s="324"/>
    </row>
    <row r="174" spans="1:9">
      <c r="A174" s="334" t="s">
        <v>130</v>
      </c>
      <c r="B174" s="334"/>
      <c r="D174" s="334"/>
      <c r="E174" s="334"/>
      <c r="F174" s="334"/>
      <c r="G174" s="334"/>
      <c r="H174" s="334"/>
    </row>
    <row r="175" spans="1:9">
      <c r="A175" s="334"/>
      <c r="B175" s="334" t="s">
        <v>131</v>
      </c>
      <c r="D175" s="334"/>
      <c r="E175" s="322">
        <f>F6</f>
        <v>167703.54</v>
      </c>
      <c r="F175" s="322"/>
      <c r="G175" s="334"/>
      <c r="H175" s="334"/>
    </row>
    <row r="176" spans="1:9">
      <c r="A176" s="334"/>
      <c r="B176" s="334" t="s">
        <v>132</v>
      </c>
      <c r="D176" s="334"/>
      <c r="E176" s="322">
        <f>E6</f>
        <v>117147.64</v>
      </c>
      <c r="F176" s="322"/>
      <c r="G176" s="335" t="s">
        <v>133</v>
      </c>
      <c r="H176" s="322">
        <f>+E176*100/E175</f>
        <v>69.854005467028301</v>
      </c>
    </row>
    <row r="177" spans="1:8">
      <c r="A177" s="334"/>
      <c r="B177" s="334"/>
      <c r="D177" s="334"/>
      <c r="E177" s="334"/>
      <c r="F177" s="334"/>
      <c r="G177" s="335"/>
      <c r="H177" s="334"/>
    </row>
    <row r="178" spans="1:8">
      <c r="A178" s="334"/>
      <c r="B178" s="334" t="s">
        <v>134</v>
      </c>
      <c r="D178" s="334"/>
      <c r="E178" s="322">
        <f>K8</f>
        <v>918239.92999999993</v>
      </c>
      <c r="F178" s="322"/>
      <c r="G178" s="335"/>
      <c r="H178" s="334"/>
    </row>
    <row r="179" spans="1:8">
      <c r="A179" s="334"/>
      <c r="B179" s="334" t="s">
        <v>135</v>
      </c>
      <c r="D179" s="334"/>
      <c r="E179" s="322">
        <v>210510</v>
      </c>
      <c r="G179" s="335" t="s">
        <v>136</v>
      </c>
      <c r="H179" s="322">
        <f>E179*100/E178</f>
        <v>22.925380733551851</v>
      </c>
    </row>
    <row r="180" spans="1:8">
      <c r="A180" s="334"/>
      <c r="B180" s="334" t="s">
        <v>137</v>
      </c>
      <c r="D180" s="334"/>
      <c r="E180" s="322">
        <f>J8</f>
        <v>243519.47</v>
      </c>
      <c r="F180" s="322"/>
      <c r="G180" s="335"/>
      <c r="H180" s="334"/>
    </row>
    <row r="181" spans="1:8">
      <c r="A181" s="334"/>
      <c r="B181" s="334"/>
      <c r="D181" s="334"/>
      <c r="E181" s="334"/>
      <c r="F181" s="334"/>
      <c r="G181" s="335"/>
      <c r="H181" s="334"/>
    </row>
    <row r="182" spans="1:8">
      <c r="A182" s="334"/>
      <c r="B182" s="334" t="s">
        <v>280</v>
      </c>
      <c r="D182" s="334"/>
      <c r="E182" s="322">
        <f>H8</f>
        <v>140</v>
      </c>
      <c r="F182" s="322"/>
      <c r="G182" s="334"/>
      <c r="H182" s="322"/>
    </row>
    <row r="183" spans="1:8">
      <c r="A183" s="334"/>
      <c r="B183" s="334" t="s">
        <v>281</v>
      </c>
      <c r="D183" s="334"/>
      <c r="E183" s="322">
        <f>I8</f>
        <v>38</v>
      </c>
      <c r="F183" s="322"/>
      <c r="G183" s="335" t="s">
        <v>140</v>
      </c>
      <c r="H183" s="322">
        <f>+E183*100/E182</f>
        <v>27.142857142857142</v>
      </c>
    </row>
    <row r="202" spans="1:9">
      <c r="A202" s="323" t="s">
        <v>112</v>
      </c>
      <c r="B202" s="324"/>
      <c r="D202" s="324"/>
      <c r="E202" s="324"/>
      <c r="F202" s="324"/>
      <c r="G202" s="324"/>
      <c r="H202" s="324"/>
    </row>
    <row r="203" spans="1:9">
      <c r="A203" s="323" t="s">
        <v>113</v>
      </c>
      <c r="B203" s="324"/>
      <c r="D203" s="324"/>
      <c r="E203" s="324"/>
      <c r="F203" s="324"/>
      <c r="G203" s="324"/>
      <c r="H203" s="324"/>
    </row>
    <row r="204" spans="1:9">
      <c r="A204" s="323" t="s">
        <v>114</v>
      </c>
      <c r="B204" s="324"/>
      <c r="D204" s="324"/>
      <c r="E204" s="324"/>
      <c r="F204" s="324"/>
      <c r="G204" s="324"/>
      <c r="H204" s="324"/>
    </row>
    <row r="205" spans="1:9">
      <c r="A205" s="324"/>
      <c r="B205" s="324"/>
      <c r="D205" s="324"/>
      <c r="E205" s="324"/>
      <c r="F205" s="324"/>
      <c r="G205" s="324"/>
      <c r="I205" s="324">
        <v>0</v>
      </c>
    </row>
    <row r="206" spans="1:9">
      <c r="A206" s="324" t="s">
        <v>115</v>
      </c>
      <c r="B206" s="324"/>
      <c r="D206" s="324"/>
      <c r="E206" s="324"/>
      <c r="F206" s="324"/>
      <c r="G206" s="324"/>
      <c r="I206" s="325">
        <f>I56</f>
        <v>43497</v>
      </c>
    </row>
    <row r="207" spans="1:9">
      <c r="A207" s="324"/>
      <c r="B207" s="324"/>
      <c r="D207" s="324"/>
      <c r="E207" s="324"/>
      <c r="F207" s="324"/>
      <c r="G207" s="324"/>
      <c r="I207" s="324"/>
    </row>
    <row r="208" spans="1:9">
      <c r="A208" s="324" t="s">
        <v>116</v>
      </c>
      <c r="B208" s="324"/>
      <c r="C208" s="337" t="s">
        <v>817</v>
      </c>
      <c r="D208" s="324"/>
      <c r="E208" s="324"/>
      <c r="F208" s="324"/>
      <c r="G208" s="324"/>
      <c r="I208" s="324"/>
    </row>
    <row r="209" spans="1:9">
      <c r="A209" s="324"/>
      <c r="B209" s="324"/>
      <c r="D209" s="324"/>
      <c r="E209" s="324"/>
      <c r="F209" s="324"/>
      <c r="G209" s="324"/>
      <c r="I209" s="323" t="s">
        <v>118</v>
      </c>
    </row>
    <row r="210" spans="1:9">
      <c r="A210" s="324"/>
      <c r="B210" s="324"/>
      <c r="D210" s="324"/>
      <c r="E210" s="324"/>
      <c r="F210" s="324"/>
      <c r="G210" s="324"/>
      <c r="H210" s="324"/>
    </row>
    <row r="211" spans="1:9">
      <c r="A211" s="324" t="s">
        <v>119</v>
      </c>
      <c r="B211" s="324"/>
      <c r="D211" s="324"/>
      <c r="E211" s="324"/>
      <c r="F211" s="324"/>
      <c r="G211" s="324"/>
      <c r="H211" s="324"/>
      <c r="I211">
        <v>850</v>
      </c>
    </row>
    <row r="212" spans="1:9" ht="19.5">
      <c r="A212" s="324" t="s">
        <v>120</v>
      </c>
      <c r="B212" s="324"/>
      <c r="D212" s="324"/>
      <c r="E212" s="324"/>
      <c r="F212" s="327" t="s">
        <v>272</v>
      </c>
      <c r="G212" s="327" t="s">
        <v>122</v>
      </c>
      <c r="H212" s="327" t="s">
        <v>123</v>
      </c>
      <c r="I212">
        <v>400</v>
      </c>
    </row>
    <row r="213" spans="1:9">
      <c r="A213" s="324" t="s">
        <v>291</v>
      </c>
      <c r="B213" s="324"/>
      <c r="D213" s="324"/>
      <c r="E213" s="324"/>
      <c r="F213" s="328">
        <v>0.5</v>
      </c>
      <c r="G213" s="328">
        <f>IF(I205=13,80,85)</f>
        <v>85</v>
      </c>
      <c r="H213" s="328">
        <f>+H226</f>
        <v>115.7398868124895</v>
      </c>
      <c r="I213" s="146">
        <f>IF(H213&gt;=G213,E226*F213%,0)</f>
        <v>1494.99875</v>
      </c>
    </row>
    <row r="214" spans="1:9">
      <c r="A214" s="324" t="str">
        <f>CONCATENATE("COM. MOROSIDAD AL ",G214,"%")</f>
        <v>COM. MOROSIDAD AL 5%</v>
      </c>
      <c r="B214" s="324"/>
      <c r="D214" s="324"/>
      <c r="E214" s="324"/>
      <c r="F214" s="328">
        <v>0.3</v>
      </c>
      <c r="G214" s="328">
        <v>5</v>
      </c>
      <c r="H214" s="328">
        <f>+H229</f>
        <v>19.69762194941795</v>
      </c>
      <c r="I214">
        <f>+IF(H214&lt;=G214,E226*F214%,0)</f>
        <v>0</v>
      </c>
    </row>
    <row r="215" spans="1:9">
      <c r="A215" s="324" t="s">
        <v>292</v>
      </c>
      <c r="B215" s="324"/>
      <c r="D215" s="324"/>
      <c r="E215" s="324"/>
      <c r="F215" s="328">
        <f>IF(I205=3,0.1,0.2)</f>
        <v>0.2</v>
      </c>
      <c r="G215" s="328">
        <f>IF(I205=23,50,85)</f>
        <v>85</v>
      </c>
      <c r="H215" s="328">
        <f>+H233</f>
        <v>27.142857142857142</v>
      </c>
      <c r="I215">
        <f>IF(H215&gt;=G215,E226*F215%,0)</f>
        <v>0</v>
      </c>
    </row>
    <row r="216" spans="1:9">
      <c r="A216" s="324" t="str">
        <f>IF(I205=23,"COMISION POR TIEMPODE VIAJE",IF(I205=22,"BONIFICACION"," "))</f>
        <v xml:space="preserve"> </v>
      </c>
      <c r="B216" s="324"/>
      <c r="D216" s="324"/>
      <c r="E216" s="324"/>
      <c r="F216" s="324"/>
      <c r="G216" s="324"/>
      <c r="H216" s="328"/>
    </row>
    <row r="217" spans="1:9">
      <c r="A217" s="329" t="s">
        <v>274</v>
      </c>
      <c r="B217" s="329"/>
      <c r="D217" s="329"/>
      <c r="E217" s="329"/>
      <c r="F217" s="379" t="s">
        <v>275</v>
      </c>
      <c r="G217" s="379"/>
      <c r="H217" s="380" t="s">
        <v>276</v>
      </c>
    </row>
    <row r="218" spans="1:9">
      <c r="A218" s="329"/>
      <c r="B218" s="329"/>
      <c r="D218" s="329"/>
      <c r="E218" s="329"/>
      <c r="F218" s="379" t="s">
        <v>277</v>
      </c>
      <c r="G218" s="379"/>
      <c r="H218" s="380"/>
    </row>
    <row r="219" spans="1:9">
      <c r="A219" s="329"/>
      <c r="B219" s="330"/>
      <c r="D219" s="330"/>
      <c r="E219" s="330"/>
      <c r="F219" s="379" t="s">
        <v>278</v>
      </c>
      <c r="G219" s="379"/>
      <c r="H219" s="380"/>
    </row>
    <row r="220" spans="1:9">
      <c r="A220" s="329"/>
      <c r="B220" s="330"/>
      <c r="D220" s="330"/>
      <c r="E220" s="330"/>
      <c r="F220" s="379" t="s">
        <v>279</v>
      </c>
      <c r="G220" s="379"/>
      <c r="H220" s="380"/>
    </row>
    <row r="221" spans="1:9">
      <c r="A221" s="324"/>
      <c r="B221" s="323" t="str">
        <f>IF(I205=13,"Remuneracion Extra"," ")</f>
        <v xml:space="preserve"> </v>
      </c>
      <c r="D221" s="324"/>
      <c r="E221" s="324"/>
      <c r="F221" s="324"/>
      <c r="G221" s="324"/>
      <c r="H221" s="324"/>
    </row>
    <row r="222" spans="1:9" ht="15.75">
      <c r="A222" s="331" t="s">
        <v>129</v>
      </c>
      <c r="B222" s="332"/>
      <c r="D222" s="332"/>
      <c r="E222" s="332"/>
      <c r="F222" s="332"/>
      <c r="G222" s="332"/>
      <c r="H222" s="332"/>
      <c r="I222" s="333">
        <f>I211+I212+I213+I214+I215</f>
        <v>2744.9987499999997</v>
      </c>
    </row>
    <row r="223" spans="1:9">
      <c r="A223" s="324"/>
      <c r="B223" s="324"/>
      <c r="D223" s="324"/>
      <c r="E223" s="324"/>
      <c r="F223" s="324"/>
      <c r="G223" s="324"/>
      <c r="H223" s="324"/>
    </row>
    <row r="224" spans="1:9">
      <c r="A224" s="334" t="s">
        <v>130</v>
      </c>
      <c r="B224" s="334"/>
      <c r="D224" s="334"/>
      <c r="E224" s="334"/>
      <c r="F224" s="334"/>
      <c r="G224" s="334"/>
      <c r="H224" s="334"/>
    </row>
    <row r="225" spans="1:8">
      <c r="A225" s="334"/>
      <c r="B225" s="334" t="s">
        <v>131</v>
      </c>
      <c r="D225" s="334"/>
      <c r="E225" s="322">
        <f>F8</f>
        <v>258337.69</v>
      </c>
      <c r="F225" s="322"/>
      <c r="G225" s="334"/>
      <c r="H225" s="334"/>
    </row>
    <row r="226" spans="1:8">
      <c r="A226" s="334"/>
      <c r="B226" s="334" t="s">
        <v>132</v>
      </c>
      <c r="D226" s="334"/>
      <c r="E226" s="322">
        <f>E8</f>
        <v>298999.75</v>
      </c>
      <c r="F226" s="322"/>
      <c r="G226" s="335" t="s">
        <v>133</v>
      </c>
      <c r="H226" s="322">
        <f>+E226*100/E225</f>
        <v>115.7398868124895</v>
      </c>
    </row>
    <row r="227" spans="1:8">
      <c r="A227" s="334"/>
      <c r="B227" s="334"/>
      <c r="D227" s="334"/>
      <c r="E227" s="334"/>
      <c r="F227" s="334"/>
      <c r="G227" s="335"/>
      <c r="H227" s="334"/>
    </row>
    <row r="228" spans="1:8">
      <c r="A228" s="334"/>
      <c r="B228" s="334" t="s">
        <v>134</v>
      </c>
      <c r="D228" s="334"/>
      <c r="E228" s="322">
        <f>K8</f>
        <v>918239.92999999993</v>
      </c>
      <c r="F228" s="322"/>
      <c r="G228" s="335"/>
      <c r="H228" s="334"/>
    </row>
    <row r="229" spans="1:8">
      <c r="A229" s="334"/>
      <c r="B229" s="334" t="s">
        <v>135</v>
      </c>
      <c r="D229" s="334"/>
      <c r="E229" s="322">
        <f>M8</f>
        <v>180871.43</v>
      </c>
      <c r="F229" s="322"/>
      <c r="G229" s="335" t="s">
        <v>136</v>
      </c>
      <c r="H229" s="322">
        <f>E229*100/E228</f>
        <v>19.69762194941795</v>
      </c>
    </row>
    <row r="230" spans="1:8">
      <c r="A230" s="334"/>
      <c r="B230" s="334" t="s">
        <v>137</v>
      </c>
      <c r="D230" s="334"/>
      <c r="E230" s="322">
        <f>J8</f>
        <v>243519.47</v>
      </c>
      <c r="F230" s="322"/>
      <c r="G230" s="335"/>
      <c r="H230" s="334"/>
    </row>
    <row r="231" spans="1:8">
      <c r="A231" s="334"/>
      <c r="B231" s="334"/>
      <c r="D231" s="334"/>
      <c r="E231" s="334"/>
      <c r="F231" s="334"/>
      <c r="G231" s="335"/>
      <c r="H231" s="334"/>
    </row>
    <row r="232" spans="1:8">
      <c r="A232" s="334"/>
      <c r="B232" s="334" t="s">
        <v>280</v>
      </c>
      <c r="D232" s="334"/>
      <c r="E232" s="322">
        <f>H8</f>
        <v>140</v>
      </c>
      <c r="F232" s="322"/>
      <c r="G232" s="334"/>
      <c r="H232" s="322"/>
    </row>
    <row r="233" spans="1:8">
      <c r="A233" s="334"/>
      <c r="B233" s="334" t="s">
        <v>281</v>
      </c>
      <c r="D233" s="334"/>
      <c r="E233" s="322">
        <f>I8</f>
        <v>38</v>
      </c>
      <c r="F233" s="322"/>
      <c r="G233" s="335" t="s">
        <v>140</v>
      </c>
      <c r="H233" s="322">
        <f>+E233*100/E232</f>
        <v>27.142857142857142</v>
      </c>
    </row>
  </sheetData>
  <mergeCells count="20">
    <mergeCell ref="F117:G117"/>
    <mergeCell ref="H117:H120"/>
    <mergeCell ref="F118:G118"/>
    <mergeCell ref="F119:G119"/>
    <mergeCell ref="F120:G120"/>
    <mergeCell ref="F67:G67"/>
    <mergeCell ref="H67:H70"/>
    <mergeCell ref="F68:G68"/>
    <mergeCell ref="F69:G69"/>
    <mergeCell ref="F70:G70"/>
    <mergeCell ref="F217:G217"/>
    <mergeCell ref="H217:H220"/>
    <mergeCell ref="F218:G218"/>
    <mergeCell ref="F219:G219"/>
    <mergeCell ref="F220:G220"/>
    <mergeCell ref="F167:G167"/>
    <mergeCell ref="H167:H170"/>
    <mergeCell ref="F168:G168"/>
    <mergeCell ref="F169:G169"/>
    <mergeCell ref="F170:G17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K753"/>
  <sheetViews>
    <sheetView topLeftCell="A693" zoomScale="120" zoomScaleNormal="120" workbookViewId="0">
      <selection activeCell="B698" sqref="B698"/>
    </sheetView>
  </sheetViews>
  <sheetFormatPr baseColWidth="10" defaultColWidth="8.85546875" defaultRowHeight="15"/>
  <cols>
    <col min="1" max="1" width="1.85546875" style="29" customWidth="1"/>
    <col min="2" max="2" width="4.85546875" style="29" customWidth="1"/>
    <col min="3" max="3" width="6.5703125" style="29" customWidth="1"/>
    <col min="4" max="4" width="33.5703125" style="29" customWidth="1"/>
    <col min="5" max="5" width="8.28515625" style="29" customWidth="1"/>
    <col min="6" max="6" width="10.85546875" style="29" customWidth="1"/>
    <col min="7" max="7" width="13.5703125" style="29" customWidth="1"/>
    <col min="8" max="8" width="11.42578125" style="29"/>
    <col min="9" max="9" width="2.85546875" style="29" customWidth="1"/>
    <col min="10" max="10" width="9.42578125" style="29" customWidth="1"/>
    <col min="11" max="1025" width="11.42578125" style="29"/>
  </cols>
  <sheetData>
    <row r="1" spans="2:15">
      <c r="B1" s="29" t="s">
        <v>369</v>
      </c>
      <c r="C1" s="29" t="s">
        <v>370</v>
      </c>
      <c r="D1" s="29" t="s">
        <v>371</v>
      </c>
      <c r="E1" s="29" t="s">
        <v>372</v>
      </c>
      <c r="F1" s="29" t="s">
        <v>373</v>
      </c>
      <c r="G1" s="29" t="s">
        <v>374</v>
      </c>
      <c r="H1" s="29" t="s">
        <v>14</v>
      </c>
      <c r="I1" s="29" t="s">
        <v>445</v>
      </c>
      <c r="K1" s="29" t="s">
        <v>446</v>
      </c>
      <c r="L1" s="29" t="s">
        <v>375</v>
      </c>
      <c r="M1" s="29" t="s">
        <v>376</v>
      </c>
      <c r="N1" s="29" t="s">
        <v>377</v>
      </c>
      <c r="O1" s="29" t="s">
        <v>378</v>
      </c>
    </row>
    <row r="2" spans="2:15">
      <c r="B2" s="29">
        <v>6</v>
      </c>
      <c r="C2" s="29">
        <v>487</v>
      </c>
      <c r="D2" s="29" t="s">
        <v>447</v>
      </c>
      <c r="E2" s="29" t="s">
        <v>448</v>
      </c>
      <c r="F2" s="263">
        <v>41890</v>
      </c>
      <c r="G2" s="263">
        <v>41921</v>
      </c>
      <c r="H2" s="29">
        <v>10557.03</v>
      </c>
      <c r="I2" s="29">
        <v>0</v>
      </c>
      <c r="K2" s="29">
        <v>1900.27</v>
      </c>
      <c r="L2" s="29">
        <v>12457.3</v>
      </c>
      <c r="M2" s="29">
        <v>0</v>
      </c>
    </row>
    <row r="3" spans="2:15">
      <c r="B3" s="29">
        <v>6</v>
      </c>
      <c r="C3" s="29">
        <v>488</v>
      </c>
      <c r="D3" s="29" t="s">
        <v>449</v>
      </c>
      <c r="E3" s="29" t="s">
        <v>450</v>
      </c>
      <c r="F3" s="263">
        <v>41890</v>
      </c>
      <c r="G3" s="263">
        <v>41913</v>
      </c>
      <c r="H3" s="29">
        <v>13428.81</v>
      </c>
      <c r="I3" s="29">
        <v>0</v>
      </c>
      <c r="K3" s="29">
        <v>2417.19</v>
      </c>
      <c r="L3" s="29">
        <v>15846</v>
      </c>
      <c r="M3" s="29">
        <v>0</v>
      </c>
    </row>
    <row r="4" spans="2:15">
      <c r="B4" s="29">
        <v>6</v>
      </c>
      <c r="C4" s="29">
        <v>489</v>
      </c>
      <c r="D4" s="29" t="s">
        <v>447</v>
      </c>
      <c r="E4" s="29" t="s">
        <v>448</v>
      </c>
      <c r="F4" s="263">
        <v>41891</v>
      </c>
      <c r="G4" s="263">
        <v>41921</v>
      </c>
      <c r="H4" s="29">
        <v>1124.95</v>
      </c>
      <c r="I4" s="29">
        <v>0</v>
      </c>
      <c r="K4" s="29">
        <v>202.49</v>
      </c>
      <c r="L4" s="29">
        <v>1327.44</v>
      </c>
      <c r="M4" s="29">
        <v>0</v>
      </c>
    </row>
    <row r="5" spans="2:15">
      <c r="B5" s="29">
        <v>6</v>
      </c>
      <c r="C5" s="29">
        <v>492</v>
      </c>
      <c r="D5" s="29" t="s">
        <v>451</v>
      </c>
      <c r="E5" s="29" t="s">
        <v>452</v>
      </c>
      <c r="F5" s="263">
        <v>41891</v>
      </c>
      <c r="G5" s="263">
        <v>41921</v>
      </c>
      <c r="H5" s="29">
        <v>277.54000000000002</v>
      </c>
      <c r="I5" s="29">
        <v>0</v>
      </c>
      <c r="K5" s="29">
        <v>49.96</v>
      </c>
      <c r="L5" s="29">
        <v>327.5</v>
      </c>
      <c r="M5" s="29">
        <v>0</v>
      </c>
    </row>
    <row r="6" spans="2:15">
      <c r="B6" s="29">
        <v>6</v>
      </c>
      <c r="C6" s="29">
        <v>491</v>
      </c>
      <c r="D6" s="29" t="s">
        <v>453</v>
      </c>
      <c r="E6" s="29" t="s">
        <v>448</v>
      </c>
      <c r="F6" s="263">
        <v>41891</v>
      </c>
      <c r="G6" s="263">
        <v>41936</v>
      </c>
      <c r="H6" s="29">
        <v>355.93</v>
      </c>
      <c r="I6" s="29">
        <v>0</v>
      </c>
      <c r="K6" s="29">
        <v>64.069999999999993</v>
      </c>
      <c r="L6" s="29">
        <v>420</v>
      </c>
      <c r="M6" s="29">
        <v>0</v>
      </c>
    </row>
    <row r="7" spans="2:15">
      <c r="B7" s="29">
        <v>6</v>
      </c>
      <c r="C7" s="29">
        <v>494</v>
      </c>
      <c r="D7" s="29" t="s">
        <v>447</v>
      </c>
      <c r="E7" s="29" t="s">
        <v>448</v>
      </c>
      <c r="F7" s="263">
        <v>41894</v>
      </c>
      <c r="G7" s="263">
        <v>41925</v>
      </c>
      <c r="H7" s="29">
        <v>4220.9799999999996</v>
      </c>
      <c r="I7" s="29">
        <v>0</v>
      </c>
      <c r="K7" s="29">
        <v>759.78</v>
      </c>
      <c r="L7" s="29">
        <v>4980.76</v>
      </c>
      <c r="M7" s="29">
        <v>0</v>
      </c>
    </row>
    <row r="8" spans="2:15">
      <c r="B8" s="29">
        <v>6</v>
      </c>
      <c r="C8" s="29">
        <v>495</v>
      </c>
      <c r="D8" s="29" t="s">
        <v>453</v>
      </c>
      <c r="E8" s="29" t="s">
        <v>448</v>
      </c>
      <c r="F8" s="263">
        <v>41894</v>
      </c>
      <c r="G8" s="263">
        <v>41934</v>
      </c>
      <c r="H8" s="29">
        <v>2517.88</v>
      </c>
      <c r="I8" s="29">
        <v>0</v>
      </c>
      <c r="K8" s="29">
        <v>453.22</v>
      </c>
      <c r="L8" s="29">
        <v>2971.1</v>
      </c>
      <c r="M8" s="29">
        <v>0</v>
      </c>
    </row>
    <row r="9" spans="2:15">
      <c r="B9" s="29">
        <v>6</v>
      </c>
      <c r="C9" s="29">
        <v>497</v>
      </c>
      <c r="D9" s="29" t="s">
        <v>453</v>
      </c>
      <c r="E9" s="29" t="s">
        <v>448</v>
      </c>
      <c r="F9" s="263">
        <v>41894</v>
      </c>
      <c r="G9" s="263">
        <v>41913</v>
      </c>
      <c r="H9" s="29">
        <v>545.76</v>
      </c>
      <c r="I9" s="29">
        <v>0</v>
      </c>
      <c r="K9" s="29">
        <v>98.24</v>
      </c>
      <c r="L9" s="29">
        <v>644</v>
      </c>
      <c r="M9" s="29">
        <v>0</v>
      </c>
    </row>
    <row r="10" spans="2:15">
      <c r="B10" s="29">
        <v>6</v>
      </c>
      <c r="C10" s="29">
        <v>496</v>
      </c>
      <c r="D10" s="29" t="s">
        <v>453</v>
      </c>
      <c r="E10" s="29" t="s">
        <v>448</v>
      </c>
      <c r="F10" s="263">
        <v>41894</v>
      </c>
      <c r="G10" s="263">
        <v>41921</v>
      </c>
      <c r="H10" s="29">
        <v>923.73</v>
      </c>
      <c r="I10" s="29">
        <v>0</v>
      </c>
      <c r="K10" s="29">
        <v>166.27</v>
      </c>
      <c r="L10" s="29">
        <v>1090</v>
      </c>
      <c r="M10" s="29">
        <v>0</v>
      </c>
    </row>
    <row r="11" spans="2:15">
      <c r="B11" s="29">
        <v>6</v>
      </c>
      <c r="C11" s="29">
        <v>499</v>
      </c>
      <c r="D11" s="29" t="s">
        <v>447</v>
      </c>
      <c r="E11" s="29" t="s">
        <v>448</v>
      </c>
      <c r="F11" s="263">
        <v>41897</v>
      </c>
      <c r="G11" s="263">
        <v>41927</v>
      </c>
      <c r="H11" s="29">
        <v>1793.42</v>
      </c>
      <c r="I11" s="29">
        <v>0</v>
      </c>
      <c r="K11" s="29">
        <v>322.82</v>
      </c>
      <c r="L11" s="29">
        <v>2116.2399999999998</v>
      </c>
      <c r="M11" s="29">
        <v>0</v>
      </c>
    </row>
    <row r="12" spans="2:15">
      <c r="B12" s="29">
        <v>6</v>
      </c>
      <c r="C12" s="29">
        <v>500</v>
      </c>
      <c r="D12" s="29" t="s">
        <v>447</v>
      </c>
      <c r="E12" s="29" t="s">
        <v>448</v>
      </c>
      <c r="F12" s="263">
        <v>41897</v>
      </c>
      <c r="G12" s="263">
        <v>41927</v>
      </c>
      <c r="H12" s="29">
        <v>1200</v>
      </c>
      <c r="I12" s="29">
        <v>0</v>
      </c>
      <c r="K12" s="29">
        <v>216</v>
      </c>
      <c r="L12" s="29">
        <v>1416</v>
      </c>
      <c r="M12" s="29">
        <v>0</v>
      </c>
    </row>
    <row r="13" spans="2:15">
      <c r="B13" s="29">
        <v>6</v>
      </c>
      <c r="C13" s="29">
        <v>501</v>
      </c>
      <c r="D13" s="29" t="s">
        <v>454</v>
      </c>
      <c r="E13" s="29" t="s">
        <v>448</v>
      </c>
      <c r="F13" s="263">
        <v>41897</v>
      </c>
      <c r="G13" s="263">
        <v>41927</v>
      </c>
      <c r="H13" s="29">
        <v>1425.32</v>
      </c>
      <c r="I13" s="29">
        <v>0</v>
      </c>
      <c r="K13" s="29">
        <v>256.56</v>
      </c>
      <c r="L13" s="29">
        <v>1681.88</v>
      </c>
      <c r="M13" s="29">
        <v>0</v>
      </c>
    </row>
    <row r="14" spans="2:15">
      <c r="B14" s="29">
        <v>6</v>
      </c>
      <c r="C14" s="29">
        <v>503</v>
      </c>
      <c r="D14" s="29" t="s">
        <v>447</v>
      </c>
      <c r="E14" s="29" t="s">
        <v>448</v>
      </c>
      <c r="F14" s="263">
        <v>41898</v>
      </c>
      <c r="G14" s="263">
        <v>41928</v>
      </c>
      <c r="H14" s="29">
        <v>745.89</v>
      </c>
      <c r="I14" s="29">
        <v>0</v>
      </c>
      <c r="K14" s="29">
        <v>134.26</v>
      </c>
      <c r="L14" s="29">
        <v>880.15</v>
      </c>
      <c r="M14" s="29">
        <v>0</v>
      </c>
    </row>
    <row r="15" spans="2:15">
      <c r="B15" s="29">
        <v>6</v>
      </c>
      <c r="C15" s="29">
        <v>505</v>
      </c>
      <c r="D15" s="29" t="s">
        <v>447</v>
      </c>
      <c r="E15" s="29" t="s">
        <v>448</v>
      </c>
      <c r="F15" s="263">
        <v>41898</v>
      </c>
      <c r="G15" s="263">
        <v>41928</v>
      </c>
      <c r="H15" s="29">
        <v>2253.4</v>
      </c>
      <c r="I15" s="29">
        <v>0</v>
      </c>
      <c r="K15" s="29">
        <v>405.61</v>
      </c>
      <c r="L15" s="29">
        <v>2659.01</v>
      </c>
      <c r="M15" s="29">
        <v>0</v>
      </c>
    </row>
    <row r="16" spans="2:15">
      <c r="B16" s="29">
        <v>6</v>
      </c>
      <c r="C16" s="29">
        <v>504</v>
      </c>
      <c r="D16" s="29" t="s">
        <v>447</v>
      </c>
      <c r="E16" s="29" t="s">
        <v>448</v>
      </c>
      <c r="F16" s="263">
        <v>41898</v>
      </c>
      <c r="G16" s="263">
        <v>41928</v>
      </c>
      <c r="H16" s="29">
        <v>3098.71</v>
      </c>
      <c r="I16" s="29">
        <v>0</v>
      </c>
      <c r="K16" s="29">
        <v>557.77</v>
      </c>
      <c r="L16" s="29">
        <v>3656.48</v>
      </c>
      <c r="M16" s="29">
        <v>0</v>
      </c>
    </row>
    <row r="17" spans="2:13">
      <c r="B17" s="29">
        <v>6</v>
      </c>
      <c r="C17" s="29">
        <v>512</v>
      </c>
      <c r="D17" s="29" t="s">
        <v>453</v>
      </c>
      <c r="E17" s="29" t="s">
        <v>448</v>
      </c>
      <c r="F17" s="263">
        <v>41900</v>
      </c>
      <c r="G17" s="263">
        <v>41927</v>
      </c>
      <c r="H17" s="29">
        <v>416.95</v>
      </c>
      <c r="I17" s="29">
        <v>0</v>
      </c>
      <c r="K17" s="29">
        <v>75.05</v>
      </c>
      <c r="L17" s="29">
        <v>492</v>
      </c>
      <c r="M17" s="29">
        <v>0</v>
      </c>
    </row>
    <row r="18" spans="2:13">
      <c r="B18" s="29">
        <v>6</v>
      </c>
      <c r="C18" s="29">
        <v>514</v>
      </c>
      <c r="D18" s="29" t="s">
        <v>454</v>
      </c>
      <c r="E18" s="29" t="s">
        <v>448</v>
      </c>
      <c r="F18" s="263">
        <v>41900</v>
      </c>
      <c r="G18" s="263">
        <v>41927</v>
      </c>
      <c r="H18" s="29">
        <v>21379.8</v>
      </c>
      <c r="I18" s="29">
        <v>0</v>
      </c>
      <c r="K18" s="29">
        <v>3848.36</v>
      </c>
      <c r="L18" s="29">
        <v>25228.16</v>
      </c>
      <c r="M18" s="29">
        <v>0</v>
      </c>
    </row>
    <row r="19" spans="2:13">
      <c r="B19" s="29">
        <v>6</v>
      </c>
      <c r="C19" s="29">
        <v>515</v>
      </c>
      <c r="D19" s="29" t="s">
        <v>453</v>
      </c>
      <c r="E19" s="29" t="s">
        <v>448</v>
      </c>
      <c r="F19" s="263">
        <v>41900</v>
      </c>
      <c r="G19" s="263">
        <v>41927</v>
      </c>
      <c r="H19" s="29">
        <v>1063.97</v>
      </c>
      <c r="I19" s="29">
        <v>0</v>
      </c>
      <c r="K19" s="29">
        <v>191.51</v>
      </c>
      <c r="L19" s="29">
        <v>1255.48</v>
      </c>
      <c r="M19" s="29">
        <v>0</v>
      </c>
    </row>
    <row r="20" spans="2:13">
      <c r="B20" s="29">
        <v>6</v>
      </c>
      <c r="C20" s="29">
        <v>513</v>
      </c>
      <c r="D20" s="29" t="s">
        <v>454</v>
      </c>
      <c r="E20" s="29" t="s">
        <v>448</v>
      </c>
      <c r="F20" s="263">
        <v>41900</v>
      </c>
      <c r="G20" s="263">
        <v>41927</v>
      </c>
      <c r="H20" s="29">
        <v>4933.8</v>
      </c>
      <c r="I20" s="29">
        <v>0</v>
      </c>
      <c r="K20" s="29">
        <v>888.08</v>
      </c>
      <c r="L20" s="29">
        <v>5821.88</v>
      </c>
      <c r="M20" s="29">
        <v>0</v>
      </c>
    </row>
    <row r="21" spans="2:13">
      <c r="B21" s="29">
        <v>1</v>
      </c>
      <c r="C21" s="29">
        <v>299692</v>
      </c>
      <c r="D21" s="29" t="s">
        <v>455</v>
      </c>
      <c r="E21" s="29" t="s">
        <v>450</v>
      </c>
      <c r="F21" s="263">
        <v>41619</v>
      </c>
      <c r="G21" s="263">
        <v>41914</v>
      </c>
      <c r="H21" s="29">
        <v>4796.6099999999997</v>
      </c>
      <c r="I21" s="29">
        <v>0</v>
      </c>
      <c r="K21" s="29">
        <v>863.39</v>
      </c>
      <c r="L21" s="29">
        <v>5660</v>
      </c>
      <c r="M21" s="29">
        <v>5659.99</v>
      </c>
    </row>
    <row r="22" spans="2:13">
      <c r="B22" s="29">
        <v>1</v>
      </c>
      <c r="C22" s="29">
        <v>287218</v>
      </c>
      <c r="D22" s="29" t="s">
        <v>381</v>
      </c>
      <c r="E22" s="29" t="s">
        <v>382</v>
      </c>
      <c r="F22" s="263">
        <v>41449</v>
      </c>
      <c r="G22" s="263">
        <v>41928</v>
      </c>
      <c r="H22" s="29">
        <v>3588.98</v>
      </c>
      <c r="I22" s="29">
        <v>0</v>
      </c>
      <c r="K22" s="29">
        <v>646.02</v>
      </c>
      <c r="L22" s="29">
        <v>4235</v>
      </c>
      <c r="M22" s="29">
        <v>4235</v>
      </c>
    </row>
    <row r="23" spans="2:13">
      <c r="B23" s="29">
        <v>6</v>
      </c>
      <c r="C23" s="29">
        <v>517</v>
      </c>
      <c r="D23" s="29" t="s">
        <v>456</v>
      </c>
      <c r="E23" s="29" t="s">
        <v>457</v>
      </c>
      <c r="F23" s="263">
        <v>41904</v>
      </c>
      <c r="G23" s="263">
        <v>41913</v>
      </c>
      <c r="H23" s="29">
        <v>1563.56</v>
      </c>
      <c r="I23" s="29">
        <v>0</v>
      </c>
      <c r="K23" s="29">
        <v>281.44</v>
      </c>
      <c r="L23" s="29">
        <v>1845</v>
      </c>
      <c r="M23" s="29">
        <v>0</v>
      </c>
    </row>
    <row r="24" spans="2:13">
      <c r="B24" s="29">
        <v>6</v>
      </c>
      <c r="C24" s="29">
        <v>523</v>
      </c>
      <c r="D24" s="29" t="s">
        <v>453</v>
      </c>
      <c r="E24" s="29" t="s">
        <v>448</v>
      </c>
      <c r="F24" s="263">
        <v>41908</v>
      </c>
      <c r="G24" s="263">
        <v>41927</v>
      </c>
      <c r="H24" s="29">
        <v>1704.15</v>
      </c>
      <c r="I24" s="29">
        <v>0</v>
      </c>
      <c r="K24" s="29">
        <v>306.75</v>
      </c>
      <c r="L24" s="29">
        <v>2010.9</v>
      </c>
      <c r="M24" s="29">
        <v>0</v>
      </c>
    </row>
    <row r="25" spans="2:13">
      <c r="B25" s="29">
        <v>6</v>
      </c>
      <c r="C25" s="29">
        <v>525</v>
      </c>
      <c r="D25" s="29" t="s">
        <v>458</v>
      </c>
      <c r="E25" s="29" t="s">
        <v>448</v>
      </c>
      <c r="F25" s="263">
        <v>41909</v>
      </c>
      <c r="G25" s="263">
        <v>41934</v>
      </c>
      <c r="H25" s="29">
        <v>29320.34</v>
      </c>
      <c r="I25" s="29">
        <v>0</v>
      </c>
      <c r="K25" s="29">
        <v>5277.66</v>
      </c>
      <c r="L25" s="29">
        <v>34598</v>
      </c>
      <c r="M25" s="29">
        <v>0</v>
      </c>
    </row>
    <row r="26" spans="2:13">
      <c r="B26" s="29">
        <v>6</v>
      </c>
      <c r="C26" s="29">
        <v>408</v>
      </c>
      <c r="D26" s="29" t="s">
        <v>379</v>
      </c>
      <c r="E26" s="29" t="s">
        <v>380</v>
      </c>
      <c r="F26" s="263">
        <v>41828</v>
      </c>
      <c r="G26" s="263">
        <v>41934</v>
      </c>
      <c r="H26" s="29">
        <v>1779.66</v>
      </c>
      <c r="I26" s="29">
        <v>0</v>
      </c>
      <c r="K26" s="29">
        <v>320.33999999999997</v>
      </c>
      <c r="L26" s="29">
        <v>2100</v>
      </c>
      <c r="M26" s="29">
        <v>0</v>
      </c>
    </row>
    <row r="27" spans="2:13">
      <c r="B27" s="29">
        <v>6</v>
      </c>
      <c r="C27" s="29">
        <v>404</v>
      </c>
      <c r="D27" s="29" t="s">
        <v>381</v>
      </c>
      <c r="E27" s="29" t="s">
        <v>382</v>
      </c>
      <c r="F27" s="263">
        <v>41823</v>
      </c>
      <c r="G27" s="263">
        <v>41932</v>
      </c>
      <c r="H27" s="29">
        <v>661.02</v>
      </c>
      <c r="I27" s="29">
        <v>0</v>
      </c>
      <c r="K27" s="29">
        <v>118.98</v>
      </c>
      <c r="L27" s="29">
        <v>780</v>
      </c>
      <c r="M27" s="29">
        <v>0</v>
      </c>
    </row>
    <row r="28" spans="2:13">
      <c r="B28" s="29">
        <v>6</v>
      </c>
      <c r="C28" s="29">
        <v>325</v>
      </c>
      <c r="D28" s="29" t="s">
        <v>459</v>
      </c>
      <c r="E28" s="29" t="s">
        <v>382</v>
      </c>
      <c r="F28" s="263">
        <v>41785</v>
      </c>
      <c r="G28" s="263">
        <v>41928</v>
      </c>
      <c r="H28" s="29">
        <v>3619.14</v>
      </c>
      <c r="I28" s="29">
        <v>0</v>
      </c>
      <c r="K28" s="29">
        <v>651.45000000000005</v>
      </c>
      <c r="L28" s="29">
        <v>4270.59</v>
      </c>
      <c r="M28" s="29">
        <v>0</v>
      </c>
    </row>
    <row r="29" spans="2:13">
      <c r="B29" s="29">
        <v>6</v>
      </c>
      <c r="C29" s="29">
        <v>395</v>
      </c>
      <c r="D29" s="29" t="s">
        <v>449</v>
      </c>
      <c r="E29" s="29" t="s">
        <v>450</v>
      </c>
      <c r="F29" s="263">
        <v>41817</v>
      </c>
      <c r="G29" s="263">
        <v>41932</v>
      </c>
      <c r="H29" s="29">
        <v>5484.75</v>
      </c>
      <c r="I29" s="29">
        <v>0</v>
      </c>
      <c r="K29" s="29">
        <v>987.25</v>
      </c>
      <c r="L29" s="29">
        <v>6472</v>
      </c>
      <c r="M29" s="29">
        <v>0</v>
      </c>
    </row>
    <row r="30" spans="2:13">
      <c r="B30" s="29">
        <v>6</v>
      </c>
      <c r="C30" s="29">
        <v>347</v>
      </c>
      <c r="D30" s="29" t="s">
        <v>381</v>
      </c>
      <c r="E30" s="29" t="s">
        <v>382</v>
      </c>
      <c r="F30" s="263">
        <v>41796</v>
      </c>
      <c r="G30" s="263">
        <v>41928</v>
      </c>
      <c r="H30" s="29">
        <v>3619.14</v>
      </c>
      <c r="I30" s="29">
        <v>0</v>
      </c>
      <c r="K30" s="29">
        <v>651.45000000000005</v>
      </c>
      <c r="L30" s="29">
        <v>4270.59</v>
      </c>
      <c r="M30" s="29">
        <v>0</v>
      </c>
    </row>
    <row r="31" spans="2:13">
      <c r="B31" s="29">
        <v>6</v>
      </c>
      <c r="C31" s="29">
        <v>346</v>
      </c>
      <c r="D31" s="29" t="s">
        <v>381</v>
      </c>
      <c r="E31" s="29" t="s">
        <v>382</v>
      </c>
      <c r="F31" s="263">
        <v>41796</v>
      </c>
      <c r="G31" s="263">
        <v>41928</v>
      </c>
      <c r="H31" s="29">
        <v>2876.97</v>
      </c>
      <c r="I31" s="29">
        <v>0</v>
      </c>
      <c r="K31" s="29">
        <v>517.85</v>
      </c>
      <c r="L31" s="29">
        <v>3394.82</v>
      </c>
      <c r="M31" s="29">
        <v>0</v>
      </c>
    </row>
    <row r="32" spans="2:13">
      <c r="B32" s="29">
        <v>6</v>
      </c>
      <c r="C32" s="29">
        <v>355</v>
      </c>
      <c r="D32" s="29" t="s">
        <v>381</v>
      </c>
      <c r="E32" s="29" t="s">
        <v>382</v>
      </c>
      <c r="F32" s="263">
        <v>41796</v>
      </c>
      <c r="G32" s="263">
        <v>41928</v>
      </c>
      <c r="H32" s="29">
        <v>1075.74</v>
      </c>
      <c r="I32" s="29">
        <v>0</v>
      </c>
      <c r="K32" s="29">
        <v>193.63</v>
      </c>
      <c r="L32" s="29">
        <v>1269.3699999999999</v>
      </c>
      <c r="M32" s="29">
        <v>0</v>
      </c>
    </row>
    <row r="33" spans="2:13">
      <c r="B33" s="29">
        <v>6</v>
      </c>
      <c r="C33" s="29">
        <v>348</v>
      </c>
      <c r="D33" s="29" t="s">
        <v>381</v>
      </c>
      <c r="E33" s="29" t="s">
        <v>382</v>
      </c>
      <c r="F33" s="263">
        <v>41796</v>
      </c>
      <c r="G33" s="263">
        <v>41928</v>
      </c>
      <c r="H33" s="29">
        <v>6396.04</v>
      </c>
      <c r="I33" s="29">
        <v>0</v>
      </c>
      <c r="K33" s="29">
        <v>1151.29</v>
      </c>
      <c r="L33" s="29">
        <v>7547.33</v>
      </c>
      <c r="M33" s="29">
        <v>0</v>
      </c>
    </row>
    <row r="34" spans="2:13">
      <c r="B34" s="29">
        <v>6</v>
      </c>
      <c r="C34" s="29">
        <v>366</v>
      </c>
      <c r="D34" s="29" t="s">
        <v>453</v>
      </c>
      <c r="E34" s="29" t="s">
        <v>448</v>
      </c>
      <c r="F34" s="263">
        <v>41800</v>
      </c>
      <c r="G34" s="263">
        <v>41928</v>
      </c>
      <c r="H34" s="29">
        <v>3050.85</v>
      </c>
      <c r="I34" s="29">
        <v>0</v>
      </c>
      <c r="K34" s="29">
        <v>549.15</v>
      </c>
      <c r="L34" s="29">
        <v>3600</v>
      </c>
      <c r="M34" s="29">
        <v>3600</v>
      </c>
    </row>
    <row r="35" spans="2:13">
      <c r="B35" s="29">
        <v>6</v>
      </c>
      <c r="C35" s="29">
        <v>535</v>
      </c>
      <c r="D35" s="29" t="s">
        <v>453</v>
      </c>
      <c r="E35" s="29" t="s">
        <v>448</v>
      </c>
      <c r="F35" s="263">
        <v>41913</v>
      </c>
      <c r="G35" s="263">
        <v>41927</v>
      </c>
      <c r="H35" s="29">
        <v>1338.75</v>
      </c>
      <c r="I35" s="29">
        <v>0</v>
      </c>
      <c r="K35" s="29">
        <v>240.97</v>
      </c>
      <c r="L35" s="29">
        <v>1579.72</v>
      </c>
      <c r="M35" s="29">
        <v>0</v>
      </c>
    </row>
    <row r="36" spans="2:13">
      <c r="B36" s="29">
        <v>6</v>
      </c>
      <c r="C36" s="29">
        <v>434</v>
      </c>
      <c r="D36" s="29" t="s">
        <v>381</v>
      </c>
      <c r="E36" s="29" t="s">
        <v>382</v>
      </c>
      <c r="F36" s="263">
        <v>41844</v>
      </c>
      <c r="G36" s="263">
        <v>41915</v>
      </c>
      <c r="H36" s="29">
        <v>1525.42</v>
      </c>
      <c r="I36" s="29">
        <v>0</v>
      </c>
      <c r="K36" s="29">
        <v>274.58</v>
      </c>
      <c r="L36" s="29">
        <v>1800</v>
      </c>
      <c r="M36" s="29">
        <v>0</v>
      </c>
    </row>
    <row r="37" spans="2:13">
      <c r="B37" s="29">
        <v>6</v>
      </c>
      <c r="C37" s="29">
        <v>370</v>
      </c>
      <c r="D37" s="29" t="s">
        <v>453</v>
      </c>
      <c r="E37" s="29" t="s">
        <v>448</v>
      </c>
      <c r="F37" s="263">
        <v>41802</v>
      </c>
      <c r="G37" s="263">
        <v>41915</v>
      </c>
      <c r="H37" s="29">
        <v>161.02000000000001</v>
      </c>
      <c r="I37" s="29">
        <v>0</v>
      </c>
      <c r="K37" s="29">
        <v>28.98</v>
      </c>
      <c r="L37" s="29">
        <v>190</v>
      </c>
      <c r="M37" s="29">
        <v>0</v>
      </c>
    </row>
    <row r="38" spans="2:13">
      <c r="B38" s="29">
        <v>6</v>
      </c>
      <c r="C38" s="29">
        <v>82</v>
      </c>
      <c r="D38" s="29" t="s">
        <v>381</v>
      </c>
      <c r="E38" s="29" t="s">
        <v>382</v>
      </c>
      <c r="F38" s="263">
        <v>41705</v>
      </c>
      <c r="G38" s="263">
        <v>41932</v>
      </c>
      <c r="H38" s="29">
        <v>1452.54</v>
      </c>
      <c r="I38" s="29">
        <v>0</v>
      </c>
      <c r="K38" s="29">
        <v>261.45999999999998</v>
      </c>
      <c r="L38" s="29">
        <v>1714</v>
      </c>
      <c r="M38" s="29">
        <v>0</v>
      </c>
    </row>
    <row r="39" spans="2:13">
      <c r="B39" s="29">
        <v>6</v>
      </c>
      <c r="C39" s="29">
        <v>442</v>
      </c>
      <c r="D39" s="29" t="s">
        <v>460</v>
      </c>
      <c r="E39" s="29" t="s">
        <v>448</v>
      </c>
      <c r="F39" s="263">
        <v>41855</v>
      </c>
      <c r="G39" s="263">
        <v>41925</v>
      </c>
      <c r="H39" s="29">
        <v>1355.93</v>
      </c>
      <c r="I39" s="29">
        <v>0</v>
      </c>
      <c r="K39" s="29">
        <v>244.07</v>
      </c>
      <c r="L39" s="29">
        <v>1600</v>
      </c>
      <c r="M39" s="29">
        <v>0</v>
      </c>
    </row>
    <row r="40" spans="2:13">
      <c r="B40" s="29">
        <v>6</v>
      </c>
      <c r="C40" s="29">
        <v>443</v>
      </c>
      <c r="D40" s="29" t="s">
        <v>461</v>
      </c>
      <c r="E40" s="29" t="s">
        <v>448</v>
      </c>
      <c r="F40" s="263">
        <v>41856</v>
      </c>
      <c r="G40" s="263">
        <v>41928</v>
      </c>
      <c r="H40" s="29">
        <v>149.15</v>
      </c>
      <c r="I40" s="29">
        <v>0</v>
      </c>
      <c r="K40" s="29">
        <v>26.85</v>
      </c>
      <c r="L40" s="29">
        <v>176</v>
      </c>
      <c r="M40" s="29">
        <v>0</v>
      </c>
    </row>
    <row r="41" spans="2:13">
      <c r="B41" s="29">
        <v>1</v>
      </c>
      <c r="C41" s="29">
        <v>289291</v>
      </c>
      <c r="D41" s="29" t="s">
        <v>460</v>
      </c>
      <c r="E41" s="29" t="s">
        <v>448</v>
      </c>
      <c r="F41" s="263">
        <v>41477</v>
      </c>
      <c r="G41" s="263">
        <v>41928</v>
      </c>
      <c r="H41" s="29">
        <v>1924.58</v>
      </c>
      <c r="I41" s="29">
        <v>0</v>
      </c>
      <c r="K41" s="29">
        <v>346.42</v>
      </c>
      <c r="L41" s="29">
        <v>2271</v>
      </c>
      <c r="M41" s="29">
        <v>2271</v>
      </c>
    </row>
    <row r="42" spans="2:13">
      <c r="B42" s="29">
        <v>1</v>
      </c>
      <c r="C42" s="29">
        <v>280245</v>
      </c>
      <c r="D42" s="29" t="s">
        <v>381</v>
      </c>
      <c r="E42" s="29" t="s">
        <v>382</v>
      </c>
      <c r="F42" s="263">
        <v>41360</v>
      </c>
      <c r="G42" s="263">
        <v>41928</v>
      </c>
      <c r="H42" s="29">
        <v>152.54</v>
      </c>
      <c r="I42" s="29">
        <v>0</v>
      </c>
      <c r="K42" s="29">
        <v>27.46</v>
      </c>
      <c r="L42" s="29">
        <v>180</v>
      </c>
      <c r="M42" s="29">
        <v>180</v>
      </c>
    </row>
    <row r="43" spans="2:13">
      <c r="B43" s="29">
        <v>1</v>
      </c>
      <c r="C43" s="29">
        <v>289290</v>
      </c>
      <c r="D43" s="29" t="s">
        <v>460</v>
      </c>
      <c r="E43" s="29" t="s">
        <v>448</v>
      </c>
      <c r="F43" s="263">
        <v>41477</v>
      </c>
      <c r="G43" s="263">
        <v>41928</v>
      </c>
      <c r="H43" s="29">
        <v>3088.98</v>
      </c>
      <c r="I43" s="29">
        <v>0</v>
      </c>
      <c r="K43" s="29">
        <v>556.02</v>
      </c>
      <c r="L43" s="29">
        <v>3645</v>
      </c>
      <c r="M43" s="29">
        <v>3645</v>
      </c>
    </row>
    <row r="44" spans="2:13">
      <c r="B44" s="29">
        <v>6</v>
      </c>
      <c r="C44" s="29">
        <v>457</v>
      </c>
      <c r="D44" s="29" t="s">
        <v>460</v>
      </c>
      <c r="E44" s="29" t="s">
        <v>448</v>
      </c>
      <c r="F44" s="263">
        <v>41862</v>
      </c>
      <c r="G44" s="263">
        <v>41925</v>
      </c>
      <c r="H44" s="29">
        <v>488.14</v>
      </c>
      <c r="I44" s="29">
        <v>0</v>
      </c>
      <c r="K44" s="29">
        <v>87.86</v>
      </c>
      <c r="L44" s="29">
        <v>576</v>
      </c>
      <c r="M44" s="29">
        <v>0</v>
      </c>
    </row>
    <row r="45" spans="2:13">
      <c r="B45" s="29">
        <v>6</v>
      </c>
      <c r="C45" s="29">
        <v>462</v>
      </c>
      <c r="D45" s="29" t="s">
        <v>381</v>
      </c>
      <c r="E45" s="29" t="s">
        <v>382</v>
      </c>
      <c r="F45" s="263">
        <v>41869</v>
      </c>
      <c r="G45" s="263">
        <v>41932</v>
      </c>
      <c r="H45" s="29">
        <v>991.53</v>
      </c>
      <c r="I45" s="29">
        <v>0</v>
      </c>
      <c r="K45" s="29">
        <v>178.47</v>
      </c>
      <c r="L45" s="29">
        <v>1170</v>
      </c>
      <c r="M45" s="29">
        <v>0</v>
      </c>
    </row>
    <row r="46" spans="2:13">
      <c r="B46" s="29">
        <v>6</v>
      </c>
      <c r="C46" s="29">
        <v>463</v>
      </c>
      <c r="D46" s="29" t="s">
        <v>379</v>
      </c>
      <c r="E46" s="29" t="s">
        <v>380</v>
      </c>
      <c r="F46" s="263">
        <v>41869</v>
      </c>
      <c r="G46" s="263">
        <v>41934</v>
      </c>
      <c r="H46" s="29">
        <v>4067.8</v>
      </c>
      <c r="I46" s="29">
        <v>0</v>
      </c>
      <c r="K46" s="29">
        <v>732.2</v>
      </c>
      <c r="L46" s="29">
        <v>4800</v>
      </c>
      <c r="M46" s="29">
        <v>0</v>
      </c>
    </row>
    <row r="47" spans="2:13">
      <c r="B47" s="29">
        <v>6</v>
      </c>
      <c r="C47" s="29">
        <v>524</v>
      </c>
      <c r="D47" s="29" t="s">
        <v>462</v>
      </c>
      <c r="E47" s="29" t="s">
        <v>452</v>
      </c>
      <c r="F47" s="263">
        <v>41908</v>
      </c>
      <c r="G47" s="263">
        <v>41921</v>
      </c>
      <c r="H47" s="29">
        <v>5677.97</v>
      </c>
      <c r="I47" s="29">
        <v>0</v>
      </c>
      <c r="K47" s="29">
        <v>1022.03</v>
      </c>
      <c r="L47" s="29">
        <v>6700</v>
      </c>
      <c r="M47" s="29">
        <v>0</v>
      </c>
    </row>
    <row r="48" spans="2:13">
      <c r="B48" s="29">
        <v>6</v>
      </c>
      <c r="C48" s="29">
        <v>483</v>
      </c>
      <c r="D48" s="29" t="s">
        <v>454</v>
      </c>
      <c r="E48" s="29" t="s">
        <v>448</v>
      </c>
      <c r="F48" s="263">
        <v>41884</v>
      </c>
      <c r="G48" s="263">
        <v>41915</v>
      </c>
      <c r="H48" s="29">
        <v>30699.200000000001</v>
      </c>
      <c r="I48" s="29">
        <v>0</v>
      </c>
      <c r="K48" s="29">
        <v>5525.86</v>
      </c>
      <c r="L48" s="29">
        <v>36225.06</v>
      </c>
      <c r="M48" s="29">
        <v>0</v>
      </c>
    </row>
    <row r="49" spans="1:13">
      <c r="B49" s="29">
        <v>6</v>
      </c>
      <c r="C49" s="29">
        <v>484</v>
      </c>
      <c r="D49" s="29" t="s">
        <v>454</v>
      </c>
      <c r="E49" s="29" t="s">
        <v>448</v>
      </c>
      <c r="F49" s="263">
        <v>41884</v>
      </c>
      <c r="G49" s="263">
        <v>41915</v>
      </c>
      <c r="H49" s="29">
        <v>5207.8999999999996</v>
      </c>
      <c r="I49" s="29">
        <v>0</v>
      </c>
      <c r="K49" s="29">
        <v>937.42</v>
      </c>
      <c r="L49" s="29">
        <v>6145.32</v>
      </c>
      <c r="M49" s="29">
        <v>0</v>
      </c>
    </row>
    <row r="50" spans="1:13">
      <c r="B50" s="29">
        <v>6</v>
      </c>
      <c r="C50" s="29">
        <v>353</v>
      </c>
      <c r="D50" s="29" t="s">
        <v>381</v>
      </c>
      <c r="E50" s="29" t="s">
        <v>382</v>
      </c>
      <c r="F50" s="263">
        <v>41796</v>
      </c>
      <c r="G50" s="263">
        <v>41928</v>
      </c>
      <c r="H50" s="29">
        <v>2234.86</v>
      </c>
      <c r="I50" s="29">
        <v>0</v>
      </c>
      <c r="K50" s="29">
        <v>402.28</v>
      </c>
      <c r="L50" s="29">
        <v>2637.14</v>
      </c>
      <c r="M50" s="29">
        <v>0</v>
      </c>
    </row>
    <row r="51" spans="1:13">
      <c r="B51" s="29">
        <v>6</v>
      </c>
      <c r="C51" s="29">
        <v>345</v>
      </c>
      <c r="D51" s="29" t="s">
        <v>381</v>
      </c>
      <c r="E51" s="29" t="s">
        <v>382</v>
      </c>
      <c r="F51" s="263">
        <v>41796</v>
      </c>
      <c r="G51" s="263">
        <v>41928</v>
      </c>
      <c r="H51" s="29">
        <v>3719.21</v>
      </c>
      <c r="I51" s="29">
        <v>0</v>
      </c>
      <c r="K51" s="29">
        <v>669.46</v>
      </c>
      <c r="L51" s="29">
        <v>4388.67</v>
      </c>
      <c r="M51" s="29">
        <v>0</v>
      </c>
    </row>
    <row r="52" spans="1:13">
      <c r="B52" s="29">
        <v>1</v>
      </c>
      <c r="C52" s="29">
        <v>201200</v>
      </c>
      <c r="D52" s="29" t="s">
        <v>381</v>
      </c>
      <c r="E52" s="29" t="s">
        <v>382</v>
      </c>
      <c r="F52" s="263">
        <v>40456</v>
      </c>
      <c r="G52" s="263">
        <v>41928</v>
      </c>
      <c r="H52" s="29">
        <v>287.98</v>
      </c>
      <c r="I52" s="29">
        <v>0</v>
      </c>
      <c r="K52" s="29">
        <v>54.72</v>
      </c>
      <c r="L52" s="29">
        <v>342.7</v>
      </c>
      <c r="M52" s="29">
        <v>342.7</v>
      </c>
    </row>
    <row r="53" spans="1:13">
      <c r="B53" s="29">
        <v>6</v>
      </c>
      <c r="C53" s="29">
        <v>561</v>
      </c>
      <c r="D53" s="29" t="s">
        <v>456</v>
      </c>
      <c r="E53" s="29" t="s">
        <v>457</v>
      </c>
      <c r="F53" s="263">
        <v>41929</v>
      </c>
      <c r="G53" s="263">
        <v>41940</v>
      </c>
      <c r="H53" s="29">
        <v>70804.92</v>
      </c>
      <c r="I53" s="29">
        <v>0</v>
      </c>
      <c r="K53" s="29">
        <v>12744.88</v>
      </c>
      <c r="L53" s="29">
        <v>83549.8</v>
      </c>
      <c r="M53" s="29">
        <v>0</v>
      </c>
    </row>
    <row r="54" spans="1:13">
      <c r="F54" s="263"/>
      <c r="G54" s="263"/>
    </row>
    <row r="55" spans="1:13">
      <c r="F55" s="263"/>
      <c r="G55" s="263"/>
    </row>
    <row r="56" spans="1:13">
      <c r="F56" s="263"/>
      <c r="G56" s="263"/>
    </row>
    <row r="57" spans="1:13">
      <c r="F57" s="263"/>
      <c r="G57" s="263"/>
    </row>
    <row r="58" spans="1:13" s="59" customFormat="1" ht="11.25">
      <c r="C58" s="138" t="s">
        <v>463</v>
      </c>
    </row>
    <row r="59" spans="1:13" s="59" customFormat="1" ht="9"/>
    <row r="60" spans="1:13" s="59" customFormat="1" ht="9">
      <c r="A60" s="59" t="s">
        <v>45</v>
      </c>
      <c r="B60" s="264" t="s">
        <v>369</v>
      </c>
      <c r="C60" s="264" t="s">
        <v>370</v>
      </c>
      <c r="D60" s="264" t="s">
        <v>371</v>
      </c>
      <c r="E60" s="264" t="s">
        <v>372</v>
      </c>
      <c r="F60" s="264" t="s">
        <v>373</v>
      </c>
      <c r="G60" s="264" t="s">
        <v>374</v>
      </c>
      <c r="H60" s="264" t="s">
        <v>375</v>
      </c>
      <c r="I60" s="264" t="s">
        <v>376</v>
      </c>
      <c r="J60" s="264"/>
      <c r="K60" s="264" t="s">
        <v>377</v>
      </c>
      <c r="L60" s="264" t="s">
        <v>378</v>
      </c>
    </row>
    <row r="61" spans="1:13">
      <c r="A61" s="29">
        <v>28</v>
      </c>
      <c r="B61" s="111">
        <v>6</v>
      </c>
      <c r="C61" s="111">
        <v>395</v>
      </c>
      <c r="D61" s="111" t="s">
        <v>449</v>
      </c>
      <c r="E61" s="111" t="s">
        <v>450</v>
      </c>
      <c r="F61" s="265">
        <v>41817</v>
      </c>
      <c r="G61" s="265">
        <v>41932</v>
      </c>
      <c r="H61" s="111">
        <v>6472</v>
      </c>
      <c r="I61" s="111">
        <v>0</v>
      </c>
      <c r="J61" s="111"/>
      <c r="K61" s="111">
        <v>0.6</v>
      </c>
      <c r="L61" s="266">
        <f t="shared" ref="L61:L100" si="0">(H61-I61)*K61%</f>
        <v>38.832000000000001</v>
      </c>
    </row>
    <row r="62" spans="1:13">
      <c r="A62" s="29">
        <v>2</v>
      </c>
      <c r="B62" s="111">
        <v>6</v>
      </c>
      <c r="C62" s="111">
        <v>488</v>
      </c>
      <c r="D62" s="111" t="s">
        <v>449</v>
      </c>
      <c r="E62" s="111" t="s">
        <v>450</v>
      </c>
      <c r="F62" s="265">
        <v>41890</v>
      </c>
      <c r="G62" s="265">
        <v>41913</v>
      </c>
      <c r="H62" s="111">
        <v>15846</v>
      </c>
      <c r="I62" s="111">
        <v>0</v>
      </c>
      <c r="J62" s="111"/>
      <c r="K62" s="111">
        <v>0.6</v>
      </c>
      <c r="L62" s="266">
        <f t="shared" si="0"/>
        <v>95.076000000000008</v>
      </c>
    </row>
    <row r="63" spans="1:13">
      <c r="A63" s="29">
        <v>22</v>
      </c>
      <c r="B63" s="111">
        <v>6</v>
      </c>
      <c r="C63" s="111">
        <v>517</v>
      </c>
      <c r="D63" s="111" t="s">
        <v>456</v>
      </c>
      <c r="E63" s="111" t="s">
        <v>457</v>
      </c>
      <c r="F63" s="265">
        <v>41904</v>
      </c>
      <c r="G63" s="265">
        <v>41913</v>
      </c>
      <c r="H63" s="111">
        <v>1845</v>
      </c>
      <c r="I63" s="111">
        <v>0</v>
      </c>
      <c r="J63" s="111"/>
      <c r="K63" s="111">
        <v>0.6</v>
      </c>
      <c r="L63" s="266">
        <f t="shared" si="0"/>
        <v>11.07</v>
      </c>
    </row>
    <row r="64" spans="1:13">
      <c r="A64" s="29">
        <v>52</v>
      </c>
      <c r="B64" s="111">
        <v>6</v>
      </c>
      <c r="C64" s="111">
        <v>561</v>
      </c>
      <c r="D64" s="111" t="s">
        <v>456</v>
      </c>
      <c r="E64" s="111" t="s">
        <v>457</v>
      </c>
      <c r="F64" s="265">
        <v>41929</v>
      </c>
      <c r="G64" s="265">
        <v>41940</v>
      </c>
      <c r="H64" s="111">
        <v>83549.8</v>
      </c>
      <c r="I64" s="111">
        <v>0</v>
      </c>
      <c r="J64" s="111"/>
      <c r="K64" s="111">
        <v>0.6</v>
      </c>
      <c r="L64" s="266">
        <f t="shared" si="0"/>
        <v>501.29880000000003</v>
      </c>
    </row>
    <row r="65" spans="1:14">
      <c r="A65" s="29">
        <v>4</v>
      </c>
      <c r="B65" s="111">
        <v>6</v>
      </c>
      <c r="C65" s="111">
        <v>492</v>
      </c>
      <c r="D65" s="111" t="s">
        <v>451</v>
      </c>
      <c r="E65" s="111" t="s">
        <v>452</v>
      </c>
      <c r="F65" s="265">
        <v>41891</v>
      </c>
      <c r="G65" s="265">
        <v>41921</v>
      </c>
      <c r="H65" s="111">
        <v>327.5</v>
      </c>
      <c r="I65" s="111">
        <v>0</v>
      </c>
      <c r="J65" s="111"/>
      <c r="K65" s="111">
        <v>0.6</v>
      </c>
      <c r="L65" s="266">
        <f t="shared" si="0"/>
        <v>1.9650000000000001</v>
      </c>
    </row>
    <row r="66" spans="1:14">
      <c r="A66" s="29">
        <v>24</v>
      </c>
      <c r="B66" s="111">
        <v>6</v>
      </c>
      <c r="C66" s="111">
        <v>525</v>
      </c>
      <c r="D66" s="111" t="s">
        <v>458</v>
      </c>
      <c r="E66" s="111" t="s">
        <v>448</v>
      </c>
      <c r="F66" s="265">
        <v>41909</v>
      </c>
      <c r="G66" s="265">
        <v>41934</v>
      </c>
      <c r="H66" s="111">
        <v>34598</v>
      </c>
      <c r="I66" s="111">
        <v>0</v>
      </c>
      <c r="J66" s="111"/>
      <c r="K66" s="111">
        <v>0.6</v>
      </c>
      <c r="L66" s="266">
        <f t="shared" si="0"/>
        <v>207.58799999999999</v>
      </c>
    </row>
    <row r="67" spans="1:14">
      <c r="A67" s="29">
        <v>40</v>
      </c>
      <c r="B67" s="111">
        <v>1</v>
      </c>
      <c r="C67" s="111">
        <v>289291</v>
      </c>
      <c r="D67" s="111" t="s">
        <v>460</v>
      </c>
      <c r="E67" s="111" t="s">
        <v>448</v>
      </c>
      <c r="F67" s="265">
        <v>41477</v>
      </c>
      <c r="G67" s="265">
        <v>41928</v>
      </c>
      <c r="H67" s="111">
        <v>2271</v>
      </c>
      <c r="I67" s="111">
        <v>2271</v>
      </c>
      <c r="J67" s="111"/>
      <c r="K67" s="111">
        <v>0.6</v>
      </c>
      <c r="L67" s="266">
        <f t="shared" si="0"/>
        <v>0</v>
      </c>
    </row>
    <row r="68" spans="1:14">
      <c r="A68" s="29">
        <v>42</v>
      </c>
      <c r="B68" s="111">
        <v>1</v>
      </c>
      <c r="C68" s="111">
        <v>289290</v>
      </c>
      <c r="D68" s="111" t="s">
        <v>460</v>
      </c>
      <c r="E68" s="111" t="s">
        <v>448</v>
      </c>
      <c r="F68" s="265">
        <v>41477</v>
      </c>
      <c r="G68" s="265">
        <v>41928</v>
      </c>
      <c r="H68" s="111">
        <v>3645</v>
      </c>
      <c r="I68" s="111">
        <v>3645</v>
      </c>
      <c r="J68" s="111"/>
      <c r="K68" s="111">
        <v>0.6</v>
      </c>
      <c r="L68" s="266">
        <f t="shared" si="0"/>
        <v>0</v>
      </c>
    </row>
    <row r="69" spans="1:14">
      <c r="A69" s="29">
        <v>43</v>
      </c>
      <c r="B69" s="111">
        <v>6</v>
      </c>
      <c r="C69" s="111">
        <v>457</v>
      </c>
      <c r="D69" s="111" t="s">
        <v>460</v>
      </c>
      <c r="E69" s="111" t="s">
        <v>448</v>
      </c>
      <c r="F69" s="265">
        <v>41862</v>
      </c>
      <c r="G69" s="265">
        <v>41925</v>
      </c>
      <c r="H69" s="111">
        <v>576</v>
      </c>
      <c r="I69" s="111">
        <v>0</v>
      </c>
      <c r="J69" s="111"/>
      <c r="K69" s="111">
        <v>0.6</v>
      </c>
      <c r="L69" s="266">
        <f t="shared" si="0"/>
        <v>3.456</v>
      </c>
    </row>
    <row r="70" spans="1:14">
      <c r="A70" s="29">
        <v>38</v>
      </c>
      <c r="B70" s="111">
        <v>6</v>
      </c>
      <c r="C70" s="111">
        <v>442</v>
      </c>
      <c r="D70" s="111" t="s">
        <v>460</v>
      </c>
      <c r="E70" s="111" t="s">
        <v>448</v>
      </c>
      <c r="F70" s="265">
        <v>41855</v>
      </c>
      <c r="G70" s="265">
        <v>41925</v>
      </c>
      <c r="H70" s="111">
        <v>1600</v>
      </c>
      <c r="I70" s="111">
        <v>0</v>
      </c>
      <c r="J70" s="111"/>
      <c r="K70" s="111">
        <v>0.6</v>
      </c>
      <c r="L70" s="266">
        <f t="shared" si="0"/>
        <v>9.6</v>
      </c>
    </row>
    <row r="71" spans="1:14">
      <c r="A71" s="29">
        <v>33</v>
      </c>
      <c r="B71" s="111">
        <v>6</v>
      </c>
      <c r="C71" s="111">
        <v>366</v>
      </c>
      <c r="D71" s="111" t="s">
        <v>453</v>
      </c>
      <c r="E71" s="111" t="s">
        <v>448</v>
      </c>
      <c r="F71" s="265">
        <v>41800</v>
      </c>
      <c r="G71" s="265">
        <v>41928</v>
      </c>
      <c r="H71" s="111">
        <v>3600</v>
      </c>
      <c r="I71" s="111">
        <v>3600</v>
      </c>
      <c r="J71" s="111"/>
      <c r="K71" s="111">
        <v>0.6</v>
      </c>
      <c r="L71" s="266">
        <f t="shared" si="0"/>
        <v>0</v>
      </c>
    </row>
    <row r="72" spans="1:14">
      <c r="A72" s="29">
        <v>36</v>
      </c>
      <c r="B72" s="111">
        <v>6</v>
      </c>
      <c r="C72" s="111">
        <v>370</v>
      </c>
      <c r="D72" s="111" t="s">
        <v>453</v>
      </c>
      <c r="E72" s="111" t="s">
        <v>448</v>
      </c>
      <c r="F72" s="265">
        <v>41802</v>
      </c>
      <c r="G72" s="265">
        <v>41915</v>
      </c>
      <c r="H72" s="111">
        <v>190</v>
      </c>
      <c r="I72" s="111">
        <v>0</v>
      </c>
      <c r="J72" s="111"/>
      <c r="K72" s="111">
        <v>0.6</v>
      </c>
      <c r="L72" s="266">
        <f t="shared" si="0"/>
        <v>1.1400000000000001</v>
      </c>
      <c r="N72" s="29">
        <f>N70-N71</f>
        <v>0</v>
      </c>
    </row>
    <row r="73" spans="1:14">
      <c r="A73" s="29">
        <v>5</v>
      </c>
      <c r="B73" s="111">
        <v>6</v>
      </c>
      <c r="C73" s="111">
        <v>491</v>
      </c>
      <c r="D73" s="111" t="s">
        <v>453</v>
      </c>
      <c r="E73" s="111" t="s">
        <v>448</v>
      </c>
      <c r="F73" s="265">
        <v>41891</v>
      </c>
      <c r="G73" s="265">
        <v>41936</v>
      </c>
      <c r="H73" s="111">
        <v>420</v>
      </c>
      <c r="I73" s="111">
        <v>0</v>
      </c>
      <c r="J73" s="111"/>
      <c r="K73" s="111">
        <v>0.6</v>
      </c>
      <c r="L73" s="266">
        <f t="shared" si="0"/>
        <v>2.52</v>
      </c>
    </row>
    <row r="74" spans="1:14">
      <c r="A74" s="29">
        <v>16</v>
      </c>
      <c r="B74" s="111">
        <v>6</v>
      </c>
      <c r="C74" s="111">
        <v>512</v>
      </c>
      <c r="D74" s="111" t="s">
        <v>453</v>
      </c>
      <c r="E74" s="111" t="s">
        <v>448</v>
      </c>
      <c r="F74" s="265">
        <v>41900</v>
      </c>
      <c r="G74" s="265">
        <v>41927</v>
      </c>
      <c r="H74" s="111">
        <v>492</v>
      </c>
      <c r="I74" s="111">
        <v>0</v>
      </c>
      <c r="J74" s="111"/>
      <c r="K74" s="111">
        <v>0.6</v>
      </c>
      <c r="L74" s="266">
        <f t="shared" si="0"/>
        <v>2.952</v>
      </c>
    </row>
    <row r="75" spans="1:14">
      <c r="A75" s="29">
        <v>9</v>
      </c>
      <c r="B75" s="111">
        <v>6</v>
      </c>
      <c r="C75" s="111">
        <v>496</v>
      </c>
      <c r="D75" s="111" t="s">
        <v>453</v>
      </c>
      <c r="E75" s="111" t="s">
        <v>448</v>
      </c>
      <c r="F75" s="265">
        <v>41894</v>
      </c>
      <c r="G75" s="265">
        <v>41921</v>
      </c>
      <c r="H75" s="111">
        <v>1090</v>
      </c>
      <c r="I75" s="111">
        <v>0</v>
      </c>
      <c r="J75" s="111"/>
      <c r="K75" s="111">
        <v>0.6</v>
      </c>
      <c r="L75" s="266">
        <f t="shared" si="0"/>
        <v>6.54</v>
      </c>
    </row>
    <row r="76" spans="1:14">
      <c r="A76" s="29">
        <v>18</v>
      </c>
      <c r="B76" s="111">
        <v>6</v>
      </c>
      <c r="C76" s="111">
        <v>515</v>
      </c>
      <c r="D76" s="111" t="s">
        <v>453</v>
      </c>
      <c r="E76" s="111" t="s">
        <v>448</v>
      </c>
      <c r="F76" s="265">
        <v>41900</v>
      </c>
      <c r="G76" s="265">
        <v>41927</v>
      </c>
      <c r="H76" s="111">
        <v>1255.48</v>
      </c>
      <c r="I76" s="111">
        <v>0</v>
      </c>
      <c r="J76" s="111"/>
      <c r="K76" s="111">
        <v>0.6</v>
      </c>
      <c r="L76" s="266">
        <f t="shared" si="0"/>
        <v>7.5328800000000005</v>
      </c>
    </row>
    <row r="77" spans="1:14">
      <c r="A77" s="29">
        <v>34</v>
      </c>
      <c r="B77" s="111">
        <v>6</v>
      </c>
      <c r="C77" s="111">
        <v>535</v>
      </c>
      <c r="D77" s="111" t="s">
        <v>453</v>
      </c>
      <c r="E77" s="111" t="s">
        <v>448</v>
      </c>
      <c r="F77" s="265">
        <v>41913</v>
      </c>
      <c r="G77" s="265">
        <v>41927</v>
      </c>
      <c r="H77" s="111">
        <v>1579.72</v>
      </c>
      <c r="I77" s="111">
        <v>0</v>
      </c>
      <c r="J77" s="111"/>
      <c r="K77" s="111">
        <v>0.6</v>
      </c>
      <c r="L77" s="266">
        <f t="shared" si="0"/>
        <v>9.4783200000000001</v>
      </c>
      <c r="N77" s="29">
        <v>2000</v>
      </c>
    </row>
    <row r="78" spans="1:14">
      <c r="A78" s="29">
        <v>23</v>
      </c>
      <c r="B78" s="111">
        <v>6</v>
      </c>
      <c r="C78" s="111">
        <v>523</v>
      </c>
      <c r="D78" s="111" t="s">
        <v>453</v>
      </c>
      <c r="E78" s="111" t="s">
        <v>448</v>
      </c>
      <c r="F78" s="265">
        <v>41908</v>
      </c>
      <c r="G78" s="265">
        <v>41927</v>
      </c>
      <c r="H78" s="111">
        <v>2010.9</v>
      </c>
      <c r="I78" s="111">
        <v>0</v>
      </c>
      <c r="J78" s="111"/>
      <c r="K78" s="111">
        <v>0.6</v>
      </c>
      <c r="L78" s="266">
        <f t="shared" si="0"/>
        <v>12.0654</v>
      </c>
    </row>
    <row r="79" spans="1:14">
      <c r="A79" s="29">
        <v>7</v>
      </c>
      <c r="B79" s="111">
        <v>6</v>
      </c>
      <c r="C79" s="111">
        <v>495</v>
      </c>
      <c r="D79" s="111" t="s">
        <v>453</v>
      </c>
      <c r="E79" s="111" t="s">
        <v>448</v>
      </c>
      <c r="F79" s="265">
        <v>41894</v>
      </c>
      <c r="G79" s="265">
        <v>41934</v>
      </c>
      <c r="H79" s="111">
        <v>2971.1</v>
      </c>
      <c r="I79" s="111">
        <v>0</v>
      </c>
      <c r="J79" s="111"/>
      <c r="K79" s="111">
        <v>0.6</v>
      </c>
      <c r="L79" s="266">
        <f t="shared" si="0"/>
        <v>17.826599999999999</v>
      </c>
    </row>
    <row r="80" spans="1:14">
      <c r="A80" s="29">
        <v>20</v>
      </c>
      <c r="B80" s="111">
        <v>1</v>
      </c>
      <c r="C80" s="111">
        <v>299692</v>
      </c>
      <c r="D80" s="111" t="s">
        <v>455</v>
      </c>
      <c r="E80" s="111" t="s">
        <v>450</v>
      </c>
      <c r="F80" s="265">
        <v>41619</v>
      </c>
      <c r="G80" s="265">
        <v>41914</v>
      </c>
      <c r="H80" s="111">
        <v>5660</v>
      </c>
      <c r="I80" s="111">
        <v>5659.99</v>
      </c>
      <c r="J80" s="111"/>
      <c r="K80" s="111">
        <v>0.6</v>
      </c>
      <c r="L80" s="266">
        <f t="shared" si="0"/>
        <v>6.000000000130967E-5</v>
      </c>
    </row>
    <row r="81" spans="1:12">
      <c r="A81" s="29">
        <v>46</v>
      </c>
      <c r="B81" s="111">
        <v>6</v>
      </c>
      <c r="C81" s="111">
        <v>524</v>
      </c>
      <c r="D81" s="111" t="s">
        <v>462</v>
      </c>
      <c r="E81" s="111" t="s">
        <v>452</v>
      </c>
      <c r="F81" s="265">
        <v>41908</v>
      </c>
      <c r="G81" s="265">
        <v>41921</v>
      </c>
      <c r="H81" s="111">
        <v>6700</v>
      </c>
      <c r="I81" s="111">
        <v>0</v>
      </c>
      <c r="J81" s="111"/>
      <c r="K81" s="111">
        <v>0.6</v>
      </c>
      <c r="L81" s="266">
        <f t="shared" si="0"/>
        <v>40.200000000000003</v>
      </c>
    </row>
    <row r="82" spans="1:12">
      <c r="A82" s="29">
        <v>39</v>
      </c>
      <c r="B82" s="111">
        <v>6</v>
      </c>
      <c r="C82" s="111">
        <v>443</v>
      </c>
      <c r="D82" s="111" t="s">
        <v>461</v>
      </c>
      <c r="E82" s="111" t="s">
        <v>448</v>
      </c>
      <c r="F82" s="265">
        <v>41856</v>
      </c>
      <c r="G82" s="265">
        <v>41928</v>
      </c>
      <c r="H82" s="111">
        <v>176</v>
      </c>
      <c r="I82" s="111">
        <v>0</v>
      </c>
      <c r="J82" s="111"/>
      <c r="K82" s="111">
        <v>0.6</v>
      </c>
      <c r="L82" s="266">
        <f t="shared" si="0"/>
        <v>1.056</v>
      </c>
    </row>
    <row r="83" spans="1:12">
      <c r="A83" s="29">
        <v>27</v>
      </c>
      <c r="B83" s="111">
        <v>6</v>
      </c>
      <c r="C83" s="111">
        <v>325</v>
      </c>
      <c r="D83" s="111" t="s">
        <v>459</v>
      </c>
      <c r="E83" s="111" t="s">
        <v>382</v>
      </c>
      <c r="F83" s="265">
        <v>41785</v>
      </c>
      <c r="G83" s="265">
        <v>41928</v>
      </c>
      <c r="H83" s="111">
        <v>4270.59</v>
      </c>
      <c r="I83" s="111">
        <v>0</v>
      </c>
      <c r="J83" s="111"/>
      <c r="K83" s="111">
        <v>0.6</v>
      </c>
      <c r="L83" s="266">
        <f t="shared" si="0"/>
        <v>25.623540000000002</v>
      </c>
    </row>
    <row r="84" spans="1:12">
      <c r="A84" s="29">
        <v>25</v>
      </c>
      <c r="B84" s="111">
        <v>6</v>
      </c>
      <c r="C84" s="111">
        <v>408</v>
      </c>
      <c r="D84" s="111" t="s">
        <v>379</v>
      </c>
      <c r="E84" s="111" t="s">
        <v>380</v>
      </c>
      <c r="F84" s="265">
        <v>41828</v>
      </c>
      <c r="G84" s="265">
        <v>41934</v>
      </c>
      <c r="H84" s="111">
        <v>2100</v>
      </c>
      <c r="I84" s="111">
        <v>0</v>
      </c>
      <c r="J84" s="111"/>
      <c r="K84" s="111">
        <v>0.6</v>
      </c>
      <c r="L84" s="266">
        <f t="shared" si="0"/>
        <v>12.6</v>
      </c>
    </row>
    <row r="85" spans="1:12">
      <c r="A85" s="29">
        <v>45</v>
      </c>
      <c r="B85" s="111">
        <v>6</v>
      </c>
      <c r="C85" s="111">
        <v>463</v>
      </c>
      <c r="D85" s="111" t="s">
        <v>379</v>
      </c>
      <c r="E85" s="111" t="s">
        <v>380</v>
      </c>
      <c r="F85" s="265">
        <v>41869</v>
      </c>
      <c r="G85" s="265">
        <v>41934</v>
      </c>
      <c r="H85" s="111">
        <v>4800</v>
      </c>
      <c r="I85" s="111">
        <v>0</v>
      </c>
      <c r="J85" s="111"/>
      <c r="K85" s="111">
        <v>0.6</v>
      </c>
      <c r="L85" s="266">
        <f t="shared" si="0"/>
        <v>28.8</v>
      </c>
    </row>
    <row r="86" spans="1:12">
      <c r="A86" s="29">
        <v>21</v>
      </c>
      <c r="B86" s="111">
        <v>1</v>
      </c>
      <c r="C86" s="111">
        <v>287218</v>
      </c>
      <c r="D86" s="111" t="s">
        <v>381</v>
      </c>
      <c r="E86" s="111" t="s">
        <v>382</v>
      </c>
      <c r="F86" s="265">
        <v>41449</v>
      </c>
      <c r="G86" s="265">
        <v>41928</v>
      </c>
      <c r="H86" s="111">
        <v>4235</v>
      </c>
      <c r="I86" s="111">
        <v>4235</v>
      </c>
      <c r="J86" s="111"/>
      <c r="K86" s="111">
        <v>0.6</v>
      </c>
      <c r="L86" s="266">
        <f t="shared" si="0"/>
        <v>0</v>
      </c>
    </row>
    <row r="87" spans="1:12">
      <c r="A87" s="29">
        <v>41</v>
      </c>
      <c r="B87" s="111">
        <v>1</v>
      </c>
      <c r="C87" s="111">
        <v>280245</v>
      </c>
      <c r="D87" s="111" t="s">
        <v>381</v>
      </c>
      <c r="E87" s="111" t="s">
        <v>382</v>
      </c>
      <c r="F87" s="265">
        <v>41360</v>
      </c>
      <c r="G87" s="265">
        <v>41928</v>
      </c>
      <c r="H87" s="111">
        <v>180</v>
      </c>
      <c r="I87" s="111">
        <v>180</v>
      </c>
      <c r="J87" s="111"/>
      <c r="K87" s="111">
        <v>0.6</v>
      </c>
      <c r="L87" s="266">
        <f t="shared" si="0"/>
        <v>0</v>
      </c>
    </row>
    <row r="88" spans="1:12">
      <c r="A88" s="29">
        <v>51</v>
      </c>
      <c r="B88" s="111">
        <v>1</v>
      </c>
      <c r="C88" s="111">
        <v>201200</v>
      </c>
      <c r="D88" s="111" t="s">
        <v>381</v>
      </c>
      <c r="E88" s="111" t="s">
        <v>382</v>
      </c>
      <c r="F88" s="265">
        <v>40456</v>
      </c>
      <c r="G88" s="265">
        <v>41928</v>
      </c>
      <c r="H88" s="111">
        <v>342.7</v>
      </c>
      <c r="I88" s="111">
        <v>342.7</v>
      </c>
      <c r="J88" s="111"/>
      <c r="K88" s="111">
        <v>0.6</v>
      </c>
      <c r="L88" s="266">
        <f t="shared" si="0"/>
        <v>0</v>
      </c>
    </row>
    <row r="89" spans="1:12">
      <c r="A89" s="29">
        <v>12</v>
      </c>
      <c r="B89" s="111">
        <v>6</v>
      </c>
      <c r="C89" s="111">
        <v>501</v>
      </c>
      <c r="D89" s="111" t="s">
        <v>454</v>
      </c>
      <c r="E89" s="111" t="s">
        <v>448</v>
      </c>
      <c r="F89" s="265">
        <v>41897</v>
      </c>
      <c r="G89" s="265">
        <v>41927</v>
      </c>
      <c r="H89" s="111">
        <v>1681.88</v>
      </c>
      <c r="I89" s="111">
        <v>0</v>
      </c>
      <c r="J89" s="111"/>
      <c r="K89" s="111">
        <v>0.6</v>
      </c>
      <c r="L89" s="266">
        <f t="shared" si="0"/>
        <v>10.091280000000001</v>
      </c>
    </row>
    <row r="90" spans="1:12">
      <c r="A90" s="29">
        <v>19</v>
      </c>
      <c r="B90" s="111">
        <v>6</v>
      </c>
      <c r="C90" s="111">
        <v>513</v>
      </c>
      <c r="D90" s="111" t="s">
        <v>454</v>
      </c>
      <c r="E90" s="111" t="s">
        <v>448</v>
      </c>
      <c r="F90" s="265">
        <v>41900</v>
      </c>
      <c r="G90" s="265">
        <v>41927</v>
      </c>
      <c r="H90" s="111">
        <v>5821.88</v>
      </c>
      <c r="I90" s="111">
        <v>0</v>
      </c>
      <c r="J90" s="111"/>
      <c r="K90" s="111">
        <v>0.6</v>
      </c>
      <c r="L90" s="266">
        <f t="shared" si="0"/>
        <v>34.931280000000001</v>
      </c>
    </row>
    <row r="91" spans="1:12">
      <c r="A91" s="29">
        <v>48</v>
      </c>
      <c r="B91" s="111">
        <v>6</v>
      </c>
      <c r="C91" s="111">
        <v>484</v>
      </c>
      <c r="D91" s="111" t="s">
        <v>454</v>
      </c>
      <c r="E91" s="111" t="s">
        <v>448</v>
      </c>
      <c r="F91" s="265">
        <v>41884</v>
      </c>
      <c r="G91" s="265">
        <v>41915</v>
      </c>
      <c r="H91" s="111">
        <v>6145.32</v>
      </c>
      <c r="I91" s="111">
        <v>0</v>
      </c>
      <c r="J91" s="111"/>
      <c r="K91" s="111">
        <v>0.6</v>
      </c>
      <c r="L91" s="266">
        <f t="shared" si="0"/>
        <v>36.871919999999996</v>
      </c>
    </row>
    <row r="92" spans="1:12">
      <c r="A92" s="29">
        <v>17</v>
      </c>
      <c r="B92" s="111">
        <v>6</v>
      </c>
      <c r="C92" s="111">
        <v>514</v>
      </c>
      <c r="D92" s="111" t="s">
        <v>454</v>
      </c>
      <c r="E92" s="111" t="s">
        <v>448</v>
      </c>
      <c r="F92" s="265">
        <v>41900</v>
      </c>
      <c r="G92" s="265">
        <v>41927</v>
      </c>
      <c r="H92" s="111">
        <v>25228.16</v>
      </c>
      <c r="I92" s="111">
        <v>0</v>
      </c>
      <c r="J92" s="111"/>
      <c r="K92" s="111">
        <v>0.6</v>
      </c>
      <c r="L92" s="266">
        <f t="shared" si="0"/>
        <v>151.36896000000002</v>
      </c>
    </row>
    <row r="93" spans="1:12">
      <c r="A93" s="29">
        <v>47</v>
      </c>
      <c r="B93" s="111">
        <v>6</v>
      </c>
      <c r="C93" s="111">
        <v>483</v>
      </c>
      <c r="D93" s="111" t="s">
        <v>454</v>
      </c>
      <c r="E93" s="111" t="s">
        <v>448</v>
      </c>
      <c r="F93" s="265">
        <v>41884</v>
      </c>
      <c r="G93" s="265">
        <v>41915</v>
      </c>
      <c r="H93" s="111">
        <v>36225.06</v>
      </c>
      <c r="I93" s="111">
        <v>0</v>
      </c>
      <c r="J93" s="111"/>
      <c r="K93" s="111">
        <v>0.6</v>
      </c>
      <c r="L93" s="266">
        <f t="shared" si="0"/>
        <v>217.35035999999999</v>
      </c>
    </row>
    <row r="94" spans="1:12">
      <c r="A94" s="29">
        <v>13</v>
      </c>
      <c r="B94" s="111">
        <v>6</v>
      </c>
      <c r="C94" s="111">
        <v>503</v>
      </c>
      <c r="D94" s="111" t="s">
        <v>447</v>
      </c>
      <c r="E94" s="111" t="s">
        <v>448</v>
      </c>
      <c r="F94" s="265">
        <v>41898</v>
      </c>
      <c r="G94" s="265">
        <v>41928</v>
      </c>
      <c r="H94" s="111">
        <v>880.15</v>
      </c>
      <c r="I94" s="111">
        <v>0</v>
      </c>
      <c r="J94" s="111"/>
      <c r="K94" s="111">
        <v>0.6</v>
      </c>
      <c r="L94" s="266">
        <f t="shared" si="0"/>
        <v>5.2808999999999999</v>
      </c>
    </row>
    <row r="95" spans="1:12">
      <c r="A95" s="29">
        <v>3</v>
      </c>
      <c r="B95" s="111">
        <v>6</v>
      </c>
      <c r="C95" s="111">
        <v>489</v>
      </c>
      <c r="D95" s="111" t="s">
        <v>447</v>
      </c>
      <c r="E95" s="111" t="s">
        <v>448</v>
      </c>
      <c r="F95" s="265">
        <v>41891</v>
      </c>
      <c r="G95" s="265">
        <v>41921</v>
      </c>
      <c r="H95" s="111">
        <v>1327.44</v>
      </c>
      <c r="I95" s="111">
        <v>0</v>
      </c>
      <c r="J95" s="111"/>
      <c r="K95" s="111">
        <v>0.6</v>
      </c>
      <c r="L95" s="266">
        <f t="shared" si="0"/>
        <v>7.9646400000000002</v>
      </c>
    </row>
    <row r="96" spans="1:12">
      <c r="A96" s="29">
        <v>11</v>
      </c>
      <c r="B96" s="111">
        <v>6</v>
      </c>
      <c r="C96" s="111">
        <v>500</v>
      </c>
      <c r="D96" s="111" t="s">
        <v>447</v>
      </c>
      <c r="E96" s="111" t="s">
        <v>448</v>
      </c>
      <c r="F96" s="265">
        <v>41897</v>
      </c>
      <c r="G96" s="265">
        <v>41927</v>
      </c>
      <c r="H96" s="111">
        <v>1416</v>
      </c>
      <c r="I96" s="111">
        <v>0</v>
      </c>
      <c r="J96" s="111"/>
      <c r="K96" s="111">
        <v>0.6</v>
      </c>
      <c r="L96" s="266">
        <f t="shared" si="0"/>
        <v>8.4960000000000004</v>
      </c>
    </row>
    <row r="97" spans="1:14">
      <c r="A97" s="29">
        <v>10</v>
      </c>
      <c r="B97" s="111">
        <v>6</v>
      </c>
      <c r="C97" s="111">
        <v>499</v>
      </c>
      <c r="D97" s="111" t="s">
        <v>447</v>
      </c>
      <c r="E97" s="111" t="s">
        <v>448</v>
      </c>
      <c r="F97" s="265">
        <v>41897</v>
      </c>
      <c r="G97" s="265">
        <v>41927</v>
      </c>
      <c r="H97" s="111">
        <v>2116.2399999999998</v>
      </c>
      <c r="I97" s="111">
        <v>0</v>
      </c>
      <c r="J97" s="111"/>
      <c r="K97" s="111">
        <v>0.6</v>
      </c>
      <c r="L97" s="266">
        <f t="shared" si="0"/>
        <v>12.697439999999999</v>
      </c>
    </row>
    <row r="98" spans="1:14">
      <c r="A98" s="29">
        <v>14</v>
      </c>
      <c r="B98" s="111">
        <v>6</v>
      </c>
      <c r="C98" s="111">
        <v>505</v>
      </c>
      <c r="D98" s="111" t="s">
        <v>447</v>
      </c>
      <c r="E98" s="111" t="s">
        <v>448</v>
      </c>
      <c r="F98" s="265">
        <v>41898</v>
      </c>
      <c r="G98" s="265">
        <v>41928</v>
      </c>
      <c r="H98" s="111">
        <v>2659.01</v>
      </c>
      <c r="I98" s="111">
        <v>0</v>
      </c>
      <c r="J98" s="111"/>
      <c r="K98" s="111">
        <v>0.6</v>
      </c>
      <c r="L98" s="266">
        <f t="shared" si="0"/>
        <v>15.954060000000002</v>
      </c>
    </row>
    <row r="99" spans="1:14">
      <c r="A99" s="29">
        <v>15</v>
      </c>
      <c r="B99" s="111">
        <v>6</v>
      </c>
      <c r="C99" s="111">
        <v>504</v>
      </c>
      <c r="D99" s="111" t="s">
        <v>447</v>
      </c>
      <c r="E99" s="111" t="s">
        <v>448</v>
      </c>
      <c r="F99" s="265">
        <v>41898</v>
      </c>
      <c r="G99" s="265">
        <v>41928</v>
      </c>
      <c r="H99" s="111">
        <v>3656.48</v>
      </c>
      <c r="I99" s="111">
        <v>0</v>
      </c>
      <c r="J99" s="111"/>
      <c r="K99" s="111">
        <v>0.6</v>
      </c>
      <c r="L99" s="266">
        <f t="shared" si="0"/>
        <v>21.938880000000001</v>
      </c>
    </row>
    <row r="100" spans="1:14">
      <c r="A100" s="29">
        <v>6</v>
      </c>
      <c r="B100" s="111">
        <v>6</v>
      </c>
      <c r="C100" s="111">
        <v>494</v>
      </c>
      <c r="D100" s="111" t="s">
        <v>447</v>
      </c>
      <c r="E100" s="111" t="s">
        <v>448</v>
      </c>
      <c r="F100" s="265">
        <v>41894</v>
      </c>
      <c r="G100" s="265">
        <v>41925</v>
      </c>
      <c r="H100" s="111">
        <v>4980.76</v>
      </c>
      <c r="I100" s="111">
        <v>0</v>
      </c>
      <c r="J100" s="111"/>
      <c r="K100" s="111">
        <v>0.6</v>
      </c>
      <c r="L100" s="266">
        <f t="shared" si="0"/>
        <v>29.88456</v>
      </c>
    </row>
    <row r="101" spans="1:14" s="59" customFormat="1" ht="9">
      <c r="G101" s="264" t="s">
        <v>464</v>
      </c>
      <c r="H101" s="264">
        <f>SUM(H61:H100)</f>
        <v>284942.17000000004</v>
      </c>
      <c r="K101" s="264" t="s">
        <v>383</v>
      </c>
      <c r="L101" s="267">
        <f>SUM(L61:L100)</f>
        <v>1590.05088</v>
      </c>
      <c r="N101" s="60">
        <f>L101-1590</f>
        <v>5.0880000000006476E-2</v>
      </c>
    </row>
    <row r="108" spans="1:14">
      <c r="B108" s="29" t="s">
        <v>465</v>
      </c>
    </row>
    <row r="110" spans="1:14" s="59" customFormat="1" ht="9">
      <c r="A110" s="59" t="s">
        <v>45</v>
      </c>
      <c r="B110" s="264" t="s">
        <v>369</v>
      </c>
      <c r="C110" s="264" t="s">
        <v>370</v>
      </c>
      <c r="D110" s="264" t="s">
        <v>371</v>
      </c>
      <c r="E110" s="264" t="s">
        <v>372</v>
      </c>
      <c r="F110" s="264" t="s">
        <v>373</v>
      </c>
      <c r="G110" s="264" t="s">
        <v>374</v>
      </c>
      <c r="H110" s="264" t="s">
        <v>375</v>
      </c>
      <c r="I110" s="264" t="s">
        <v>376</v>
      </c>
      <c r="J110" s="264"/>
      <c r="K110" s="264" t="s">
        <v>377</v>
      </c>
      <c r="L110" s="264" t="s">
        <v>378</v>
      </c>
    </row>
    <row r="111" spans="1:14">
      <c r="A111" s="29">
        <v>1</v>
      </c>
      <c r="B111" s="111">
        <v>6</v>
      </c>
      <c r="C111" s="111">
        <v>502</v>
      </c>
      <c r="D111" s="111" t="s">
        <v>460</v>
      </c>
      <c r="E111" s="111" t="s">
        <v>448</v>
      </c>
      <c r="F111" s="265">
        <v>41897</v>
      </c>
      <c r="G111" s="265">
        <v>41956</v>
      </c>
      <c r="H111" s="111">
        <v>50</v>
      </c>
      <c r="I111" s="111">
        <v>0</v>
      </c>
      <c r="J111" s="111"/>
      <c r="K111" s="111">
        <v>0.6</v>
      </c>
      <c r="L111" s="266">
        <f t="shared" ref="L111:L142" si="1">H111*K111%</f>
        <v>0.3</v>
      </c>
      <c r="M111" s="29">
        <f t="shared" ref="M111:M142" si="2">G111-F111</f>
        <v>59</v>
      </c>
    </row>
    <row r="112" spans="1:14">
      <c r="A112" s="29">
        <v>2</v>
      </c>
      <c r="B112" s="111">
        <v>1</v>
      </c>
      <c r="C112" s="111">
        <v>302375</v>
      </c>
      <c r="D112" s="111" t="s">
        <v>381</v>
      </c>
      <c r="E112" s="111" t="s">
        <v>382</v>
      </c>
      <c r="F112" s="265">
        <v>41664</v>
      </c>
      <c r="G112" s="265">
        <v>41948</v>
      </c>
      <c r="H112" s="111">
        <v>2846.7</v>
      </c>
      <c r="I112" s="111">
        <v>0</v>
      </c>
      <c r="J112" s="111"/>
      <c r="K112" s="111">
        <v>0</v>
      </c>
      <c r="L112" s="266">
        <f t="shared" si="1"/>
        <v>0</v>
      </c>
      <c r="M112" s="29">
        <f t="shared" si="2"/>
        <v>284</v>
      </c>
    </row>
    <row r="113" spans="1:13">
      <c r="A113" s="29">
        <v>3</v>
      </c>
      <c r="B113" s="111">
        <v>1</v>
      </c>
      <c r="C113" s="111">
        <v>302384</v>
      </c>
      <c r="D113" s="111" t="s">
        <v>381</v>
      </c>
      <c r="E113" s="111" t="s">
        <v>382</v>
      </c>
      <c r="F113" s="265">
        <v>41664</v>
      </c>
      <c r="G113" s="265">
        <v>41948</v>
      </c>
      <c r="H113" s="111">
        <v>1841.77</v>
      </c>
      <c r="I113" s="111">
        <v>0</v>
      </c>
      <c r="J113" s="111"/>
      <c r="K113" s="111">
        <v>0</v>
      </c>
      <c r="L113" s="266">
        <f t="shared" si="1"/>
        <v>0</v>
      </c>
      <c r="M113" s="29">
        <f t="shared" si="2"/>
        <v>284</v>
      </c>
    </row>
    <row r="114" spans="1:13">
      <c r="A114" s="29">
        <v>4</v>
      </c>
      <c r="B114" s="111">
        <v>1</v>
      </c>
      <c r="C114" s="111">
        <v>287219</v>
      </c>
      <c r="D114" s="111" t="s">
        <v>381</v>
      </c>
      <c r="E114" s="111" t="s">
        <v>382</v>
      </c>
      <c r="F114" s="265">
        <v>41449</v>
      </c>
      <c r="G114" s="265">
        <v>41964</v>
      </c>
      <c r="H114" s="111">
        <v>5950</v>
      </c>
      <c r="I114" s="111">
        <v>0</v>
      </c>
      <c r="J114" s="111"/>
      <c r="K114" s="111">
        <v>0</v>
      </c>
      <c r="L114" s="266">
        <f t="shared" si="1"/>
        <v>0</v>
      </c>
      <c r="M114" s="29">
        <f t="shared" si="2"/>
        <v>515</v>
      </c>
    </row>
    <row r="115" spans="1:13">
      <c r="A115" s="29">
        <v>5</v>
      </c>
      <c r="B115" s="111">
        <v>6</v>
      </c>
      <c r="C115" s="111">
        <v>519</v>
      </c>
      <c r="D115" s="111" t="s">
        <v>379</v>
      </c>
      <c r="E115" s="111" t="s">
        <v>380</v>
      </c>
      <c r="F115" s="265">
        <v>41905</v>
      </c>
      <c r="G115" s="265">
        <v>41968</v>
      </c>
      <c r="H115" s="111">
        <v>3140</v>
      </c>
      <c r="I115" s="111">
        <v>0</v>
      </c>
      <c r="J115" s="111"/>
      <c r="K115" s="111">
        <v>0.6</v>
      </c>
      <c r="L115" s="266">
        <f t="shared" si="1"/>
        <v>18.84</v>
      </c>
      <c r="M115" s="29">
        <f t="shared" si="2"/>
        <v>63</v>
      </c>
    </row>
    <row r="116" spans="1:13">
      <c r="A116" s="29">
        <v>6</v>
      </c>
      <c r="B116" s="111">
        <v>6</v>
      </c>
      <c r="C116" s="111">
        <v>520</v>
      </c>
      <c r="D116" s="111" t="s">
        <v>379</v>
      </c>
      <c r="E116" s="111" t="s">
        <v>380</v>
      </c>
      <c r="F116" s="265">
        <v>41905</v>
      </c>
      <c r="G116" s="265">
        <v>41946</v>
      </c>
      <c r="H116" s="111">
        <v>390</v>
      </c>
      <c r="I116" s="111">
        <v>0</v>
      </c>
      <c r="J116" s="111"/>
      <c r="K116" s="111">
        <v>0.6</v>
      </c>
      <c r="L116" s="266">
        <f t="shared" si="1"/>
        <v>2.34</v>
      </c>
      <c r="M116" s="29">
        <f t="shared" si="2"/>
        <v>41</v>
      </c>
    </row>
    <row r="117" spans="1:13">
      <c r="A117" s="29">
        <v>7</v>
      </c>
      <c r="B117" s="111">
        <v>6</v>
      </c>
      <c r="C117" s="111">
        <v>522</v>
      </c>
      <c r="D117" s="111" t="s">
        <v>453</v>
      </c>
      <c r="E117" s="111" t="s">
        <v>448</v>
      </c>
      <c r="F117" s="265">
        <v>41908</v>
      </c>
      <c r="G117" s="265">
        <v>41950</v>
      </c>
      <c r="H117" s="111">
        <v>250</v>
      </c>
      <c r="I117" s="111">
        <v>0</v>
      </c>
      <c r="J117" s="111"/>
      <c r="K117" s="111">
        <v>0.6</v>
      </c>
      <c r="L117" s="266">
        <f t="shared" si="1"/>
        <v>1.5</v>
      </c>
      <c r="M117" s="29">
        <f t="shared" si="2"/>
        <v>42</v>
      </c>
    </row>
    <row r="118" spans="1:13">
      <c r="A118" s="29">
        <v>8</v>
      </c>
      <c r="B118" s="111">
        <v>6</v>
      </c>
      <c r="C118" s="111">
        <v>527</v>
      </c>
      <c r="D118" s="111" t="s">
        <v>447</v>
      </c>
      <c r="E118" s="111" t="s">
        <v>448</v>
      </c>
      <c r="F118" s="265">
        <v>41911</v>
      </c>
      <c r="G118" s="265">
        <v>41946</v>
      </c>
      <c r="H118" s="111">
        <v>2257.34</v>
      </c>
      <c r="I118" s="111">
        <v>0</v>
      </c>
      <c r="J118" s="111"/>
      <c r="K118" s="111">
        <v>0.6</v>
      </c>
      <c r="L118" s="266">
        <f t="shared" si="1"/>
        <v>13.544040000000001</v>
      </c>
      <c r="M118" s="29">
        <f t="shared" si="2"/>
        <v>35</v>
      </c>
    </row>
    <row r="119" spans="1:13">
      <c r="A119" s="29">
        <v>9</v>
      </c>
      <c r="B119" s="111">
        <v>1</v>
      </c>
      <c r="C119" s="111">
        <v>272482</v>
      </c>
      <c r="D119" s="111" t="s">
        <v>466</v>
      </c>
      <c r="E119" s="111" t="s">
        <v>382</v>
      </c>
      <c r="F119" s="265">
        <v>41263</v>
      </c>
      <c r="G119" s="265">
        <v>41962</v>
      </c>
      <c r="H119" s="111">
        <v>4336</v>
      </c>
      <c r="I119" s="111">
        <v>0</v>
      </c>
      <c r="J119" s="111"/>
      <c r="K119" s="111">
        <v>0</v>
      </c>
      <c r="L119" s="266">
        <f t="shared" si="1"/>
        <v>0</v>
      </c>
      <c r="M119" s="29">
        <f t="shared" si="2"/>
        <v>699</v>
      </c>
    </row>
    <row r="120" spans="1:13">
      <c r="A120" s="29">
        <v>10</v>
      </c>
      <c r="B120" s="111">
        <v>6</v>
      </c>
      <c r="C120" s="111">
        <v>407</v>
      </c>
      <c r="D120" s="111" t="s">
        <v>379</v>
      </c>
      <c r="E120" s="111" t="s">
        <v>380</v>
      </c>
      <c r="F120" s="265">
        <v>41827</v>
      </c>
      <c r="G120" s="265">
        <v>41946</v>
      </c>
      <c r="H120" s="111">
        <v>320</v>
      </c>
      <c r="I120" s="111">
        <v>0</v>
      </c>
      <c r="J120" s="111"/>
      <c r="K120" s="111">
        <v>0</v>
      </c>
      <c r="L120" s="266">
        <f t="shared" si="1"/>
        <v>0</v>
      </c>
      <c r="M120" s="29">
        <f t="shared" si="2"/>
        <v>119</v>
      </c>
    </row>
    <row r="121" spans="1:13">
      <c r="A121" s="29">
        <v>11</v>
      </c>
      <c r="B121" s="111">
        <v>6</v>
      </c>
      <c r="C121" s="111">
        <v>311</v>
      </c>
      <c r="D121" s="111" t="s">
        <v>381</v>
      </c>
      <c r="E121" s="111" t="s">
        <v>382</v>
      </c>
      <c r="F121" s="265">
        <v>41780</v>
      </c>
      <c r="G121" s="265">
        <v>41962</v>
      </c>
      <c r="H121" s="111">
        <v>900</v>
      </c>
      <c r="I121" s="111">
        <v>0</v>
      </c>
      <c r="J121" s="111"/>
      <c r="K121" s="111">
        <v>0</v>
      </c>
      <c r="L121" s="266">
        <f t="shared" si="1"/>
        <v>0</v>
      </c>
      <c r="M121" s="29">
        <f t="shared" si="2"/>
        <v>182</v>
      </c>
    </row>
    <row r="122" spans="1:13">
      <c r="A122" s="29">
        <v>12</v>
      </c>
      <c r="B122" s="111">
        <v>6</v>
      </c>
      <c r="C122" s="111">
        <v>399</v>
      </c>
      <c r="D122" s="111" t="s">
        <v>381</v>
      </c>
      <c r="E122" s="111" t="s">
        <v>382</v>
      </c>
      <c r="F122" s="265">
        <v>41821</v>
      </c>
      <c r="G122" s="265">
        <v>41967</v>
      </c>
      <c r="H122" s="111">
        <v>9745.11</v>
      </c>
      <c r="I122" s="111">
        <v>0</v>
      </c>
      <c r="J122" s="111"/>
      <c r="K122" s="111">
        <v>0</v>
      </c>
      <c r="L122" s="266">
        <f t="shared" si="1"/>
        <v>0</v>
      </c>
      <c r="M122" s="29">
        <f t="shared" si="2"/>
        <v>146</v>
      </c>
    </row>
    <row r="123" spans="1:13">
      <c r="A123" s="29">
        <v>13</v>
      </c>
      <c r="B123" s="111">
        <v>6</v>
      </c>
      <c r="C123" s="111">
        <v>394</v>
      </c>
      <c r="D123" s="111" t="s">
        <v>379</v>
      </c>
      <c r="E123" s="111" t="s">
        <v>380</v>
      </c>
      <c r="F123" s="265">
        <v>41817</v>
      </c>
      <c r="G123" s="265">
        <v>41969</v>
      </c>
      <c r="H123" s="111">
        <v>10950</v>
      </c>
      <c r="I123" s="111">
        <v>10950</v>
      </c>
      <c r="J123" s="111"/>
      <c r="K123" s="111">
        <v>0</v>
      </c>
      <c r="L123" s="266">
        <f t="shared" si="1"/>
        <v>0</v>
      </c>
      <c r="M123" s="29">
        <f t="shared" si="2"/>
        <v>152</v>
      </c>
    </row>
    <row r="124" spans="1:13">
      <c r="A124" s="29">
        <v>14</v>
      </c>
      <c r="B124" s="111">
        <v>6</v>
      </c>
      <c r="C124" s="111">
        <v>529</v>
      </c>
      <c r="D124" s="111" t="s">
        <v>453</v>
      </c>
      <c r="E124" s="111" t="s">
        <v>448</v>
      </c>
      <c r="F124" s="265">
        <v>41912</v>
      </c>
      <c r="G124" s="265">
        <v>41950</v>
      </c>
      <c r="H124" s="111">
        <v>1662.01</v>
      </c>
      <c r="I124" s="111">
        <v>0</v>
      </c>
      <c r="J124" s="111"/>
      <c r="K124" s="111">
        <v>0.6</v>
      </c>
      <c r="L124" s="266">
        <f t="shared" si="1"/>
        <v>9.9720600000000008</v>
      </c>
      <c r="M124" s="29">
        <f t="shared" si="2"/>
        <v>38</v>
      </c>
    </row>
    <row r="125" spans="1:13">
      <c r="A125" s="29">
        <v>15</v>
      </c>
      <c r="B125" s="111">
        <v>6</v>
      </c>
      <c r="C125" s="111">
        <v>530</v>
      </c>
      <c r="D125" s="111" t="s">
        <v>379</v>
      </c>
      <c r="E125" s="111" t="s">
        <v>380</v>
      </c>
      <c r="F125" s="265">
        <v>41913</v>
      </c>
      <c r="G125" s="265">
        <v>41950</v>
      </c>
      <c r="H125" s="111">
        <v>5600</v>
      </c>
      <c r="I125" s="111">
        <v>0</v>
      </c>
      <c r="J125" s="111"/>
      <c r="K125" s="111">
        <v>0.6</v>
      </c>
      <c r="L125" s="266">
        <f t="shared" si="1"/>
        <v>33.6</v>
      </c>
      <c r="M125" s="29">
        <f t="shared" si="2"/>
        <v>37</v>
      </c>
    </row>
    <row r="126" spans="1:13">
      <c r="A126" s="29">
        <v>16</v>
      </c>
      <c r="B126" s="111">
        <v>6</v>
      </c>
      <c r="C126" s="111">
        <v>531</v>
      </c>
      <c r="D126" s="111" t="s">
        <v>379</v>
      </c>
      <c r="E126" s="111" t="s">
        <v>380</v>
      </c>
      <c r="F126" s="265">
        <v>41913</v>
      </c>
      <c r="G126" s="265">
        <v>41950</v>
      </c>
      <c r="H126" s="111">
        <v>7000</v>
      </c>
      <c r="I126" s="111">
        <v>0</v>
      </c>
      <c r="J126" s="111"/>
      <c r="K126" s="111">
        <v>0.6</v>
      </c>
      <c r="L126" s="266">
        <f t="shared" si="1"/>
        <v>42</v>
      </c>
      <c r="M126" s="29">
        <f t="shared" si="2"/>
        <v>37</v>
      </c>
    </row>
    <row r="127" spans="1:13">
      <c r="A127" s="29">
        <v>17</v>
      </c>
      <c r="B127" s="111">
        <v>6</v>
      </c>
      <c r="C127" s="111">
        <v>533</v>
      </c>
      <c r="D127" s="111" t="s">
        <v>454</v>
      </c>
      <c r="E127" s="111" t="s">
        <v>448</v>
      </c>
      <c r="F127" s="265">
        <v>41913</v>
      </c>
      <c r="G127" s="265">
        <v>41950</v>
      </c>
      <c r="H127" s="111">
        <v>11061.58</v>
      </c>
      <c r="I127" s="111">
        <v>0</v>
      </c>
      <c r="J127" s="111"/>
      <c r="K127" s="111">
        <v>0.6</v>
      </c>
      <c r="L127" s="266">
        <f t="shared" si="1"/>
        <v>66.369479999999996</v>
      </c>
      <c r="M127" s="29">
        <f t="shared" si="2"/>
        <v>37</v>
      </c>
    </row>
    <row r="128" spans="1:13">
      <c r="A128" s="29">
        <v>18</v>
      </c>
      <c r="B128" s="111">
        <v>6</v>
      </c>
      <c r="C128" s="111">
        <v>536</v>
      </c>
      <c r="D128" s="111" t="s">
        <v>447</v>
      </c>
      <c r="E128" s="111" t="s">
        <v>448</v>
      </c>
      <c r="F128" s="265">
        <v>41915</v>
      </c>
      <c r="G128" s="265">
        <v>41946</v>
      </c>
      <c r="H128" s="111">
        <v>4865.8599999999997</v>
      </c>
      <c r="I128" s="111">
        <v>0</v>
      </c>
      <c r="J128" s="111"/>
      <c r="K128" s="111">
        <v>0.6</v>
      </c>
      <c r="L128" s="266">
        <f t="shared" si="1"/>
        <v>29.195159999999998</v>
      </c>
      <c r="M128" s="29">
        <f t="shared" si="2"/>
        <v>31</v>
      </c>
    </row>
    <row r="129" spans="1:13">
      <c r="A129" s="29">
        <v>19</v>
      </c>
      <c r="B129" s="111">
        <v>6</v>
      </c>
      <c r="C129" s="111">
        <v>537</v>
      </c>
      <c r="D129" s="111" t="s">
        <v>447</v>
      </c>
      <c r="E129" s="111" t="s">
        <v>448</v>
      </c>
      <c r="F129" s="265">
        <v>41915</v>
      </c>
      <c r="G129" s="265">
        <v>41946</v>
      </c>
      <c r="H129" s="111">
        <v>169.92</v>
      </c>
      <c r="I129" s="111">
        <v>0</v>
      </c>
      <c r="J129" s="111"/>
      <c r="K129" s="111">
        <v>0.6</v>
      </c>
      <c r="L129" s="266">
        <f t="shared" si="1"/>
        <v>1.01952</v>
      </c>
      <c r="M129" s="29">
        <f t="shared" si="2"/>
        <v>31</v>
      </c>
    </row>
    <row r="130" spans="1:13">
      <c r="A130" s="29">
        <v>20</v>
      </c>
      <c r="B130" s="111">
        <v>1</v>
      </c>
      <c r="C130" s="111">
        <v>254521</v>
      </c>
      <c r="D130" s="111" t="s">
        <v>381</v>
      </c>
      <c r="E130" s="111" t="s">
        <v>382</v>
      </c>
      <c r="F130" s="265">
        <v>41065</v>
      </c>
      <c r="G130" s="265">
        <v>41962</v>
      </c>
      <c r="H130" s="111">
        <v>276</v>
      </c>
      <c r="I130" s="111">
        <v>0</v>
      </c>
      <c r="J130" s="111"/>
      <c r="K130" s="111">
        <v>0</v>
      </c>
      <c r="L130" s="266">
        <f t="shared" si="1"/>
        <v>0</v>
      </c>
      <c r="M130" s="29">
        <f t="shared" si="2"/>
        <v>897</v>
      </c>
    </row>
    <row r="131" spans="1:13">
      <c r="A131" s="29">
        <v>21</v>
      </c>
      <c r="B131" s="111">
        <v>1</v>
      </c>
      <c r="C131" s="111">
        <v>289094</v>
      </c>
      <c r="D131" s="111" t="s">
        <v>381</v>
      </c>
      <c r="E131" s="111" t="s">
        <v>382</v>
      </c>
      <c r="F131" s="265">
        <v>41473</v>
      </c>
      <c r="G131" s="265">
        <v>41962</v>
      </c>
      <c r="H131" s="111">
        <v>180</v>
      </c>
      <c r="I131" s="111">
        <v>0</v>
      </c>
      <c r="J131" s="111"/>
      <c r="K131" s="111">
        <v>0</v>
      </c>
      <c r="L131" s="266">
        <f t="shared" si="1"/>
        <v>0</v>
      </c>
      <c r="M131" s="29">
        <f t="shared" si="2"/>
        <v>489</v>
      </c>
    </row>
    <row r="132" spans="1:13">
      <c r="A132" s="29">
        <v>22</v>
      </c>
      <c r="B132" s="111">
        <v>6</v>
      </c>
      <c r="C132" s="111">
        <v>540</v>
      </c>
      <c r="D132" s="111" t="s">
        <v>460</v>
      </c>
      <c r="E132" s="111" t="s">
        <v>448</v>
      </c>
      <c r="F132" s="265">
        <v>41918</v>
      </c>
      <c r="G132" s="265">
        <v>41963</v>
      </c>
      <c r="H132" s="111">
        <v>3645</v>
      </c>
      <c r="I132" s="111">
        <v>0</v>
      </c>
      <c r="J132" s="111"/>
      <c r="K132" s="111">
        <v>0.6</v>
      </c>
      <c r="L132" s="266">
        <f t="shared" si="1"/>
        <v>21.87</v>
      </c>
      <c r="M132" s="29">
        <f t="shared" si="2"/>
        <v>45</v>
      </c>
    </row>
    <row r="133" spans="1:13">
      <c r="A133" s="29">
        <v>23</v>
      </c>
      <c r="B133" s="111">
        <v>6</v>
      </c>
      <c r="C133" s="111">
        <v>539</v>
      </c>
      <c r="D133" s="111" t="s">
        <v>447</v>
      </c>
      <c r="E133" s="111" t="s">
        <v>448</v>
      </c>
      <c r="F133" s="265">
        <v>41918</v>
      </c>
      <c r="G133" s="265">
        <v>41950</v>
      </c>
      <c r="H133" s="111">
        <v>3330.43</v>
      </c>
      <c r="I133" s="111">
        <v>0</v>
      </c>
      <c r="J133" s="111"/>
      <c r="K133" s="111">
        <v>0.6</v>
      </c>
      <c r="L133" s="266">
        <f t="shared" si="1"/>
        <v>19.982579999999999</v>
      </c>
      <c r="M133" s="29">
        <f t="shared" si="2"/>
        <v>32</v>
      </c>
    </row>
    <row r="134" spans="1:13">
      <c r="A134" s="29">
        <v>24</v>
      </c>
      <c r="B134" s="111">
        <v>6</v>
      </c>
      <c r="C134" s="111">
        <v>538</v>
      </c>
      <c r="D134" s="111" t="s">
        <v>447</v>
      </c>
      <c r="E134" s="111" t="s">
        <v>448</v>
      </c>
      <c r="F134" s="265">
        <v>41918</v>
      </c>
      <c r="G134" s="265">
        <v>41950</v>
      </c>
      <c r="H134" s="111">
        <v>3607.97</v>
      </c>
      <c r="I134" s="111">
        <v>0</v>
      </c>
      <c r="J134" s="111"/>
      <c r="K134" s="111">
        <v>0.6</v>
      </c>
      <c r="L134" s="266">
        <f t="shared" si="1"/>
        <v>21.647819999999999</v>
      </c>
      <c r="M134" s="29">
        <f t="shared" si="2"/>
        <v>32</v>
      </c>
    </row>
    <row r="135" spans="1:13">
      <c r="A135" s="29">
        <v>25</v>
      </c>
      <c r="B135" s="111">
        <v>6</v>
      </c>
      <c r="C135" s="111">
        <v>541</v>
      </c>
      <c r="D135" s="111" t="s">
        <v>460</v>
      </c>
      <c r="E135" s="111" t="s">
        <v>448</v>
      </c>
      <c r="F135" s="265">
        <v>41918</v>
      </c>
      <c r="G135" s="265">
        <v>41963</v>
      </c>
      <c r="H135" s="111">
        <v>2271</v>
      </c>
      <c r="I135" s="111">
        <v>0</v>
      </c>
      <c r="J135" s="111"/>
      <c r="K135" s="111">
        <v>0.6</v>
      </c>
      <c r="L135" s="266">
        <f t="shared" si="1"/>
        <v>13.625999999999999</v>
      </c>
      <c r="M135" s="29">
        <f t="shared" si="2"/>
        <v>45</v>
      </c>
    </row>
    <row r="136" spans="1:13">
      <c r="A136" s="29">
        <v>26</v>
      </c>
      <c r="B136" s="111">
        <v>6</v>
      </c>
      <c r="C136" s="111">
        <v>542</v>
      </c>
      <c r="D136" s="111" t="s">
        <v>454</v>
      </c>
      <c r="E136" s="111" t="s">
        <v>448</v>
      </c>
      <c r="F136" s="265">
        <v>41919</v>
      </c>
      <c r="G136" s="265">
        <v>41950</v>
      </c>
      <c r="H136" s="111">
        <v>41400.06</v>
      </c>
      <c r="I136" s="111">
        <v>0</v>
      </c>
      <c r="J136" s="111"/>
      <c r="K136" s="111">
        <v>0.6</v>
      </c>
      <c r="L136" s="266">
        <f t="shared" si="1"/>
        <v>248.40035999999998</v>
      </c>
      <c r="M136" s="29">
        <f t="shared" si="2"/>
        <v>31</v>
      </c>
    </row>
    <row r="137" spans="1:13">
      <c r="A137" s="29">
        <v>27</v>
      </c>
      <c r="B137" s="111">
        <v>6</v>
      </c>
      <c r="C137" s="111">
        <v>543</v>
      </c>
      <c r="D137" s="111" t="s">
        <v>467</v>
      </c>
      <c r="E137" s="111" t="s">
        <v>448</v>
      </c>
      <c r="F137" s="265">
        <v>41919</v>
      </c>
      <c r="G137" s="265">
        <v>41954</v>
      </c>
      <c r="H137" s="111">
        <v>2495.1999999999998</v>
      </c>
      <c r="I137" s="111">
        <v>0</v>
      </c>
      <c r="J137" s="111"/>
      <c r="K137" s="111">
        <v>0.6</v>
      </c>
      <c r="L137" s="266">
        <f t="shared" si="1"/>
        <v>14.9712</v>
      </c>
      <c r="M137" s="29">
        <f t="shared" si="2"/>
        <v>35</v>
      </c>
    </row>
    <row r="138" spans="1:13">
      <c r="A138" s="29">
        <v>28</v>
      </c>
      <c r="B138" s="111">
        <v>6</v>
      </c>
      <c r="C138" s="111">
        <v>544</v>
      </c>
      <c r="D138" s="111" t="s">
        <v>449</v>
      </c>
      <c r="E138" s="111" t="s">
        <v>450</v>
      </c>
      <c r="F138" s="265">
        <v>41921</v>
      </c>
      <c r="G138" s="265">
        <v>41965</v>
      </c>
      <c r="H138" s="111">
        <v>15846</v>
      </c>
      <c r="I138" s="111">
        <v>0</v>
      </c>
      <c r="J138" s="111"/>
      <c r="K138" s="111">
        <v>0.6</v>
      </c>
      <c r="L138" s="266">
        <f t="shared" si="1"/>
        <v>95.076000000000008</v>
      </c>
      <c r="M138" s="29">
        <f t="shared" si="2"/>
        <v>44</v>
      </c>
    </row>
    <row r="139" spans="1:13">
      <c r="A139" s="29">
        <v>29</v>
      </c>
      <c r="B139" s="111">
        <v>6</v>
      </c>
      <c r="C139" s="111">
        <v>549</v>
      </c>
      <c r="D139" s="111" t="s">
        <v>381</v>
      </c>
      <c r="E139" s="111" t="s">
        <v>382</v>
      </c>
      <c r="F139" s="265">
        <v>41922</v>
      </c>
      <c r="G139" s="265">
        <v>41946</v>
      </c>
      <c r="H139" s="111">
        <v>578.39</v>
      </c>
      <c r="I139" s="111">
        <v>0</v>
      </c>
      <c r="J139" s="111"/>
      <c r="K139" s="111">
        <v>0.6</v>
      </c>
      <c r="L139" s="266">
        <f t="shared" si="1"/>
        <v>3.4703400000000002</v>
      </c>
      <c r="M139" s="29">
        <f t="shared" si="2"/>
        <v>24</v>
      </c>
    </row>
    <row r="140" spans="1:13">
      <c r="A140" s="29">
        <v>30</v>
      </c>
      <c r="B140" s="111">
        <v>6</v>
      </c>
      <c r="C140" s="111">
        <v>547</v>
      </c>
      <c r="D140" s="111" t="s">
        <v>381</v>
      </c>
      <c r="E140" s="111" t="s">
        <v>382</v>
      </c>
      <c r="F140" s="265">
        <v>41922</v>
      </c>
      <c r="G140" s="265">
        <v>41954</v>
      </c>
      <c r="H140" s="111">
        <v>578.39</v>
      </c>
      <c r="I140" s="111">
        <v>0</v>
      </c>
      <c r="J140" s="111"/>
      <c r="K140" s="111">
        <v>0.6</v>
      </c>
      <c r="L140" s="266">
        <f t="shared" si="1"/>
        <v>3.4703400000000002</v>
      </c>
      <c r="M140" s="29">
        <f t="shared" si="2"/>
        <v>32</v>
      </c>
    </row>
    <row r="141" spans="1:13">
      <c r="A141" s="29">
        <v>32</v>
      </c>
      <c r="B141" s="111">
        <v>6</v>
      </c>
      <c r="C141" s="111">
        <v>546</v>
      </c>
      <c r="D141" s="111" t="s">
        <v>468</v>
      </c>
      <c r="E141" s="111" t="s">
        <v>382</v>
      </c>
      <c r="F141" s="265">
        <v>41922</v>
      </c>
      <c r="G141" s="265">
        <v>41946</v>
      </c>
      <c r="H141" s="111">
        <v>578.39</v>
      </c>
      <c r="I141" s="111">
        <v>0</v>
      </c>
      <c r="J141" s="111"/>
      <c r="K141" s="111">
        <v>0.6</v>
      </c>
      <c r="L141" s="266">
        <f t="shared" si="1"/>
        <v>3.4703400000000002</v>
      </c>
      <c r="M141" s="29">
        <f t="shared" si="2"/>
        <v>24</v>
      </c>
    </row>
    <row r="142" spans="1:13">
      <c r="A142" s="29">
        <v>33</v>
      </c>
      <c r="B142" s="111">
        <v>6</v>
      </c>
      <c r="C142" s="111">
        <v>548</v>
      </c>
      <c r="D142" s="111" t="s">
        <v>381</v>
      </c>
      <c r="E142" s="111" t="s">
        <v>382</v>
      </c>
      <c r="F142" s="265">
        <v>41922</v>
      </c>
      <c r="G142" s="265">
        <v>41946</v>
      </c>
      <c r="H142" s="111">
        <v>1156.79</v>
      </c>
      <c r="I142" s="111">
        <v>0</v>
      </c>
      <c r="J142" s="111"/>
      <c r="K142" s="111">
        <v>0.6</v>
      </c>
      <c r="L142" s="266">
        <f t="shared" si="1"/>
        <v>6.9407399999999999</v>
      </c>
      <c r="M142" s="29">
        <f t="shared" si="2"/>
        <v>24</v>
      </c>
    </row>
    <row r="143" spans="1:13">
      <c r="A143" s="29">
        <v>34</v>
      </c>
      <c r="B143" s="111">
        <v>6</v>
      </c>
      <c r="C143" s="111">
        <v>550</v>
      </c>
      <c r="D143" s="111" t="s">
        <v>381</v>
      </c>
      <c r="E143" s="111" t="s">
        <v>382</v>
      </c>
      <c r="F143" s="265">
        <v>41922</v>
      </c>
      <c r="G143" s="265">
        <v>41967</v>
      </c>
      <c r="H143" s="111">
        <v>76.41</v>
      </c>
      <c r="I143" s="111">
        <v>0</v>
      </c>
      <c r="J143" s="111"/>
      <c r="K143" s="111">
        <v>0.6</v>
      </c>
      <c r="L143" s="266">
        <f t="shared" ref="L143:L167" si="3">H143*K143%</f>
        <v>0.45845999999999998</v>
      </c>
      <c r="M143" s="29">
        <f t="shared" ref="M143:M167" si="4">G143-F143</f>
        <v>45</v>
      </c>
    </row>
    <row r="144" spans="1:13">
      <c r="A144" s="29">
        <v>35</v>
      </c>
      <c r="B144" s="111">
        <v>6</v>
      </c>
      <c r="C144" s="111">
        <v>551</v>
      </c>
      <c r="D144" s="111" t="s">
        <v>454</v>
      </c>
      <c r="E144" s="111" t="s">
        <v>448</v>
      </c>
      <c r="F144" s="265">
        <v>41922</v>
      </c>
      <c r="G144" s="265">
        <v>41950</v>
      </c>
      <c r="H144" s="111">
        <v>53302.58</v>
      </c>
      <c r="I144" s="111">
        <v>0</v>
      </c>
      <c r="J144" s="111"/>
      <c r="K144" s="111">
        <v>0.6</v>
      </c>
      <c r="L144" s="266">
        <f t="shared" si="3"/>
        <v>319.81548000000004</v>
      </c>
      <c r="M144" s="29">
        <f t="shared" si="4"/>
        <v>28</v>
      </c>
    </row>
    <row r="145" spans="1:13">
      <c r="A145" s="29">
        <v>37</v>
      </c>
      <c r="B145" s="111">
        <v>6</v>
      </c>
      <c r="C145" s="111">
        <v>552</v>
      </c>
      <c r="D145" s="111" t="s">
        <v>379</v>
      </c>
      <c r="E145" s="111" t="s">
        <v>380</v>
      </c>
      <c r="F145" s="265">
        <v>41925</v>
      </c>
      <c r="G145" s="265">
        <v>41956</v>
      </c>
      <c r="H145" s="111">
        <v>2300</v>
      </c>
      <c r="I145" s="111">
        <v>0</v>
      </c>
      <c r="J145" s="111"/>
      <c r="K145" s="111">
        <v>0.6</v>
      </c>
      <c r="L145" s="266">
        <f t="shared" si="3"/>
        <v>13.8</v>
      </c>
      <c r="M145" s="29">
        <f t="shared" si="4"/>
        <v>31</v>
      </c>
    </row>
    <row r="146" spans="1:13">
      <c r="A146" s="29">
        <v>38</v>
      </c>
      <c r="B146" s="111">
        <v>6</v>
      </c>
      <c r="C146" s="111">
        <v>482</v>
      </c>
      <c r="D146" s="111" t="s">
        <v>379</v>
      </c>
      <c r="E146" s="111" t="s">
        <v>380</v>
      </c>
      <c r="F146" s="265">
        <v>41883</v>
      </c>
      <c r="G146" s="265">
        <v>41950</v>
      </c>
      <c r="H146" s="111">
        <v>4400</v>
      </c>
      <c r="I146" s="111">
        <v>0</v>
      </c>
      <c r="J146" s="111"/>
      <c r="K146" s="111">
        <v>0.6</v>
      </c>
      <c r="L146" s="266">
        <f t="shared" si="3"/>
        <v>26.400000000000002</v>
      </c>
      <c r="M146" s="29">
        <f t="shared" si="4"/>
        <v>67</v>
      </c>
    </row>
    <row r="147" spans="1:13">
      <c r="A147" s="29">
        <v>39</v>
      </c>
      <c r="B147" s="111">
        <v>6</v>
      </c>
      <c r="C147" s="111">
        <v>553</v>
      </c>
      <c r="D147" s="111" t="s">
        <v>453</v>
      </c>
      <c r="E147" s="111" t="s">
        <v>448</v>
      </c>
      <c r="F147" s="265">
        <v>41925</v>
      </c>
      <c r="G147" s="265">
        <v>41950</v>
      </c>
      <c r="H147" s="111">
        <v>4131</v>
      </c>
      <c r="I147" s="111">
        <v>0</v>
      </c>
      <c r="J147" s="111"/>
      <c r="K147" s="111">
        <v>0.6</v>
      </c>
      <c r="L147" s="266">
        <f t="shared" si="3"/>
        <v>24.786000000000001</v>
      </c>
      <c r="M147" s="29">
        <f t="shared" si="4"/>
        <v>25</v>
      </c>
    </row>
    <row r="148" spans="1:13">
      <c r="A148" s="29">
        <v>40</v>
      </c>
      <c r="B148" s="111">
        <v>6</v>
      </c>
      <c r="C148" s="111">
        <v>554</v>
      </c>
      <c r="D148" s="111" t="s">
        <v>381</v>
      </c>
      <c r="E148" s="111" t="s">
        <v>382</v>
      </c>
      <c r="F148" s="265">
        <v>41926</v>
      </c>
      <c r="G148" s="265">
        <v>41962</v>
      </c>
      <c r="H148" s="111">
        <v>4235</v>
      </c>
      <c r="I148" s="111">
        <v>0</v>
      </c>
      <c r="J148" s="111"/>
      <c r="K148" s="111">
        <v>0.6</v>
      </c>
      <c r="L148" s="266">
        <f t="shared" si="3"/>
        <v>25.41</v>
      </c>
      <c r="M148" s="29">
        <f t="shared" si="4"/>
        <v>36</v>
      </c>
    </row>
    <row r="149" spans="1:13">
      <c r="A149" s="29">
        <v>41</v>
      </c>
      <c r="B149" s="111">
        <v>6</v>
      </c>
      <c r="C149" s="111">
        <v>485</v>
      </c>
      <c r="D149" s="111" t="s">
        <v>379</v>
      </c>
      <c r="E149" s="111" t="s">
        <v>380</v>
      </c>
      <c r="F149" s="265">
        <v>41886</v>
      </c>
      <c r="G149" s="265">
        <v>41956</v>
      </c>
      <c r="H149" s="111">
        <v>2600</v>
      </c>
      <c r="I149" s="111">
        <v>0</v>
      </c>
      <c r="J149" s="111"/>
      <c r="K149" s="111">
        <v>0.6</v>
      </c>
      <c r="L149" s="266">
        <f t="shared" si="3"/>
        <v>15.6</v>
      </c>
      <c r="M149" s="29">
        <f t="shared" si="4"/>
        <v>70</v>
      </c>
    </row>
    <row r="150" spans="1:13">
      <c r="A150" s="29">
        <v>42</v>
      </c>
      <c r="B150" s="111">
        <v>6</v>
      </c>
      <c r="C150" s="111">
        <v>556</v>
      </c>
      <c r="D150" s="111" t="s">
        <v>447</v>
      </c>
      <c r="E150" s="111" t="s">
        <v>448</v>
      </c>
      <c r="F150" s="265">
        <v>41927</v>
      </c>
      <c r="G150" s="265">
        <v>41958</v>
      </c>
      <c r="H150" s="111">
        <v>7323.27</v>
      </c>
      <c r="I150" s="111">
        <v>0</v>
      </c>
      <c r="J150" s="111"/>
      <c r="K150" s="111">
        <v>0.6</v>
      </c>
      <c r="L150" s="266">
        <f t="shared" si="3"/>
        <v>43.939620000000005</v>
      </c>
      <c r="M150" s="29">
        <f t="shared" si="4"/>
        <v>31</v>
      </c>
    </row>
    <row r="151" spans="1:13">
      <c r="A151" s="29">
        <v>43</v>
      </c>
      <c r="B151" s="111">
        <v>6</v>
      </c>
      <c r="C151" s="111">
        <v>557</v>
      </c>
      <c r="D151" s="111" t="s">
        <v>454</v>
      </c>
      <c r="E151" s="111" t="s">
        <v>448</v>
      </c>
      <c r="F151" s="265">
        <v>41927</v>
      </c>
      <c r="G151" s="265">
        <v>41956</v>
      </c>
      <c r="H151" s="111">
        <v>15266.27</v>
      </c>
      <c r="I151" s="111">
        <v>0</v>
      </c>
      <c r="J151" s="111"/>
      <c r="K151" s="111">
        <v>0.6</v>
      </c>
      <c r="L151" s="266">
        <f t="shared" si="3"/>
        <v>91.597620000000006</v>
      </c>
      <c r="M151" s="29">
        <f t="shared" si="4"/>
        <v>29</v>
      </c>
    </row>
    <row r="152" spans="1:13">
      <c r="A152" s="29">
        <v>44</v>
      </c>
      <c r="B152" s="111">
        <v>6</v>
      </c>
      <c r="C152" s="111">
        <v>566</v>
      </c>
      <c r="D152" s="111" t="s">
        <v>454</v>
      </c>
      <c r="E152" s="111" t="s">
        <v>448</v>
      </c>
      <c r="F152" s="265">
        <v>41933</v>
      </c>
      <c r="G152" s="265">
        <v>41962</v>
      </c>
      <c r="H152" s="111">
        <v>12937.52</v>
      </c>
      <c r="I152" s="111">
        <v>0</v>
      </c>
      <c r="J152" s="111"/>
      <c r="K152" s="111">
        <v>0.6</v>
      </c>
      <c r="L152" s="266">
        <f t="shared" si="3"/>
        <v>77.62512000000001</v>
      </c>
      <c r="M152" s="29">
        <f t="shared" si="4"/>
        <v>29</v>
      </c>
    </row>
    <row r="153" spans="1:13">
      <c r="A153" s="29">
        <v>45</v>
      </c>
      <c r="B153" s="111">
        <v>6</v>
      </c>
      <c r="C153" s="111">
        <v>567</v>
      </c>
      <c r="D153" s="111" t="s">
        <v>379</v>
      </c>
      <c r="E153" s="111" t="s">
        <v>380</v>
      </c>
      <c r="F153" s="265">
        <v>41933</v>
      </c>
      <c r="G153" s="265">
        <v>41969</v>
      </c>
      <c r="H153" s="111">
        <v>5560</v>
      </c>
      <c r="I153" s="111">
        <v>5560</v>
      </c>
      <c r="J153" s="111"/>
      <c r="K153" s="111">
        <v>0.6</v>
      </c>
      <c r="L153" s="266">
        <f t="shared" si="3"/>
        <v>33.36</v>
      </c>
      <c r="M153" s="29">
        <f t="shared" si="4"/>
        <v>36</v>
      </c>
    </row>
    <row r="154" spans="1:13">
      <c r="A154" s="29">
        <v>46</v>
      </c>
      <c r="B154" s="111">
        <v>6</v>
      </c>
      <c r="C154" s="111">
        <v>569</v>
      </c>
      <c r="D154" s="111" t="s">
        <v>467</v>
      </c>
      <c r="E154" s="111" t="s">
        <v>448</v>
      </c>
      <c r="F154" s="265">
        <v>41933</v>
      </c>
      <c r="G154" s="265">
        <v>41950</v>
      </c>
      <c r="H154" s="111">
        <v>3255</v>
      </c>
      <c r="I154" s="111">
        <v>0</v>
      </c>
      <c r="J154" s="111"/>
      <c r="K154" s="111">
        <v>0.6</v>
      </c>
      <c r="L154" s="266">
        <f t="shared" si="3"/>
        <v>19.53</v>
      </c>
      <c r="M154" s="29">
        <f t="shared" si="4"/>
        <v>17</v>
      </c>
    </row>
    <row r="155" spans="1:13">
      <c r="A155" s="29">
        <v>47</v>
      </c>
      <c r="B155" s="111">
        <v>6</v>
      </c>
      <c r="C155" s="111">
        <v>568</v>
      </c>
      <c r="D155" s="111" t="s">
        <v>379</v>
      </c>
      <c r="E155" s="111" t="s">
        <v>380</v>
      </c>
      <c r="F155" s="265">
        <v>41933</v>
      </c>
      <c r="G155" s="265">
        <v>41956</v>
      </c>
      <c r="H155" s="111">
        <v>2200</v>
      </c>
      <c r="I155" s="111">
        <v>0</v>
      </c>
      <c r="J155" s="111"/>
      <c r="K155" s="111">
        <v>0.6</v>
      </c>
      <c r="L155" s="266">
        <f t="shared" si="3"/>
        <v>13.200000000000001</v>
      </c>
      <c r="M155" s="29">
        <f t="shared" si="4"/>
        <v>23</v>
      </c>
    </row>
    <row r="156" spans="1:13">
      <c r="A156" s="29">
        <v>49</v>
      </c>
      <c r="B156" s="111">
        <v>6</v>
      </c>
      <c r="C156" s="111">
        <v>570</v>
      </c>
      <c r="D156" s="111" t="s">
        <v>447</v>
      </c>
      <c r="E156" s="111" t="s">
        <v>448</v>
      </c>
      <c r="F156" s="265">
        <v>41935</v>
      </c>
      <c r="G156" s="265">
        <v>41968</v>
      </c>
      <c r="H156" s="111">
        <v>741.28</v>
      </c>
      <c r="I156" s="111">
        <v>0</v>
      </c>
      <c r="J156" s="111"/>
      <c r="K156" s="111">
        <v>0.6</v>
      </c>
      <c r="L156" s="266">
        <f t="shared" si="3"/>
        <v>4.4476800000000001</v>
      </c>
      <c r="M156" s="29">
        <f t="shared" si="4"/>
        <v>33</v>
      </c>
    </row>
    <row r="157" spans="1:13">
      <c r="A157" s="29">
        <v>50</v>
      </c>
      <c r="B157" s="111">
        <v>6</v>
      </c>
      <c r="C157" s="111">
        <v>574</v>
      </c>
      <c r="D157" s="111" t="s">
        <v>447</v>
      </c>
      <c r="E157" s="111" t="s">
        <v>448</v>
      </c>
      <c r="F157" s="265">
        <v>41939</v>
      </c>
      <c r="G157" s="265">
        <v>41970</v>
      </c>
      <c r="H157" s="111">
        <v>6686.05</v>
      </c>
      <c r="I157" s="111">
        <v>0</v>
      </c>
      <c r="J157" s="111"/>
      <c r="K157" s="111">
        <v>0.6</v>
      </c>
      <c r="L157" s="266">
        <f t="shared" si="3"/>
        <v>40.116300000000003</v>
      </c>
      <c r="M157" s="29">
        <f t="shared" si="4"/>
        <v>31</v>
      </c>
    </row>
    <row r="158" spans="1:13">
      <c r="A158" s="29">
        <v>51</v>
      </c>
      <c r="B158" s="111">
        <v>6</v>
      </c>
      <c r="C158" s="111">
        <v>577</v>
      </c>
      <c r="D158" s="111" t="s">
        <v>453</v>
      </c>
      <c r="E158" s="111" t="s">
        <v>448</v>
      </c>
      <c r="F158" s="265">
        <v>41940</v>
      </c>
      <c r="G158" s="265">
        <v>41963</v>
      </c>
      <c r="H158" s="111">
        <v>1768</v>
      </c>
      <c r="I158" s="111">
        <v>0</v>
      </c>
      <c r="J158" s="111"/>
      <c r="K158" s="111">
        <v>0.6</v>
      </c>
      <c r="L158" s="266">
        <f t="shared" si="3"/>
        <v>10.608000000000001</v>
      </c>
      <c r="M158" s="29">
        <f t="shared" si="4"/>
        <v>23</v>
      </c>
    </row>
    <row r="159" spans="1:13">
      <c r="A159" s="29">
        <v>52</v>
      </c>
      <c r="B159" s="111">
        <v>6</v>
      </c>
      <c r="C159" s="111">
        <v>578</v>
      </c>
      <c r="D159" s="111" t="s">
        <v>379</v>
      </c>
      <c r="E159" s="111" t="s">
        <v>380</v>
      </c>
      <c r="F159" s="265">
        <v>41941</v>
      </c>
      <c r="G159" s="265">
        <v>41968</v>
      </c>
      <c r="H159" s="111">
        <v>320</v>
      </c>
      <c r="I159" s="111">
        <v>0</v>
      </c>
      <c r="J159" s="111"/>
      <c r="K159" s="111">
        <v>0.6</v>
      </c>
      <c r="L159" s="266">
        <f t="shared" si="3"/>
        <v>1.92</v>
      </c>
      <c r="M159" s="29">
        <f t="shared" si="4"/>
        <v>27</v>
      </c>
    </row>
    <row r="160" spans="1:13">
      <c r="A160" s="29">
        <v>53</v>
      </c>
      <c r="B160" s="111">
        <v>6</v>
      </c>
      <c r="C160" s="111">
        <v>579</v>
      </c>
      <c r="D160" s="111" t="s">
        <v>379</v>
      </c>
      <c r="E160" s="111" t="s">
        <v>380</v>
      </c>
      <c r="F160" s="265">
        <v>41941</v>
      </c>
      <c r="G160" s="265">
        <v>41968</v>
      </c>
      <c r="H160" s="111">
        <v>2949.8</v>
      </c>
      <c r="I160" s="111">
        <v>0</v>
      </c>
      <c r="J160" s="111"/>
      <c r="K160" s="111">
        <v>0.6</v>
      </c>
      <c r="L160" s="266">
        <f t="shared" si="3"/>
        <v>17.698800000000002</v>
      </c>
      <c r="M160" s="29">
        <f t="shared" si="4"/>
        <v>27</v>
      </c>
    </row>
    <row r="161" spans="1:14">
      <c r="A161" s="29">
        <v>55</v>
      </c>
      <c r="B161" s="111">
        <v>6</v>
      </c>
      <c r="C161" s="111">
        <v>592</v>
      </c>
      <c r="D161" s="111" t="s">
        <v>449</v>
      </c>
      <c r="E161" s="111" t="s">
        <v>450</v>
      </c>
      <c r="F161" s="265">
        <v>41943</v>
      </c>
      <c r="G161" s="265">
        <v>41963</v>
      </c>
      <c r="H161" s="111">
        <v>2636.36</v>
      </c>
      <c r="I161" s="111">
        <v>0</v>
      </c>
      <c r="J161" s="111"/>
      <c r="K161" s="111">
        <v>0.6</v>
      </c>
      <c r="L161" s="266">
        <f t="shared" si="3"/>
        <v>15.818160000000001</v>
      </c>
      <c r="M161" s="29">
        <f t="shared" si="4"/>
        <v>20</v>
      </c>
    </row>
    <row r="162" spans="1:14">
      <c r="A162" s="29">
        <v>57</v>
      </c>
      <c r="B162" s="111">
        <v>6</v>
      </c>
      <c r="C162" s="111">
        <v>595</v>
      </c>
      <c r="D162" s="111" t="s">
        <v>453</v>
      </c>
      <c r="E162" s="111" t="s">
        <v>448</v>
      </c>
      <c r="F162" s="265">
        <v>41946</v>
      </c>
      <c r="G162" s="265">
        <v>41963</v>
      </c>
      <c r="H162" s="111">
        <v>884</v>
      </c>
      <c r="I162" s="111">
        <v>0</v>
      </c>
      <c r="J162" s="111"/>
      <c r="K162" s="111">
        <v>0.6</v>
      </c>
      <c r="L162" s="266">
        <f t="shared" si="3"/>
        <v>5.3040000000000003</v>
      </c>
      <c r="M162" s="29">
        <f t="shared" si="4"/>
        <v>17</v>
      </c>
    </row>
    <row r="163" spans="1:14">
      <c r="A163" s="29">
        <v>58</v>
      </c>
      <c r="B163" s="111">
        <v>6</v>
      </c>
      <c r="C163" s="111">
        <v>602</v>
      </c>
      <c r="D163" s="111" t="s">
        <v>379</v>
      </c>
      <c r="E163" s="111" t="s">
        <v>380</v>
      </c>
      <c r="F163" s="265">
        <v>41948</v>
      </c>
      <c r="G163" s="265">
        <v>41968</v>
      </c>
      <c r="H163" s="111">
        <v>5500</v>
      </c>
      <c r="I163" s="111">
        <v>0</v>
      </c>
      <c r="J163" s="111"/>
      <c r="K163" s="111">
        <v>0.6</v>
      </c>
      <c r="L163" s="266">
        <f t="shared" si="3"/>
        <v>33</v>
      </c>
      <c r="M163" s="29">
        <f t="shared" si="4"/>
        <v>20</v>
      </c>
    </row>
    <row r="164" spans="1:14">
      <c r="A164" s="29">
        <v>59</v>
      </c>
      <c r="B164" s="111">
        <v>6</v>
      </c>
      <c r="C164" s="111">
        <v>607</v>
      </c>
      <c r="D164" s="111" t="s">
        <v>379</v>
      </c>
      <c r="E164" s="111" t="s">
        <v>380</v>
      </c>
      <c r="F164" s="265">
        <v>41949</v>
      </c>
      <c r="G164" s="265">
        <v>41968</v>
      </c>
      <c r="H164" s="111">
        <v>7200</v>
      </c>
      <c r="I164" s="111">
        <v>0</v>
      </c>
      <c r="J164" s="111"/>
      <c r="K164" s="111">
        <v>0.6</v>
      </c>
      <c r="L164" s="266">
        <f t="shared" si="3"/>
        <v>43.2</v>
      </c>
      <c r="M164" s="29">
        <f t="shared" si="4"/>
        <v>19</v>
      </c>
    </row>
    <row r="165" spans="1:14">
      <c r="A165" s="29">
        <v>60</v>
      </c>
      <c r="B165" s="111">
        <v>6</v>
      </c>
      <c r="C165" s="111">
        <v>611</v>
      </c>
      <c r="D165" s="111" t="s">
        <v>379</v>
      </c>
      <c r="E165" s="111" t="s">
        <v>380</v>
      </c>
      <c r="F165" s="265">
        <v>41953</v>
      </c>
      <c r="G165" s="265">
        <v>41968</v>
      </c>
      <c r="H165" s="111">
        <v>270</v>
      </c>
      <c r="I165" s="111">
        <v>0</v>
      </c>
      <c r="J165" s="111"/>
      <c r="K165" s="111">
        <v>0.6</v>
      </c>
      <c r="L165" s="266">
        <f t="shared" si="3"/>
        <v>1.62</v>
      </c>
      <c r="M165" s="29">
        <f t="shared" si="4"/>
        <v>15</v>
      </c>
    </row>
    <row r="166" spans="1:14">
      <c r="A166" s="29">
        <v>61</v>
      </c>
      <c r="B166" s="111">
        <v>6</v>
      </c>
      <c r="C166" s="111">
        <v>623</v>
      </c>
      <c r="D166" s="111" t="s">
        <v>449</v>
      </c>
      <c r="E166" s="111" t="s">
        <v>450</v>
      </c>
      <c r="F166" s="265">
        <v>41956</v>
      </c>
      <c r="G166" s="265">
        <v>41971</v>
      </c>
      <c r="H166" s="111">
        <v>6472</v>
      </c>
      <c r="I166" s="111">
        <v>0</v>
      </c>
      <c r="J166" s="111"/>
      <c r="K166" s="111">
        <v>0.6</v>
      </c>
      <c r="L166" s="266">
        <f t="shared" si="3"/>
        <v>38.832000000000001</v>
      </c>
      <c r="M166" s="29">
        <f t="shared" si="4"/>
        <v>15</v>
      </c>
    </row>
    <row r="167" spans="1:14">
      <c r="A167" s="29">
        <v>62</v>
      </c>
      <c r="B167" s="111">
        <v>1</v>
      </c>
      <c r="C167" s="111">
        <v>241824</v>
      </c>
      <c r="D167" s="111" t="s">
        <v>381</v>
      </c>
      <c r="E167" s="111" t="s">
        <v>382</v>
      </c>
      <c r="F167" s="265">
        <v>40900</v>
      </c>
      <c r="G167" s="265">
        <v>41962</v>
      </c>
      <c r="H167" s="111">
        <v>1730.06</v>
      </c>
      <c r="I167" s="111">
        <v>17.3</v>
      </c>
      <c r="J167" s="111"/>
      <c r="K167" s="111">
        <v>0</v>
      </c>
      <c r="L167" s="266">
        <f t="shared" si="3"/>
        <v>0</v>
      </c>
      <c r="M167" s="29">
        <f t="shared" si="4"/>
        <v>1062</v>
      </c>
    </row>
    <row r="168" spans="1:14" s="59" customFormat="1" ht="9">
      <c r="G168" s="268" t="s">
        <v>464</v>
      </c>
      <c r="H168" s="268">
        <f>SUM(H111:H167)</f>
        <v>304024.50999999995</v>
      </c>
      <c r="K168" s="268" t="s">
        <v>383</v>
      </c>
      <c r="L168" s="269">
        <f>SUM(L111:L167)</f>
        <v>1589.6932199999999</v>
      </c>
      <c r="N168" s="60">
        <f>L168-1590</f>
        <v>-0.30678000000011707</v>
      </c>
    </row>
    <row r="171" spans="1:14">
      <c r="B171" s="59"/>
      <c r="C171" s="138" t="s">
        <v>469</v>
      </c>
      <c r="D171" s="59"/>
      <c r="E171" s="59"/>
      <c r="F171" s="59"/>
      <c r="G171" s="59"/>
      <c r="H171" s="59"/>
      <c r="I171" s="59"/>
      <c r="J171" s="59"/>
      <c r="K171" s="59"/>
      <c r="L171" s="59"/>
    </row>
    <row r="172" spans="1:14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</row>
    <row r="173" spans="1:14">
      <c r="A173" s="29" t="s">
        <v>45</v>
      </c>
      <c r="B173" s="264" t="s">
        <v>369</v>
      </c>
      <c r="C173" s="264" t="s">
        <v>370</v>
      </c>
      <c r="D173" s="264" t="s">
        <v>371</v>
      </c>
      <c r="E173" s="264" t="s">
        <v>372</v>
      </c>
      <c r="F173" s="264" t="s">
        <v>373</v>
      </c>
      <c r="G173" s="264" t="s">
        <v>374</v>
      </c>
      <c r="H173" s="264" t="s">
        <v>375</v>
      </c>
      <c r="I173" s="264" t="s">
        <v>376</v>
      </c>
      <c r="J173" s="264"/>
      <c r="K173" s="264" t="s">
        <v>377</v>
      </c>
      <c r="L173" s="264" t="s">
        <v>378</v>
      </c>
    </row>
    <row r="174" spans="1:14">
      <c r="A174" s="29">
        <v>2</v>
      </c>
      <c r="B174" s="111">
        <v>6</v>
      </c>
      <c r="C174" s="111">
        <v>398</v>
      </c>
      <c r="D174" s="111" t="s">
        <v>379</v>
      </c>
      <c r="E174" s="111" t="s">
        <v>380</v>
      </c>
      <c r="F174" s="265">
        <v>41820</v>
      </c>
      <c r="G174" s="265">
        <v>41988</v>
      </c>
      <c r="H174" s="111">
        <v>2880</v>
      </c>
      <c r="I174" s="111">
        <v>2880</v>
      </c>
      <c r="J174" s="111"/>
      <c r="K174" s="111">
        <v>0</v>
      </c>
      <c r="L174" s="266">
        <f t="shared" ref="L174:L220" si="5">H174*K174%</f>
        <v>0</v>
      </c>
      <c r="M174" s="29">
        <f t="shared" ref="M174:M220" si="6">G174-F174</f>
        <v>168</v>
      </c>
    </row>
    <row r="175" spans="1:14">
      <c r="A175" s="29">
        <v>1</v>
      </c>
      <c r="B175" s="111">
        <v>1</v>
      </c>
      <c r="C175" s="111">
        <v>297962</v>
      </c>
      <c r="D175" s="111" t="s">
        <v>381</v>
      </c>
      <c r="E175" s="111" t="s">
        <v>382</v>
      </c>
      <c r="F175" s="265">
        <v>41598</v>
      </c>
      <c r="G175" s="265">
        <v>42003</v>
      </c>
      <c r="H175" s="111">
        <v>11060</v>
      </c>
      <c r="I175" s="111">
        <v>0</v>
      </c>
      <c r="J175" s="111"/>
      <c r="K175" s="111">
        <v>0</v>
      </c>
      <c r="L175" s="266">
        <f t="shared" si="5"/>
        <v>0</v>
      </c>
      <c r="M175" s="29">
        <f t="shared" si="6"/>
        <v>405</v>
      </c>
    </row>
    <row r="176" spans="1:14">
      <c r="A176" s="29">
        <v>51</v>
      </c>
      <c r="B176" s="111">
        <v>1</v>
      </c>
      <c r="C176" s="111">
        <v>300094</v>
      </c>
      <c r="D176" s="111" t="s">
        <v>381</v>
      </c>
      <c r="E176" s="111" t="s">
        <v>382</v>
      </c>
      <c r="F176" s="265">
        <v>41626</v>
      </c>
      <c r="G176" s="265">
        <v>41997</v>
      </c>
      <c r="H176" s="111">
        <v>1597.73</v>
      </c>
      <c r="I176" s="111">
        <v>0</v>
      </c>
      <c r="J176" s="111"/>
      <c r="K176" s="111">
        <v>0</v>
      </c>
      <c r="L176" s="266">
        <f t="shared" si="5"/>
        <v>0</v>
      </c>
      <c r="M176" s="29">
        <f t="shared" si="6"/>
        <v>371</v>
      </c>
    </row>
    <row r="177" spans="1:13">
      <c r="A177" s="29">
        <v>11</v>
      </c>
      <c r="B177" s="111">
        <v>6</v>
      </c>
      <c r="C177" s="111">
        <v>589</v>
      </c>
      <c r="D177" s="111" t="s">
        <v>447</v>
      </c>
      <c r="E177" s="111" t="s">
        <v>448</v>
      </c>
      <c r="F177" s="265">
        <v>41943</v>
      </c>
      <c r="G177" s="265">
        <v>41974</v>
      </c>
      <c r="H177" s="111">
        <v>163.78</v>
      </c>
      <c r="I177" s="111">
        <v>0</v>
      </c>
      <c r="J177" s="111"/>
      <c r="K177" s="111">
        <v>0.6</v>
      </c>
      <c r="L177" s="266">
        <f t="shared" si="5"/>
        <v>0.98268</v>
      </c>
      <c r="M177" s="29">
        <f t="shared" si="6"/>
        <v>31</v>
      </c>
    </row>
    <row r="178" spans="1:13">
      <c r="A178" s="29">
        <v>12</v>
      </c>
      <c r="B178" s="111">
        <v>6</v>
      </c>
      <c r="C178" s="111">
        <v>590</v>
      </c>
      <c r="D178" s="111" t="s">
        <v>447</v>
      </c>
      <c r="E178" s="111" t="s">
        <v>448</v>
      </c>
      <c r="F178" s="265">
        <v>41943</v>
      </c>
      <c r="G178" s="265">
        <v>41974</v>
      </c>
      <c r="H178" s="111">
        <v>208.62</v>
      </c>
      <c r="I178" s="111">
        <v>0</v>
      </c>
      <c r="J178" s="111"/>
      <c r="K178" s="111">
        <v>0.6</v>
      </c>
      <c r="L178" s="266">
        <f t="shared" si="5"/>
        <v>1.2517199999999999</v>
      </c>
      <c r="M178" s="29">
        <f t="shared" si="6"/>
        <v>31</v>
      </c>
    </row>
    <row r="179" spans="1:13">
      <c r="A179" s="29">
        <v>22</v>
      </c>
      <c r="B179" s="111">
        <v>6</v>
      </c>
      <c r="C179" s="111">
        <v>605</v>
      </c>
      <c r="D179" s="111" t="s">
        <v>447</v>
      </c>
      <c r="E179" s="111" t="s">
        <v>448</v>
      </c>
      <c r="F179" s="265">
        <v>41949</v>
      </c>
      <c r="G179" s="265">
        <v>41984</v>
      </c>
      <c r="H179" s="111">
        <v>265.97000000000003</v>
      </c>
      <c r="I179" s="111">
        <v>0</v>
      </c>
      <c r="J179" s="111"/>
      <c r="K179" s="111">
        <v>0.6</v>
      </c>
      <c r="L179" s="266">
        <f t="shared" si="5"/>
        <v>1.5958200000000002</v>
      </c>
      <c r="M179" s="29">
        <f t="shared" si="6"/>
        <v>35</v>
      </c>
    </row>
    <row r="180" spans="1:13">
      <c r="A180" s="29">
        <v>26</v>
      </c>
      <c r="B180" s="111">
        <v>6</v>
      </c>
      <c r="C180" s="111">
        <v>613</v>
      </c>
      <c r="D180" s="111" t="s">
        <v>447</v>
      </c>
      <c r="E180" s="111" t="s">
        <v>448</v>
      </c>
      <c r="F180" s="265">
        <v>41955</v>
      </c>
      <c r="G180" s="265">
        <v>41995</v>
      </c>
      <c r="H180" s="111">
        <v>327.57</v>
      </c>
      <c r="I180" s="111">
        <v>0</v>
      </c>
      <c r="J180" s="111"/>
      <c r="K180" s="111">
        <v>0.6</v>
      </c>
      <c r="L180" s="266">
        <f t="shared" si="5"/>
        <v>1.9654199999999999</v>
      </c>
      <c r="M180" s="29">
        <f t="shared" si="6"/>
        <v>40</v>
      </c>
    </row>
    <row r="181" spans="1:13">
      <c r="A181" s="29">
        <v>45</v>
      </c>
      <c r="B181" s="111">
        <v>6</v>
      </c>
      <c r="C181" s="111">
        <v>645</v>
      </c>
      <c r="D181" s="111" t="s">
        <v>447</v>
      </c>
      <c r="E181" s="111" t="s">
        <v>448</v>
      </c>
      <c r="F181" s="265">
        <v>41969</v>
      </c>
      <c r="G181" s="265">
        <v>42000</v>
      </c>
      <c r="H181" s="111">
        <v>346.92</v>
      </c>
      <c r="I181" s="111">
        <v>0</v>
      </c>
      <c r="J181" s="111"/>
      <c r="K181" s="111">
        <v>0.6</v>
      </c>
      <c r="L181" s="266">
        <f t="shared" si="5"/>
        <v>2.0815200000000003</v>
      </c>
      <c r="M181" s="29">
        <f t="shared" si="6"/>
        <v>31</v>
      </c>
    </row>
    <row r="182" spans="1:13">
      <c r="A182" s="29">
        <v>6</v>
      </c>
      <c r="B182" s="111">
        <v>6</v>
      </c>
      <c r="C182" s="111">
        <v>583</v>
      </c>
      <c r="D182" s="111" t="s">
        <v>381</v>
      </c>
      <c r="E182" s="111" t="s">
        <v>382</v>
      </c>
      <c r="F182" s="265">
        <v>41942</v>
      </c>
      <c r="G182" s="265">
        <v>41997</v>
      </c>
      <c r="H182" s="111">
        <v>556.53</v>
      </c>
      <c r="I182" s="111">
        <v>0</v>
      </c>
      <c r="J182" s="111"/>
      <c r="K182" s="111">
        <v>0.6</v>
      </c>
      <c r="L182" s="266">
        <f t="shared" si="5"/>
        <v>3.3391799999999998</v>
      </c>
      <c r="M182" s="29">
        <f t="shared" si="6"/>
        <v>55</v>
      </c>
    </row>
    <row r="183" spans="1:13">
      <c r="A183" s="29">
        <v>30</v>
      </c>
      <c r="B183" s="111">
        <v>6</v>
      </c>
      <c r="C183" s="111">
        <v>615</v>
      </c>
      <c r="D183" s="111" t="s">
        <v>468</v>
      </c>
      <c r="E183" s="111" t="s">
        <v>382</v>
      </c>
      <c r="F183" s="265">
        <v>41955</v>
      </c>
      <c r="G183" s="265">
        <v>41988</v>
      </c>
      <c r="H183" s="111">
        <v>578.39</v>
      </c>
      <c r="I183" s="111">
        <v>0</v>
      </c>
      <c r="J183" s="111"/>
      <c r="K183" s="111">
        <v>0.6</v>
      </c>
      <c r="L183" s="266">
        <f t="shared" si="5"/>
        <v>3.4703400000000002</v>
      </c>
      <c r="M183" s="29">
        <f t="shared" si="6"/>
        <v>33</v>
      </c>
    </row>
    <row r="184" spans="1:13">
      <c r="A184" s="29">
        <v>31</v>
      </c>
      <c r="B184" s="111">
        <v>6</v>
      </c>
      <c r="C184" s="111">
        <v>618</v>
      </c>
      <c r="D184" s="111" t="s">
        <v>468</v>
      </c>
      <c r="E184" s="111" t="s">
        <v>382</v>
      </c>
      <c r="F184" s="265">
        <v>41955</v>
      </c>
      <c r="G184" s="265">
        <v>41988</v>
      </c>
      <c r="H184" s="111">
        <v>578.39</v>
      </c>
      <c r="I184" s="111">
        <v>0</v>
      </c>
      <c r="J184" s="111"/>
      <c r="K184" s="111">
        <v>0.6</v>
      </c>
      <c r="L184" s="266">
        <f t="shared" si="5"/>
        <v>3.4703400000000002</v>
      </c>
      <c r="M184" s="29">
        <f t="shared" si="6"/>
        <v>33</v>
      </c>
    </row>
    <row r="185" spans="1:13">
      <c r="A185" s="29">
        <v>27</v>
      </c>
      <c r="B185" s="111">
        <v>6</v>
      </c>
      <c r="C185" s="111">
        <v>616</v>
      </c>
      <c r="D185" s="111" t="s">
        <v>381</v>
      </c>
      <c r="E185" s="111" t="s">
        <v>382</v>
      </c>
      <c r="F185" s="265">
        <v>41955</v>
      </c>
      <c r="G185" s="265">
        <v>41988</v>
      </c>
      <c r="H185" s="111">
        <v>578.39</v>
      </c>
      <c r="I185" s="111">
        <v>0</v>
      </c>
      <c r="J185" s="111"/>
      <c r="K185" s="111">
        <v>0.6</v>
      </c>
      <c r="L185" s="266">
        <f t="shared" si="5"/>
        <v>3.4703400000000002</v>
      </c>
      <c r="M185" s="29">
        <f t="shared" si="6"/>
        <v>33</v>
      </c>
    </row>
    <row r="186" spans="1:13">
      <c r="A186" s="29">
        <v>28</v>
      </c>
      <c r="B186" s="111">
        <v>6</v>
      </c>
      <c r="C186" s="111">
        <v>617</v>
      </c>
      <c r="D186" s="111" t="s">
        <v>381</v>
      </c>
      <c r="E186" s="111" t="s">
        <v>382</v>
      </c>
      <c r="F186" s="265">
        <v>41955</v>
      </c>
      <c r="G186" s="265">
        <v>41988</v>
      </c>
      <c r="H186" s="111">
        <v>578.39</v>
      </c>
      <c r="I186" s="111">
        <v>0</v>
      </c>
      <c r="J186" s="111"/>
      <c r="K186" s="111">
        <v>0.6</v>
      </c>
      <c r="L186" s="266">
        <f t="shared" si="5"/>
        <v>3.4703400000000002</v>
      </c>
      <c r="M186" s="29">
        <f t="shared" si="6"/>
        <v>33</v>
      </c>
    </row>
    <row r="187" spans="1:13">
      <c r="A187" s="29">
        <v>35</v>
      </c>
      <c r="B187" s="111">
        <v>6</v>
      </c>
      <c r="C187" s="111">
        <v>628</v>
      </c>
      <c r="D187" s="111" t="s">
        <v>381</v>
      </c>
      <c r="E187" s="111" t="s">
        <v>382</v>
      </c>
      <c r="F187" s="265">
        <v>41960</v>
      </c>
      <c r="G187" s="265">
        <v>41982</v>
      </c>
      <c r="H187" s="111">
        <v>578.39</v>
      </c>
      <c r="I187" s="111">
        <v>0</v>
      </c>
      <c r="J187" s="111"/>
      <c r="K187" s="111">
        <v>0.6</v>
      </c>
      <c r="L187" s="266">
        <f t="shared" si="5"/>
        <v>3.4703400000000002</v>
      </c>
      <c r="M187" s="29">
        <f t="shared" si="6"/>
        <v>22</v>
      </c>
    </row>
    <row r="188" spans="1:13">
      <c r="A188" s="29">
        <v>19</v>
      </c>
      <c r="B188" s="111">
        <v>6</v>
      </c>
      <c r="C188" s="111">
        <v>606</v>
      </c>
      <c r="D188" s="111" t="s">
        <v>379</v>
      </c>
      <c r="E188" s="111" t="s">
        <v>380</v>
      </c>
      <c r="F188" s="265">
        <v>41949</v>
      </c>
      <c r="G188" s="265">
        <v>41988</v>
      </c>
      <c r="H188" s="111">
        <v>606</v>
      </c>
      <c r="I188" s="111">
        <v>0</v>
      </c>
      <c r="J188" s="111"/>
      <c r="K188" s="111">
        <v>0.6</v>
      </c>
      <c r="L188" s="266">
        <f t="shared" si="5"/>
        <v>3.6360000000000001</v>
      </c>
      <c r="M188" s="29">
        <f t="shared" si="6"/>
        <v>39</v>
      </c>
    </row>
    <row r="189" spans="1:13">
      <c r="A189" s="29">
        <v>50</v>
      </c>
      <c r="B189" s="111">
        <v>6</v>
      </c>
      <c r="C189" s="111">
        <v>647</v>
      </c>
      <c r="D189" s="111" t="s">
        <v>447</v>
      </c>
      <c r="E189" s="111" t="s">
        <v>448</v>
      </c>
      <c r="F189" s="265">
        <v>41969</v>
      </c>
      <c r="G189" s="265">
        <v>42000</v>
      </c>
      <c r="H189" s="111">
        <v>693.84</v>
      </c>
      <c r="I189" s="111">
        <v>0</v>
      </c>
      <c r="J189" s="111"/>
      <c r="K189" s="111">
        <v>0.6</v>
      </c>
      <c r="L189" s="266">
        <f t="shared" si="5"/>
        <v>4.1630400000000005</v>
      </c>
      <c r="M189" s="29">
        <f t="shared" si="6"/>
        <v>31</v>
      </c>
    </row>
    <row r="190" spans="1:13">
      <c r="A190" s="29">
        <v>49</v>
      </c>
      <c r="B190" s="111">
        <v>6</v>
      </c>
      <c r="C190" s="111">
        <v>646</v>
      </c>
      <c r="D190" s="111" t="s">
        <v>447</v>
      </c>
      <c r="E190" s="111" t="s">
        <v>448</v>
      </c>
      <c r="F190" s="265">
        <v>41969</v>
      </c>
      <c r="G190" s="265">
        <v>42000</v>
      </c>
      <c r="H190" s="111">
        <v>797.92</v>
      </c>
      <c r="I190" s="111">
        <v>0</v>
      </c>
      <c r="J190" s="111"/>
      <c r="K190" s="111">
        <v>0.6</v>
      </c>
      <c r="L190" s="266">
        <f t="shared" si="5"/>
        <v>4.7875199999999998</v>
      </c>
      <c r="M190" s="29">
        <f t="shared" si="6"/>
        <v>31</v>
      </c>
    </row>
    <row r="191" spans="1:13">
      <c r="A191" s="29">
        <v>21</v>
      </c>
      <c r="B191" s="111">
        <v>6</v>
      </c>
      <c r="C191" s="111">
        <v>604</v>
      </c>
      <c r="D191" s="111" t="s">
        <v>447</v>
      </c>
      <c r="E191" s="111" t="s">
        <v>448</v>
      </c>
      <c r="F191" s="265">
        <v>41949</v>
      </c>
      <c r="G191" s="265">
        <v>41984</v>
      </c>
      <c r="H191" s="111">
        <v>970.67</v>
      </c>
      <c r="I191" s="111">
        <v>0</v>
      </c>
      <c r="J191" s="111"/>
      <c r="K191" s="111">
        <v>0.6</v>
      </c>
      <c r="L191" s="266">
        <f t="shared" si="5"/>
        <v>5.82402</v>
      </c>
      <c r="M191" s="29">
        <f t="shared" si="6"/>
        <v>35</v>
      </c>
    </row>
    <row r="192" spans="1:13">
      <c r="A192" s="29">
        <v>36</v>
      </c>
      <c r="B192" s="111">
        <v>6</v>
      </c>
      <c r="C192" s="111">
        <v>629</v>
      </c>
      <c r="D192" s="111" t="s">
        <v>381</v>
      </c>
      <c r="E192" s="111" t="s">
        <v>382</v>
      </c>
      <c r="F192" s="265">
        <v>41960</v>
      </c>
      <c r="G192" s="265">
        <v>41982</v>
      </c>
      <c r="H192" s="111">
        <v>1156.79</v>
      </c>
      <c r="I192" s="111">
        <v>0</v>
      </c>
      <c r="J192" s="111"/>
      <c r="K192" s="111">
        <v>0.6</v>
      </c>
      <c r="L192" s="266">
        <f t="shared" si="5"/>
        <v>6.9407399999999999</v>
      </c>
      <c r="M192" s="29">
        <f t="shared" si="6"/>
        <v>22</v>
      </c>
    </row>
    <row r="193" spans="1:13">
      <c r="A193" s="29">
        <v>37</v>
      </c>
      <c r="B193" s="111">
        <v>6</v>
      </c>
      <c r="C193" s="111">
        <v>630</v>
      </c>
      <c r="D193" s="111" t="s">
        <v>381</v>
      </c>
      <c r="E193" s="111" t="s">
        <v>382</v>
      </c>
      <c r="F193" s="265">
        <v>41960</v>
      </c>
      <c r="G193" s="265">
        <v>41982</v>
      </c>
      <c r="H193" s="111">
        <v>1156.79</v>
      </c>
      <c r="I193" s="111">
        <v>0</v>
      </c>
      <c r="J193" s="111"/>
      <c r="K193" s="111">
        <v>0.6</v>
      </c>
      <c r="L193" s="266">
        <f t="shared" si="5"/>
        <v>6.9407399999999999</v>
      </c>
      <c r="M193" s="29">
        <f t="shared" si="6"/>
        <v>22</v>
      </c>
    </row>
    <row r="194" spans="1:13">
      <c r="A194" s="29">
        <v>48</v>
      </c>
      <c r="B194" s="111">
        <v>6</v>
      </c>
      <c r="C194" s="111">
        <v>644</v>
      </c>
      <c r="D194" s="111" t="s">
        <v>447</v>
      </c>
      <c r="E194" s="111" t="s">
        <v>448</v>
      </c>
      <c r="F194" s="265">
        <v>41969</v>
      </c>
      <c r="G194" s="265">
        <v>42000</v>
      </c>
      <c r="H194" s="111">
        <v>1179.53</v>
      </c>
      <c r="I194" s="111">
        <v>0</v>
      </c>
      <c r="J194" s="111"/>
      <c r="K194" s="111">
        <v>0.6</v>
      </c>
      <c r="L194" s="266">
        <f t="shared" si="5"/>
        <v>7.0771800000000002</v>
      </c>
      <c r="M194" s="29">
        <f t="shared" si="6"/>
        <v>31</v>
      </c>
    </row>
    <row r="195" spans="1:13">
      <c r="A195" s="29">
        <v>40</v>
      </c>
      <c r="B195" s="111">
        <v>6</v>
      </c>
      <c r="C195" s="111">
        <v>632</v>
      </c>
      <c r="D195" s="111" t="s">
        <v>458</v>
      </c>
      <c r="E195" s="111" t="s">
        <v>448</v>
      </c>
      <c r="F195" s="265">
        <v>41961</v>
      </c>
      <c r="G195" s="265">
        <v>41978</v>
      </c>
      <c r="H195" s="111">
        <v>1200</v>
      </c>
      <c r="I195" s="111">
        <v>0</v>
      </c>
      <c r="J195" s="111"/>
      <c r="K195" s="111">
        <v>0.6</v>
      </c>
      <c r="L195" s="266">
        <f t="shared" si="5"/>
        <v>7.2</v>
      </c>
      <c r="M195" s="29">
        <f t="shared" si="6"/>
        <v>17</v>
      </c>
    </row>
    <row r="196" spans="1:13">
      <c r="A196" s="29">
        <v>10</v>
      </c>
      <c r="B196" s="111">
        <v>6</v>
      </c>
      <c r="C196" s="111">
        <v>584</v>
      </c>
      <c r="D196" s="111" t="s">
        <v>381</v>
      </c>
      <c r="E196" s="111" t="s">
        <v>382</v>
      </c>
      <c r="F196" s="265">
        <v>41942</v>
      </c>
      <c r="G196" s="265">
        <v>41997</v>
      </c>
      <c r="H196" s="111">
        <v>1312.01</v>
      </c>
      <c r="I196" s="111">
        <v>0</v>
      </c>
      <c r="J196" s="111"/>
      <c r="K196" s="111">
        <v>0.6</v>
      </c>
      <c r="L196" s="266">
        <f t="shared" si="5"/>
        <v>7.8720600000000003</v>
      </c>
      <c r="M196" s="29">
        <f t="shared" si="6"/>
        <v>55</v>
      </c>
    </row>
    <row r="197" spans="1:13">
      <c r="A197" s="29">
        <v>8</v>
      </c>
      <c r="B197" s="111">
        <v>6</v>
      </c>
      <c r="C197" s="111">
        <v>581</v>
      </c>
      <c r="D197" s="111" t="s">
        <v>381</v>
      </c>
      <c r="E197" s="111" t="s">
        <v>382</v>
      </c>
      <c r="F197" s="265">
        <v>41942</v>
      </c>
      <c r="G197" s="265">
        <v>41997</v>
      </c>
      <c r="H197" s="111">
        <v>1697.51</v>
      </c>
      <c r="I197" s="111">
        <v>0</v>
      </c>
      <c r="J197" s="111"/>
      <c r="K197" s="111">
        <v>0.6</v>
      </c>
      <c r="L197" s="266">
        <f t="shared" si="5"/>
        <v>10.18506</v>
      </c>
      <c r="M197" s="29">
        <f t="shared" si="6"/>
        <v>55</v>
      </c>
    </row>
    <row r="198" spans="1:13">
      <c r="A198" s="29">
        <v>34</v>
      </c>
      <c r="B198" s="111">
        <v>6</v>
      </c>
      <c r="C198" s="111">
        <v>642</v>
      </c>
      <c r="D198" s="111" t="s">
        <v>461</v>
      </c>
      <c r="E198" s="111" t="s">
        <v>448</v>
      </c>
      <c r="F198" s="265">
        <v>41968</v>
      </c>
      <c r="G198" s="265">
        <v>41976</v>
      </c>
      <c r="H198" s="111">
        <v>1742.5</v>
      </c>
      <c r="I198" s="111">
        <v>0</v>
      </c>
      <c r="J198" s="111"/>
      <c r="K198" s="111">
        <v>0.6</v>
      </c>
      <c r="L198" s="266">
        <f t="shared" si="5"/>
        <v>10.455</v>
      </c>
      <c r="M198" s="29">
        <f t="shared" si="6"/>
        <v>8</v>
      </c>
    </row>
    <row r="199" spans="1:13">
      <c r="A199" s="29">
        <v>24</v>
      </c>
      <c r="B199" s="111">
        <v>6</v>
      </c>
      <c r="C199" s="111">
        <v>612</v>
      </c>
      <c r="D199" s="111" t="s">
        <v>454</v>
      </c>
      <c r="E199" s="111" t="s">
        <v>448</v>
      </c>
      <c r="F199" s="265">
        <v>41953</v>
      </c>
      <c r="G199" s="265">
        <v>41984</v>
      </c>
      <c r="H199" s="111">
        <v>1940.63</v>
      </c>
      <c r="I199" s="111">
        <v>0</v>
      </c>
      <c r="J199" s="111"/>
      <c r="K199" s="111">
        <v>0.6</v>
      </c>
      <c r="L199" s="266">
        <f t="shared" si="5"/>
        <v>11.643780000000001</v>
      </c>
      <c r="M199" s="29">
        <f t="shared" si="6"/>
        <v>31</v>
      </c>
    </row>
    <row r="200" spans="1:13">
      <c r="A200" s="29">
        <v>20</v>
      </c>
      <c r="B200" s="111">
        <v>6</v>
      </c>
      <c r="C200" s="111">
        <v>603</v>
      </c>
      <c r="D200" s="111" t="s">
        <v>447</v>
      </c>
      <c r="E200" s="111" t="s">
        <v>448</v>
      </c>
      <c r="F200" s="265">
        <v>41949</v>
      </c>
      <c r="G200" s="265">
        <v>41984</v>
      </c>
      <c r="H200" s="111">
        <v>2127.7800000000002</v>
      </c>
      <c r="I200" s="111">
        <v>0</v>
      </c>
      <c r="J200" s="111"/>
      <c r="K200" s="111">
        <v>0.6</v>
      </c>
      <c r="L200" s="266">
        <f t="shared" si="5"/>
        <v>12.766680000000001</v>
      </c>
      <c r="M200" s="29">
        <f t="shared" si="6"/>
        <v>35</v>
      </c>
    </row>
    <row r="201" spans="1:13">
      <c r="A201" s="29">
        <v>7</v>
      </c>
      <c r="B201" s="111">
        <v>6</v>
      </c>
      <c r="C201" s="111">
        <v>587</v>
      </c>
      <c r="D201" s="111" t="s">
        <v>381</v>
      </c>
      <c r="E201" s="111" t="s">
        <v>382</v>
      </c>
      <c r="F201" s="265">
        <v>41942</v>
      </c>
      <c r="G201" s="265">
        <v>41997</v>
      </c>
      <c r="H201" s="111">
        <v>2313.5700000000002</v>
      </c>
      <c r="I201" s="111">
        <v>0</v>
      </c>
      <c r="J201" s="111"/>
      <c r="K201" s="111">
        <v>0.6</v>
      </c>
      <c r="L201" s="266">
        <f t="shared" si="5"/>
        <v>13.881420000000002</v>
      </c>
      <c r="M201" s="29">
        <f t="shared" si="6"/>
        <v>55</v>
      </c>
    </row>
    <row r="202" spans="1:13">
      <c r="A202" s="29">
        <v>32</v>
      </c>
      <c r="B202" s="111">
        <v>6</v>
      </c>
      <c r="C202" s="111">
        <v>622</v>
      </c>
      <c r="D202" s="111" t="s">
        <v>379</v>
      </c>
      <c r="E202" s="111" t="s">
        <v>380</v>
      </c>
      <c r="F202" s="265">
        <v>41956</v>
      </c>
      <c r="G202" s="265">
        <v>41976</v>
      </c>
      <c r="H202" s="111">
        <v>2600</v>
      </c>
      <c r="I202" s="111">
        <v>0</v>
      </c>
      <c r="J202" s="111"/>
      <c r="K202" s="111">
        <v>0.6</v>
      </c>
      <c r="L202" s="266">
        <f t="shared" si="5"/>
        <v>15.6</v>
      </c>
      <c r="M202" s="29">
        <f t="shared" si="6"/>
        <v>20</v>
      </c>
    </row>
    <row r="203" spans="1:13">
      <c r="A203" s="29">
        <v>4</v>
      </c>
      <c r="B203" s="111">
        <v>6</v>
      </c>
      <c r="C203" s="111">
        <v>562</v>
      </c>
      <c r="D203" s="111" t="s">
        <v>379</v>
      </c>
      <c r="E203" s="111" t="s">
        <v>380</v>
      </c>
      <c r="F203" s="265">
        <v>41930</v>
      </c>
      <c r="G203" s="265">
        <v>41988</v>
      </c>
      <c r="H203" s="111">
        <v>2677.5</v>
      </c>
      <c r="I203" s="111">
        <v>0</v>
      </c>
      <c r="J203" s="111"/>
      <c r="K203" s="111">
        <v>0.6</v>
      </c>
      <c r="L203" s="266">
        <f t="shared" si="5"/>
        <v>16.065000000000001</v>
      </c>
      <c r="M203" s="29">
        <f t="shared" si="6"/>
        <v>58</v>
      </c>
    </row>
    <row r="204" spans="1:13">
      <c r="A204" s="29">
        <v>23</v>
      </c>
      <c r="B204" s="111">
        <v>6</v>
      </c>
      <c r="C204" s="111">
        <v>608</v>
      </c>
      <c r="D204" s="111" t="s">
        <v>447</v>
      </c>
      <c r="E204" s="111" t="s">
        <v>448</v>
      </c>
      <c r="F204" s="265">
        <v>41950</v>
      </c>
      <c r="G204" s="265">
        <v>41984</v>
      </c>
      <c r="H204" s="111">
        <v>2745.15</v>
      </c>
      <c r="I204" s="111">
        <v>0</v>
      </c>
      <c r="J204" s="111"/>
      <c r="K204" s="111">
        <v>0.6</v>
      </c>
      <c r="L204" s="266">
        <f t="shared" si="5"/>
        <v>16.4709</v>
      </c>
      <c r="M204" s="29">
        <f t="shared" si="6"/>
        <v>34</v>
      </c>
    </row>
    <row r="205" spans="1:13">
      <c r="A205" s="29">
        <v>18</v>
      </c>
      <c r="B205" s="111">
        <v>6</v>
      </c>
      <c r="C205" s="111">
        <v>601</v>
      </c>
      <c r="D205" s="111" t="s">
        <v>447</v>
      </c>
      <c r="E205" s="111" t="s">
        <v>448</v>
      </c>
      <c r="F205" s="265">
        <v>41948</v>
      </c>
      <c r="G205" s="265">
        <v>41978</v>
      </c>
      <c r="H205" s="111">
        <v>2925.69</v>
      </c>
      <c r="I205" s="111">
        <v>0</v>
      </c>
      <c r="J205" s="111"/>
      <c r="K205" s="111">
        <v>0.6</v>
      </c>
      <c r="L205" s="266">
        <f t="shared" si="5"/>
        <v>17.55414</v>
      </c>
      <c r="M205" s="29">
        <f t="shared" si="6"/>
        <v>30</v>
      </c>
    </row>
    <row r="206" spans="1:13">
      <c r="A206" s="29">
        <v>17</v>
      </c>
      <c r="B206" s="111">
        <v>6</v>
      </c>
      <c r="C206" s="111">
        <v>597</v>
      </c>
      <c r="D206" s="111" t="s">
        <v>454</v>
      </c>
      <c r="E206" s="111" t="s">
        <v>448</v>
      </c>
      <c r="F206" s="265">
        <v>41947</v>
      </c>
      <c r="G206" s="265">
        <v>41978</v>
      </c>
      <c r="H206" s="111">
        <v>3105</v>
      </c>
      <c r="I206" s="111">
        <v>0</v>
      </c>
      <c r="J206" s="111"/>
      <c r="K206" s="111">
        <v>0.6</v>
      </c>
      <c r="L206" s="266">
        <f t="shared" si="5"/>
        <v>18.63</v>
      </c>
      <c r="M206" s="29">
        <f t="shared" si="6"/>
        <v>31</v>
      </c>
    </row>
    <row r="207" spans="1:13">
      <c r="A207" s="29">
        <v>41</v>
      </c>
      <c r="B207" s="111">
        <v>6</v>
      </c>
      <c r="C207" s="111">
        <v>636</v>
      </c>
      <c r="D207" s="111" t="s">
        <v>447</v>
      </c>
      <c r="E207" s="111" t="s">
        <v>448</v>
      </c>
      <c r="F207" s="265">
        <v>41967</v>
      </c>
      <c r="G207" s="265">
        <v>42000</v>
      </c>
      <c r="H207" s="111">
        <v>3785.91</v>
      </c>
      <c r="I207" s="111">
        <v>0</v>
      </c>
      <c r="J207" s="111"/>
      <c r="K207" s="111">
        <v>0.6</v>
      </c>
      <c r="L207" s="266">
        <f t="shared" si="5"/>
        <v>22.71546</v>
      </c>
      <c r="M207" s="29">
        <f t="shared" si="6"/>
        <v>33</v>
      </c>
    </row>
    <row r="208" spans="1:13">
      <c r="A208" s="29">
        <v>9</v>
      </c>
      <c r="B208" s="111">
        <v>6</v>
      </c>
      <c r="C208" s="111">
        <v>585</v>
      </c>
      <c r="D208" s="111" t="s">
        <v>381</v>
      </c>
      <c r="E208" s="111" t="s">
        <v>382</v>
      </c>
      <c r="F208" s="265">
        <v>41942</v>
      </c>
      <c r="G208" s="265">
        <v>41982</v>
      </c>
      <c r="H208" s="111">
        <v>3942.58</v>
      </c>
      <c r="I208" s="111">
        <v>0</v>
      </c>
      <c r="J208" s="111"/>
      <c r="K208" s="111">
        <v>0.6</v>
      </c>
      <c r="L208" s="266">
        <f t="shared" si="5"/>
        <v>23.655480000000001</v>
      </c>
      <c r="M208" s="29">
        <f t="shared" si="6"/>
        <v>40</v>
      </c>
    </row>
    <row r="209" spans="1:15">
      <c r="A209" s="29">
        <v>29</v>
      </c>
      <c r="B209" s="111">
        <v>6</v>
      </c>
      <c r="C209" s="111">
        <v>614</v>
      </c>
      <c r="D209" s="111" t="s">
        <v>447</v>
      </c>
      <c r="E209" s="111" t="s">
        <v>448</v>
      </c>
      <c r="F209" s="265">
        <v>41955</v>
      </c>
      <c r="G209" s="265">
        <v>41995</v>
      </c>
      <c r="H209" s="111">
        <v>4458.0600000000004</v>
      </c>
      <c r="I209" s="111">
        <v>0</v>
      </c>
      <c r="J209" s="111"/>
      <c r="K209" s="111">
        <v>0.6</v>
      </c>
      <c r="L209" s="266">
        <f t="shared" si="5"/>
        <v>26.748360000000002</v>
      </c>
      <c r="M209" s="29">
        <f t="shared" si="6"/>
        <v>40</v>
      </c>
    </row>
    <row r="210" spans="1:15">
      <c r="A210" s="29">
        <v>16</v>
      </c>
      <c r="B210" s="111">
        <v>6</v>
      </c>
      <c r="C210" s="111">
        <v>598</v>
      </c>
      <c r="D210" s="111" t="s">
        <v>454</v>
      </c>
      <c r="E210" s="111" t="s">
        <v>448</v>
      </c>
      <c r="F210" s="265">
        <v>41947</v>
      </c>
      <c r="G210" s="265">
        <v>41978</v>
      </c>
      <c r="H210" s="111">
        <v>4722.1899999999996</v>
      </c>
      <c r="I210" s="111">
        <v>0</v>
      </c>
      <c r="J210" s="111"/>
      <c r="K210" s="111">
        <v>0.6</v>
      </c>
      <c r="L210" s="266">
        <f t="shared" si="5"/>
        <v>28.333139999999997</v>
      </c>
      <c r="M210" s="29">
        <f t="shared" si="6"/>
        <v>31</v>
      </c>
    </row>
    <row r="211" spans="1:15">
      <c r="A211" s="29">
        <v>3</v>
      </c>
      <c r="B211" s="111">
        <v>6</v>
      </c>
      <c r="C211" s="111">
        <v>532</v>
      </c>
      <c r="D211" s="111" t="s">
        <v>455</v>
      </c>
      <c r="E211" s="111" t="s">
        <v>450</v>
      </c>
      <c r="F211" s="265">
        <v>41913</v>
      </c>
      <c r="G211" s="265">
        <v>41995</v>
      </c>
      <c r="H211" s="111">
        <v>5660</v>
      </c>
      <c r="I211" s="111">
        <v>0</v>
      </c>
      <c r="J211" s="111"/>
      <c r="K211" s="111">
        <v>0.6</v>
      </c>
      <c r="L211" s="266">
        <f t="shared" si="5"/>
        <v>33.96</v>
      </c>
      <c r="M211" s="29">
        <f t="shared" si="6"/>
        <v>82</v>
      </c>
    </row>
    <row r="212" spans="1:15">
      <c r="A212" s="29">
        <v>33</v>
      </c>
      <c r="B212" s="111">
        <v>6</v>
      </c>
      <c r="C212" s="111">
        <v>624</v>
      </c>
      <c r="D212" s="111" t="s">
        <v>447</v>
      </c>
      <c r="E212" s="111" t="s">
        <v>448</v>
      </c>
      <c r="F212" s="265">
        <v>41957</v>
      </c>
      <c r="G212" s="265">
        <v>41995</v>
      </c>
      <c r="H212" s="111">
        <v>5743.67</v>
      </c>
      <c r="I212" s="111">
        <v>0</v>
      </c>
      <c r="J212" s="111"/>
      <c r="K212" s="111">
        <v>0.6</v>
      </c>
      <c r="L212" s="266">
        <f t="shared" si="5"/>
        <v>34.462020000000003</v>
      </c>
      <c r="M212" s="29">
        <f t="shared" si="6"/>
        <v>38</v>
      </c>
    </row>
    <row r="213" spans="1:15">
      <c r="A213" s="29">
        <v>47</v>
      </c>
      <c r="B213" s="111">
        <v>6</v>
      </c>
      <c r="C213" s="111">
        <v>648</v>
      </c>
      <c r="D213" s="111" t="s">
        <v>447</v>
      </c>
      <c r="E213" s="111" t="s">
        <v>448</v>
      </c>
      <c r="F213" s="265">
        <v>41969</v>
      </c>
      <c r="G213" s="265">
        <v>42000</v>
      </c>
      <c r="H213" s="111">
        <v>5769.19</v>
      </c>
      <c r="I213" s="111">
        <v>0</v>
      </c>
      <c r="J213" s="111"/>
      <c r="K213" s="111">
        <v>0.6</v>
      </c>
      <c r="L213" s="266">
        <f t="shared" si="5"/>
        <v>34.615139999999997</v>
      </c>
      <c r="M213" s="29">
        <f t="shared" si="6"/>
        <v>31</v>
      </c>
    </row>
    <row r="214" spans="1:15">
      <c r="A214" s="29">
        <v>42</v>
      </c>
      <c r="B214" s="111">
        <v>6</v>
      </c>
      <c r="C214" s="111">
        <v>637</v>
      </c>
      <c r="D214" s="111" t="s">
        <v>454</v>
      </c>
      <c r="E214" s="111" t="s">
        <v>448</v>
      </c>
      <c r="F214" s="265">
        <v>41967</v>
      </c>
      <c r="G214" s="265">
        <v>41995</v>
      </c>
      <c r="H214" s="111">
        <v>5821.88</v>
      </c>
      <c r="I214" s="111">
        <v>0</v>
      </c>
      <c r="J214" s="111"/>
      <c r="K214" s="111">
        <v>0.6</v>
      </c>
      <c r="L214" s="266">
        <f t="shared" si="5"/>
        <v>34.931280000000001</v>
      </c>
      <c r="M214" s="29">
        <f t="shared" si="6"/>
        <v>28</v>
      </c>
    </row>
    <row r="215" spans="1:15">
      <c r="A215" s="29">
        <v>39</v>
      </c>
      <c r="B215" s="111">
        <v>6</v>
      </c>
      <c r="C215" s="111">
        <v>635</v>
      </c>
      <c r="D215" s="111" t="s">
        <v>456</v>
      </c>
      <c r="E215" s="111" t="s">
        <v>457</v>
      </c>
      <c r="F215" s="265">
        <v>41962</v>
      </c>
      <c r="G215" s="265">
        <v>41988</v>
      </c>
      <c r="H215" s="111">
        <v>6240</v>
      </c>
      <c r="I215" s="111">
        <v>0</v>
      </c>
      <c r="J215" s="111"/>
      <c r="K215" s="111">
        <v>0.6</v>
      </c>
      <c r="L215" s="266">
        <f t="shared" si="5"/>
        <v>37.44</v>
      </c>
      <c r="M215" s="29">
        <f t="shared" si="6"/>
        <v>26</v>
      </c>
    </row>
    <row r="216" spans="1:15">
      <c r="A216" s="29">
        <v>25</v>
      </c>
      <c r="B216" s="111">
        <v>6</v>
      </c>
      <c r="C216" s="111">
        <v>610</v>
      </c>
      <c r="D216" s="111" t="s">
        <v>447</v>
      </c>
      <c r="E216" s="111" t="s">
        <v>448</v>
      </c>
      <c r="F216" s="265">
        <v>41953</v>
      </c>
      <c r="G216" s="265">
        <v>41984</v>
      </c>
      <c r="H216" s="111">
        <v>9738.75</v>
      </c>
      <c r="I216" s="111">
        <v>0</v>
      </c>
      <c r="J216" s="111"/>
      <c r="K216" s="111">
        <v>0.6</v>
      </c>
      <c r="L216" s="266">
        <f t="shared" si="5"/>
        <v>58.432500000000005</v>
      </c>
      <c r="M216" s="29">
        <f t="shared" si="6"/>
        <v>31</v>
      </c>
    </row>
    <row r="217" spans="1:15">
      <c r="A217" s="29">
        <v>38</v>
      </c>
      <c r="B217" s="111">
        <v>6</v>
      </c>
      <c r="C217" s="111">
        <v>634</v>
      </c>
      <c r="D217" s="111" t="s">
        <v>454</v>
      </c>
      <c r="E217" s="111" t="s">
        <v>448</v>
      </c>
      <c r="F217" s="265">
        <v>41962</v>
      </c>
      <c r="G217" s="265">
        <v>41995</v>
      </c>
      <c r="H217" s="111">
        <v>15848.46</v>
      </c>
      <c r="I217" s="111">
        <v>0</v>
      </c>
      <c r="J217" s="111"/>
      <c r="K217" s="111">
        <v>0.6</v>
      </c>
      <c r="L217" s="266">
        <f t="shared" si="5"/>
        <v>95.090760000000003</v>
      </c>
      <c r="M217" s="29">
        <f t="shared" si="6"/>
        <v>33</v>
      </c>
    </row>
    <row r="218" spans="1:15">
      <c r="A218" s="29">
        <v>5</v>
      </c>
      <c r="B218" s="111">
        <v>6</v>
      </c>
      <c r="C218" s="111">
        <v>575</v>
      </c>
      <c r="D218" s="111" t="s">
        <v>454</v>
      </c>
      <c r="E218" s="111" t="s">
        <v>448</v>
      </c>
      <c r="F218" s="265">
        <v>41939</v>
      </c>
      <c r="G218" s="265">
        <v>41978</v>
      </c>
      <c r="H218" s="111">
        <v>27168.79</v>
      </c>
      <c r="I218" s="111">
        <v>0</v>
      </c>
      <c r="J218" s="111"/>
      <c r="K218" s="111">
        <v>0.6</v>
      </c>
      <c r="L218" s="266">
        <f t="shared" si="5"/>
        <v>163.01274000000001</v>
      </c>
      <c r="M218" s="29">
        <f t="shared" si="6"/>
        <v>39</v>
      </c>
    </row>
    <row r="219" spans="1:15">
      <c r="A219" s="29">
        <v>44</v>
      </c>
      <c r="B219" s="111">
        <v>6</v>
      </c>
      <c r="C219" s="111">
        <v>638</v>
      </c>
      <c r="D219" s="111" t="s">
        <v>454</v>
      </c>
      <c r="E219" s="111" t="s">
        <v>448</v>
      </c>
      <c r="F219" s="265">
        <v>41967</v>
      </c>
      <c r="G219" s="265">
        <v>41995</v>
      </c>
      <c r="H219" s="111">
        <v>48774.45</v>
      </c>
      <c r="I219" s="111">
        <v>0</v>
      </c>
      <c r="J219" s="111"/>
      <c r="K219" s="111">
        <v>0.6</v>
      </c>
      <c r="L219" s="266">
        <f t="shared" si="5"/>
        <v>292.64670000000001</v>
      </c>
      <c r="M219" s="29">
        <f t="shared" si="6"/>
        <v>28</v>
      </c>
    </row>
    <row r="220" spans="1:15">
      <c r="A220" s="29">
        <v>15</v>
      </c>
      <c r="B220" s="111">
        <v>6</v>
      </c>
      <c r="C220" s="111">
        <v>599</v>
      </c>
      <c r="D220" s="111" t="s">
        <v>454</v>
      </c>
      <c r="E220" s="111" t="s">
        <v>448</v>
      </c>
      <c r="F220" s="265">
        <v>41947</v>
      </c>
      <c r="G220" s="265">
        <v>41978</v>
      </c>
      <c r="H220" s="111">
        <v>79565.75</v>
      </c>
      <c r="I220" s="111">
        <v>0</v>
      </c>
      <c r="J220" s="111"/>
      <c r="K220" s="111">
        <v>0.6</v>
      </c>
      <c r="L220" s="266">
        <f t="shared" si="5"/>
        <v>477.39449999999999</v>
      </c>
      <c r="M220" s="29">
        <f t="shared" si="6"/>
        <v>31</v>
      </c>
    </row>
    <row r="221" spans="1:15">
      <c r="G221" s="268" t="s">
        <v>464</v>
      </c>
      <c r="H221" s="268">
        <f>SUM(H174:H220)</f>
        <v>280487.63</v>
      </c>
      <c r="I221" s="59"/>
      <c r="J221" s="59"/>
      <c r="K221" s="268" t="s">
        <v>383</v>
      </c>
      <c r="L221" s="268">
        <f>SUM(L174:L220)</f>
        <v>1589.6994</v>
      </c>
      <c r="N221" s="29">
        <v>1590</v>
      </c>
      <c r="O221" s="29">
        <f>L221-N221</f>
        <v>-0.30060000000003129</v>
      </c>
    </row>
    <row r="225" spans="1:13">
      <c r="B225" s="59"/>
      <c r="C225" s="138" t="s">
        <v>469</v>
      </c>
      <c r="D225" s="59"/>
      <c r="E225" s="59"/>
      <c r="F225" s="59"/>
      <c r="G225" s="59"/>
      <c r="H225" s="59"/>
      <c r="I225" s="59"/>
      <c r="J225" s="59"/>
      <c r="K225" s="59"/>
      <c r="L225" s="59"/>
    </row>
    <row r="226" spans="1:13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</row>
    <row r="227" spans="1:13">
      <c r="A227" s="29" t="s">
        <v>45</v>
      </c>
      <c r="B227" s="264" t="s">
        <v>369</v>
      </c>
      <c r="C227" s="264" t="s">
        <v>370</v>
      </c>
      <c r="D227" s="264" t="s">
        <v>371</v>
      </c>
      <c r="E227" s="264" t="s">
        <v>372</v>
      </c>
      <c r="F227" s="264" t="s">
        <v>373</v>
      </c>
      <c r="G227" s="264" t="s">
        <v>470</v>
      </c>
      <c r="H227" s="264" t="s">
        <v>375</v>
      </c>
      <c r="I227" s="264" t="s">
        <v>376</v>
      </c>
      <c r="J227" s="264"/>
      <c r="K227" s="264" t="s">
        <v>377</v>
      </c>
      <c r="L227" s="264" t="s">
        <v>378</v>
      </c>
    </row>
    <row r="228" spans="1:13">
      <c r="B228" s="111">
        <v>6</v>
      </c>
      <c r="C228" s="111">
        <v>586</v>
      </c>
      <c r="D228" s="111" t="s">
        <v>471</v>
      </c>
      <c r="E228" s="111" t="s">
        <v>382</v>
      </c>
      <c r="F228" s="265">
        <v>41942</v>
      </c>
      <c r="G228" s="265">
        <v>42025</v>
      </c>
      <c r="H228" s="266">
        <v>2046.96</v>
      </c>
      <c r="I228" s="266">
        <v>0</v>
      </c>
      <c r="J228" s="266"/>
      <c r="K228" s="266">
        <v>0.6</v>
      </c>
      <c r="L228" s="266">
        <f t="shared" ref="L228:L267" si="7">(H228-I228)*K228%</f>
        <v>12.28176</v>
      </c>
      <c r="M228" s="29">
        <f t="shared" ref="M228:M267" si="8">G228-F228</f>
        <v>83</v>
      </c>
    </row>
    <row r="229" spans="1:13">
      <c r="B229" s="111">
        <v>6</v>
      </c>
      <c r="C229" s="111">
        <v>640</v>
      </c>
      <c r="D229" s="111" t="s">
        <v>381</v>
      </c>
      <c r="E229" s="111" t="s">
        <v>382</v>
      </c>
      <c r="F229" s="265">
        <v>41967</v>
      </c>
      <c r="G229" s="265">
        <v>42016</v>
      </c>
      <c r="H229" s="266">
        <v>2313.5700000000002</v>
      </c>
      <c r="I229" s="266">
        <v>0</v>
      </c>
      <c r="J229" s="266"/>
      <c r="K229" s="266">
        <v>0.6</v>
      </c>
      <c r="L229" s="266">
        <f t="shared" si="7"/>
        <v>13.881420000000002</v>
      </c>
      <c r="M229" s="29">
        <f t="shared" si="8"/>
        <v>49</v>
      </c>
    </row>
    <row r="230" spans="1:13">
      <c r="B230" s="111">
        <v>6</v>
      </c>
      <c r="C230" s="111">
        <v>639</v>
      </c>
      <c r="D230" s="111" t="s">
        <v>381</v>
      </c>
      <c r="E230" s="111" t="s">
        <v>382</v>
      </c>
      <c r="F230" s="265">
        <v>41967</v>
      </c>
      <c r="G230" s="265">
        <v>42023</v>
      </c>
      <c r="H230" s="266">
        <v>578.39</v>
      </c>
      <c r="I230" s="266">
        <v>0</v>
      </c>
      <c r="J230" s="266"/>
      <c r="K230" s="266">
        <v>0.6</v>
      </c>
      <c r="L230" s="266">
        <f t="shared" si="7"/>
        <v>3.4703400000000002</v>
      </c>
      <c r="M230" s="29">
        <f t="shared" si="8"/>
        <v>56</v>
      </c>
    </row>
    <row r="231" spans="1:13">
      <c r="B231" s="111">
        <v>6</v>
      </c>
      <c r="C231" s="111">
        <v>649</v>
      </c>
      <c r="D231" s="111" t="s">
        <v>458</v>
      </c>
      <c r="E231" s="111" t="s">
        <v>448</v>
      </c>
      <c r="F231" s="265">
        <v>41969</v>
      </c>
      <c r="G231" s="265">
        <v>42031</v>
      </c>
      <c r="H231" s="266">
        <v>11100</v>
      </c>
      <c r="I231" s="266">
        <v>0</v>
      </c>
      <c r="J231" s="266"/>
      <c r="K231" s="266">
        <v>0.6</v>
      </c>
      <c r="L231" s="266">
        <f t="shared" si="7"/>
        <v>66.599999999999994</v>
      </c>
      <c r="M231" s="29">
        <f t="shared" si="8"/>
        <v>62</v>
      </c>
    </row>
    <row r="232" spans="1:13">
      <c r="B232" s="111">
        <v>6</v>
      </c>
      <c r="C232" s="111">
        <v>652</v>
      </c>
      <c r="D232" s="111" t="s">
        <v>468</v>
      </c>
      <c r="E232" s="111" t="s">
        <v>382</v>
      </c>
      <c r="F232" s="265">
        <v>41970</v>
      </c>
      <c r="G232" s="265">
        <v>42016</v>
      </c>
      <c r="H232" s="266">
        <v>578.39</v>
      </c>
      <c r="I232" s="266">
        <v>0</v>
      </c>
      <c r="J232" s="266"/>
      <c r="K232" s="266">
        <v>0.6</v>
      </c>
      <c r="L232" s="266">
        <f t="shared" si="7"/>
        <v>3.4703400000000002</v>
      </c>
      <c r="M232" s="29">
        <f t="shared" si="8"/>
        <v>46</v>
      </c>
    </row>
    <row r="233" spans="1:13">
      <c r="B233" s="111">
        <v>6</v>
      </c>
      <c r="C233" s="111">
        <v>663</v>
      </c>
      <c r="D233" s="111" t="s">
        <v>462</v>
      </c>
      <c r="E233" s="111" t="s">
        <v>452</v>
      </c>
      <c r="F233" s="265">
        <v>41977</v>
      </c>
      <c r="G233" s="265">
        <v>42009</v>
      </c>
      <c r="H233" s="266">
        <v>3814.7</v>
      </c>
      <c r="I233" s="266">
        <v>0</v>
      </c>
      <c r="J233" s="266"/>
      <c r="K233" s="266">
        <v>0.6</v>
      </c>
      <c r="L233" s="266">
        <f t="shared" si="7"/>
        <v>22.888199999999998</v>
      </c>
      <c r="M233" s="29">
        <f t="shared" si="8"/>
        <v>32</v>
      </c>
    </row>
    <row r="234" spans="1:13">
      <c r="B234" s="111">
        <v>6</v>
      </c>
      <c r="C234" s="111">
        <v>664</v>
      </c>
      <c r="D234" s="111" t="s">
        <v>462</v>
      </c>
      <c r="E234" s="111" t="s">
        <v>452</v>
      </c>
      <c r="F234" s="265">
        <v>41977</v>
      </c>
      <c r="G234" s="265">
        <v>42009</v>
      </c>
      <c r="H234" s="266">
        <v>114.8</v>
      </c>
      <c r="I234" s="266">
        <v>0</v>
      </c>
      <c r="J234" s="266"/>
      <c r="K234" s="266">
        <v>0.6</v>
      </c>
      <c r="L234" s="266">
        <f t="shared" si="7"/>
        <v>0.68879999999999997</v>
      </c>
      <c r="M234" s="29">
        <f t="shared" si="8"/>
        <v>32</v>
      </c>
    </row>
    <row r="235" spans="1:13">
      <c r="B235" s="111">
        <v>6</v>
      </c>
      <c r="C235" s="111">
        <v>655</v>
      </c>
      <c r="D235" s="111" t="s">
        <v>454</v>
      </c>
      <c r="E235" s="111" t="s">
        <v>448</v>
      </c>
      <c r="F235" s="265">
        <v>41971</v>
      </c>
      <c r="G235" s="265">
        <v>42007</v>
      </c>
      <c r="H235" s="266">
        <v>30855.99</v>
      </c>
      <c r="I235" s="266">
        <v>0</v>
      </c>
      <c r="J235" s="266"/>
      <c r="K235" s="266">
        <v>0.6</v>
      </c>
      <c r="L235" s="266">
        <f t="shared" si="7"/>
        <v>185.13594000000001</v>
      </c>
      <c r="M235" s="29">
        <f t="shared" si="8"/>
        <v>36</v>
      </c>
    </row>
    <row r="236" spans="1:13">
      <c r="B236" s="111">
        <v>6</v>
      </c>
      <c r="C236" s="111">
        <v>660</v>
      </c>
      <c r="D236" s="111" t="s">
        <v>447</v>
      </c>
      <c r="E236" s="111" t="s">
        <v>448</v>
      </c>
      <c r="F236" s="265">
        <v>41975</v>
      </c>
      <c r="G236" s="265">
        <v>42009</v>
      </c>
      <c r="H236" s="266">
        <v>3160.98</v>
      </c>
      <c r="I236" s="266">
        <v>0</v>
      </c>
      <c r="J236" s="266"/>
      <c r="K236" s="266">
        <v>0.6</v>
      </c>
      <c r="L236" s="266">
        <f t="shared" si="7"/>
        <v>18.965880000000002</v>
      </c>
      <c r="M236" s="29">
        <f t="shared" si="8"/>
        <v>34</v>
      </c>
    </row>
    <row r="237" spans="1:13">
      <c r="B237" s="111">
        <v>6</v>
      </c>
      <c r="C237" s="111">
        <v>661</v>
      </c>
      <c r="D237" s="111" t="s">
        <v>454</v>
      </c>
      <c r="E237" s="111" t="s">
        <v>448</v>
      </c>
      <c r="F237" s="265">
        <v>41977</v>
      </c>
      <c r="G237" s="265">
        <v>42012</v>
      </c>
      <c r="H237" s="266">
        <v>19988.47</v>
      </c>
      <c r="I237" s="266">
        <v>0</v>
      </c>
      <c r="J237" s="266"/>
      <c r="K237" s="266">
        <v>0.6</v>
      </c>
      <c r="L237" s="266">
        <f t="shared" si="7"/>
        <v>119.93082000000001</v>
      </c>
      <c r="M237" s="29">
        <f t="shared" si="8"/>
        <v>35</v>
      </c>
    </row>
    <row r="238" spans="1:13">
      <c r="B238" s="111">
        <v>6</v>
      </c>
      <c r="C238" s="111">
        <v>662</v>
      </c>
      <c r="D238" s="111" t="s">
        <v>454</v>
      </c>
      <c r="E238" s="111" t="s">
        <v>448</v>
      </c>
      <c r="F238" s="265">
        <v>41977</v>
      </c>
      <c r="G238" s="265">
        <v>42012</v>
      </c>
      <c r="H238" s="266">
        <v>10350.02</v>
      </c>
      <c r="I238" s="266">
        <v>0</v>
      </c>
      <c r="J238" s="266"/>
      <c r="K238" s="266">
        <v>0.6</v>
      </c>
      <c r="L238" s="266">
        <f t="shared" si="7"/>
        <v>62.100120000000004</v>
      </c>
      <c r="M238" s="29">
        <f t="shared" si="8"/>
        <v>35</v>
      </c>
    </row>
    <row r="239" spans="1:13">
      <c r="B239" s="111">
        <v>6</v>
      </c>
      <c r="C239" s="111">
        <v>668</v>
      </c>
      <c r="D239" s="111" t="s">
        <v>472</v>
      </c>
      <c r="E239" s="111" t="s">
        <v>457</v>
      </c>
      <c r="F239" s="265">
        <v>41979</v>
      </c>
      <c r="G239" s="265">
        <v>42024</v>
      </c>
      <c r="H239" s="266">
        <v>4810.5</v>
      </c>
      <c r="I239" s="266">
        <v>0</v>
      </c>
      <c r="J239" s="266"/>
      <c r="K239" s="266">
        <v>0.6</v>
      </c>
      <c r="L239" s="266">
        <f t="shared" si="7"/>
        <v>28.863</v>
      </c>
      <c r="M239" s="29">
        <f t="shared" si="8"/>
        <v>45</v>
      </c>
    </row>
    <row r="240" spans="1:13">
      <c r="B240" s="111">
        <v>6</v>
      </c>
      <c r="C240" s="111">
        <v>672</v>
      </c>
      <c r="D240" s="111" t="s">
        <v>379</v>
      </c>
      <c r="E240" s="111" t="s">
        <v>380</v>
      </c>
      <c r="F240" s="265">
        <v>41984</v>
      </c>
      <c r="G240" s="265">
        <v>42020</v>
      </c>
      <c r="H240" s="266">
        <v>5560</v>
      </c>
      <c r="I240" s="266">
        <v>5560</v>
      </c>
      <c r="J240" s="266"/>
      <c r="K240" s="266">
        <v>0.6</v>
      </c>
      <c r="L240" s="266">
        <f t="shared" si="7"/>
        <v>0</v>
      </c>
      <c r="M240" s="29">
        <f t="shared" si="8"/>
        <v>36</v>
      </c>
    </row>
    <row r="241" spans="2:13">
      <c r="B241" s="111">
        <v>6</v>
      </c>
      <c r="C241" s="111">
        <v>669</v>
      </c>
      <c r="D241" s="111" t="s">
        <v>454</v>
      </c>
      <c r="E241" s="111" t="s">
        <v>448</v>
      </c>
      <c r="F241" s="265">
        <v>41984</v>
      </c>
      <c r="G241" s="265">
        <v>42017</v>
      </c>
      <c r="H241" s="266">
        <v>10220.64</v>
      </c>
      <c r="I241" s="266">
        <v>0</v>
      </c>
      <c r="J241" s="266"/>
      <c r="K241" s="266">
        <v>0.6</v>
      </c>
      <c r="L241" s="266">
        <f t="shared" si="7"/>
        <v>61.323839999999997</v>
      </c>
      <c r="M241" s="29">
        <f t="shared" si="8"/>
        <v>33</v>
      </c>
    </row>
    <row r="242" spans="2:13">
      <c r="B242" s="111">
        <v>6</v>
      </c>
      <c r="C242" s="111">
        <v>676</v>
      </c>
      <c r="D242" s="111" t="s">
        <v>381</v>
      </c>
      <c r="E242" s="111" t="s">
        <v>382</v>
      </c>
      <c r="F242" s="265">
        <v>41986</v>
      </c>
      <c r="G242" s="265">
        <v>42031</v>
      </c>
      <c r="H242" s="266">
        <v>578.39</v>
      </c>
      <c r="I242" s="266">
        <v>0</v>
      </c>
      <c r="J242" s="266"/>
      <c r="K242" s="266">
        <v>0.6</v>
      </c>
      <c r="L242" s="266">
        <f t="shared" si="7"/>
        <v>3.4703400000000002</v>
      </c>
      <c r="M242" s="29">
        <f t="shared" si="8"/>
        <v>45</v>
      </c>
    </row>
    <row r="243" spans="2:13">
      <c r="B243" s="111">
        <v>6</v>
      </c>
      <c r="C243" s="111">
        <v>674</v>
      </c>
      <c r="D243" s="111" t="s">
        <v>458</v>
      </c>
      <c r="E243" s="111" t="s">
        <v>448</v>
      </c>
      <c r="F243" s="265">
        <v>41985</v>
      </c>
      <c r="G243" s="265">
        <v>42024</v>
      </c>
      <c r="H243" s="266">
        <v>2243.4</v>
      </c>
      <c r="I243" s="266">
        <v>0</v>
      </c>
      <c r="J243" s="266"/>
      <c r="K243" s="266">
        <v>0.6</v>
      </c>
      <c r="L243" s="266">
        <f t="shared" si="7"/>
        <v>13.460400000000002</v>
      </c>
      <c r="M243" s="29">
        <f t="shared" si="8"/>
        <v>39</v>
      </c>
    </row>
    <row r="244" spans="2:13">
      <c r="B244" s="111">
        <v>6</v>
      </c>
      <c r="C244" s="111">
        <v>678</v>
      </c>
      <c r="D244" s="111" t="s">
        <v>447</v>
      </c>
      <c r="E244" s="111" t="s">
        <v>448</v>
      </c>
      <c r="F244" s="265">
        <v>41989</v>
      </c>
      <c r="G244" s="265">
        <v>42019</v>
      </c>
      <c r="H244" s="266">
        <v>17161.07</v>
      </c>
      <c r="I244" s="266">
        <v>0</v>
      </c>
      <c r="J244" s="266"/>
      <c r="K244" s="266">
        <v>0.6</v>
      </c>
      <c r="L244" s="266">
        <f t="shared" si="7"/>
        <v>102.96642</v>
      </c>
      <c r="M244" s="29">
        <f t="shared" si="8"/>
        <v>30</v>
      </c>
    </row>
    <row r="245" spans="2:13">
      <c r="B245" s="111">
        <v>6</v>
      </c>
      <c r="C245" s="111">
        <v>679</v>
      </c>
      <c r="D245" s="111" t="s">
        <v>460</v>
      </c>
      <c r="E245" s="111" t="s">
        <v>448</v>
      </c>
      <c r="F245" s="265">
        <v>41990</v>
      </c>
      <c r="G245" s="265">
        <v>42007</v>
      </c>
      <c r="H245" s="266">
        <v>570</v>
      </c>
      <c r="I245" s="266">
        <v>0</v>
      </c>
      <c r="J245" s="266"/>
      <c r="K245" s="266">
        <v>0.6</v>
      </c>
      <c r="L245" s="266">
        <f t="shared" si="7"/>
        <v>3.42</v>
      </c>
      <c r="M245" s="29">
        <f t="shared" si="8"/>
        <v>17</v>
      </c>
    </row>
    <row r="246" spans="2:13">
      <c r="B246" s="111">
        <v>6</v>
      </c>
      <c r="C246" s="111">
        <v>680</v>
      </c>
      <c r="D246" s="111" t="s">
        <v>460</v>
      </c>
      <c r="E246" s="111" t="s">
        <v>448</v>
      </c>
      <c r="F246" s="265">
        <v>41991</v>
      </c>
      <c r="G246" s="265">
        <v>42007</v>
      </c>
      <c r="H246" s="266">
        <v>2617.6999999999998</v>
      </c>
      <c r="I246" s="266">
        <v>0</v>
      </c>
      <c r="J246" s="266"/>
      <c r="K246" s="266">
        <v>0.6</v>
      </c>
      <c r="L246" s="266">
        <f t="shared" si="7"/>
        <v>15.706199999999999</v>
      </c>
      <c r="M246" s="29">
        <f t="shared" si="8"/>
        <v>16</v>
      </c>
    </row>
    <row r="247" spans="2:13">
      <c r="B247" s="111">
        <v>6</v>
      </c>
      <c r="C247" s="111">
        <v>699</v>
      </c>
      <c r="D247" s="111" t="s">
        <v>379</v>
      </c>
      <c r="E247" s="111" t="s">
        <v>380</v>
      </c>
      <c r="F247" s="265">
        <v>41995</v>
      </c>
      <c r="G247" s="265">
        <v>42007</v>
      </c>
      <c r="H247" s="266">
        <v>11000</v>
      </c>
      <c r="I247" s="266">
        <v>0</v>
      </c>
      <c r="J247" s="266"/>
      <c r="K247" s="266">
        <v>0.6</v>
      </c>
      <c r="L247" s="266">
        <f t="shared" si="7"/>
        <v>66</v>
      </c>
      <c r="M247" s="29">
        <f t="shared" si="8"/>
        <v>12</v>
      </c>
    </row>
    <row r="248" spans="2:13">
      <c r="B248" s="111">
        <v>6</v>
      </c>
      <c r="C248" s="111">
        <v>701</v>
      </c>
      <c r="D248" s="111" t="s">
        <v>379</v>
      </c>
      <c r="E248" s="111" t="s">
        <v>380</v>
      </c>
      <c r="F248" s="265">
        <v>41995</v>
      </c>
      <c r="G248" s="265">
        <v>42007</v>
      </c>
      <c r="H248" s="266">
        <v>10000</v>
      </c>
      <c r="I248" s="266">
        <v>0</v>
      </c>
      <c r="J248" s="266"/>
      <c r="K248" s="266">
        <v>0.6</v>
      </c>
      <c r="L248" s="266">
        <f t="shared" si="7"/>
        <v>60</v>
      </c>
      <c r="M248" s="29">
        <f t="shared" si="8"/>
        <v>12</v>
      </c>
    </row>
    <row r="249" spans="2:13">
      <c r="B249" s="111">
        <v>6</v>
      </c>
      <c r="C249" s="111">
        <v>702</v>
      </c>
      <c r="D249" s="111" t="s">
        <v>379</v>
      </c>
      <c r="E249" s="111" t="s">
        <v>380</v>
      </c>
      <c r="F249" s="265">
        <v>41995</v>
      </c>
      <c r="G249" s="265">
        <v>42007</v>
      </c>
      <c r="H249" s="266">
        <v>8800</v>
      </c>
      <c r="I249" s="266">
        <v>0</v>
      </c>
      <c r="J249" s="266"/>
      <c r="K249" s="266">
        <v>0.6</v>
      </c>
      <c r="L249" s="266">
        <f t="shared" si="7"/>
        <v>52.800000000000004</v>
      </c>
      <c r="M249" s="29">
        <f t="shared" si="8"/>
        <v>12</v>
      </c>
    </row>
    <row r="250" spans="2:13">
      <c r="B250" s="111">
        <v>6</v>
      </c>
      <c r="C250" s="111">
        <v>698</v>
      </c>
      <c r="D250" s="111" t="s">
        <v>379</v>
      </c>
      <c r="E250" s="111" t="s">
        <v>380</v>
      </c>
      <c r="F250" s="265">
        <v>41995</v>
      </c>
      <c r="G250" s="265">
        <v>42017</v>
      </c>
      <c r="H250" s="266">
        <v>9900</v>
      </c>
      <c r="I250" s="266">
        <v>0</v>
      </c>
      <c r="J250" s="266"/>
      <c r="K250" s="266">
        <v>0.6</v>
      </c>
      <c r="L250" s="266">
        <f t="shared" si="7"/>
        <v>59.4</v>
      </c>
      <c r="M250" s="29">
        <f t="shared" si="8"/>
        <v>22</v>
      </c>
    </row>
    <row r="251" spans="2:13">
      <c r="B251" s="111">
        <v>6</v>
      </c>
      <c r="C251" s="111">
        <v>681</v>
      </c>
      <c r="D251" s="111" t="s">
        <v>449</v>
      </c>
      <c r="E251" s="111" t="s">
        <v>450</v>
      </c>
      <c r="F251" s="265">
        <v>41991</v>
      </c>
      <c r="G251" s="265">
        <v>42013</v>
      </c>
      <c r="H251" s="266">
        <v>6472</v>
      </c>
      <c r="I251" s="266">
        <v>0</v>
      </c>
      <c r="J251" s="266"/>
      <c r="K251" s="266">
        <v>0.6</v>
      </c>
      <c r="L251" s="266">
        <f t="shared" si="7"/>
        <v>38.832000000000001</v>
      </c>
      <c r="M251" s="29">
        <f t="shared" si="8"/>
        <v>22</v>
      </c>
    </row>
    <row r="252" spans="2:13">
      <c r="B252" s="111">
        <v>6</v>
      </c>
      <c r="C252" s="111">
        <v>704</v>
      </c>
      <c r="D252" s="111" t="s">
        <v>451</v>
      </c>
      <c r="E252" s="111" t="s">
        <v>452</v>
      </c>
      <c r="F252" s="265">
        <v>41996</v>
      </c>
      <c r="G252" s="265">
        <v>42007</v>
      </c>
      <c r="H252" s="266">
        <v>1275</v>
      </c>
      <c r="I252" s="266">
        <v>0</v>
      </c>
      <c r="J252" s="266"/>
      <c r="K252" s="266">
        <v>0.6</v>
      </c>
      <c r="L252" s="266">
        <f t="shared" si="7"/>
        <v>7.65</v>
      </c>
      <c r="M252" s="29">
        <f t="shared" si="8"/>
        <v>11</v>
      </c>
    </row>
    <row r="253" spans="2:13">
      <c r="B253" s="111">
        <v>6</v>
      </c>
      <c r="C253" s="111">
        <v>705</v>
      </c>
      <c r="D253" s="111" t="s">
        <v>451</v>
      </c>
      <c r="E253" s="111" t="s">
        <v>452</v>
      </c>
      <c r="F253" s="265">
        <v>41996</v>
      </c>
      <c r="G253" s="265">
        <v>42007</v>
      </c>
      <c r="H253" s="266">
        <v>1127</v>
      </c>
      <c r="I253" s="266">
        <v>0</v>
      </c>
      <c r="J253" s="266"/>
      <c r="K253" s="266">
        <v>0.6</v>
      </c>
      <c r="L253" s="266">
        <f t="shared" si="7"/>
        <v>6.7620000000000005</v>
      </c>
      <c r="M253" s="29">
        <f t="shared" si="8"/>
        <v>11</v>
      </c>
    </row>
    <row r="254" spans="2:13">
      <c r="B254" s="111">
        <v>6</v>
      </c>
      <c r="C254" s="111">
        <v>710</v>
      </c>
      <c r="D254" s="111" t="s">
        <v>458</v>
      </c>
      <c r="E254" s="111" t="s">
        <v>448</v>
      </c>
      <c r="F254" s="265">
        <v>41999</v>
      </c>
      <c r="G254" s="265">
        <v>42024</v>
      </c>
      <c r="H254" s="266">
        <v>6000</v>
      </c>
      <c r="I254" s="266">
        <v>0</v>
      </c>
      <c r="J254" s="266"/>
      <c r="K254" s="266">
        <v>0.6</v>
      </c>
      <c r="L254" s="266">
        <f t="shared" si="7"/>
        <v>36</v>
      </c>
      <c r="M254" s="29">
        <f t="shared" si="8"/>
        <v>25</v>
      </c>
    </row>
    <row r="255" spans="2:13">
      <c r="B255" s="111">
        <v>6</v>
      </c>
      <c r="C255" s="111">
        <v>711</v>
      </c>
      <c r="D255" s="111" t="s">
        <v>458</v>
      </c>
      <c r="E255" s="111" t="s">
        <v>448</v>
      </c>
      <c r="F255" s="265">
        <v>41999</v>
      </c>
      <c r="G255" s="265">
        <v>42024</v>
      </c>
      <c r="H255" s="266">
        <v>10210</v>
      </c>
      <c r="I255" s="266">
        <v>0</v>
      </c>
      <c r="J255" s="266"/>
      <c r="K255" s="266">
        <v>0.6</v>
      </c>
      <c r="L255" s="266">
        <f t="shared" si="7"/>
        <v>61.26</v>
      </c>
      <c r="M255" s="29">
        <f t="shared" si="8"/>
        <v>25</v>
      </c>
    </row>
    <row r="256" spans="2:13">
      <c r="B256" s="111">
        <v>6</v>
      </c>
      <c r="C256" s="111">
        <v>712</v>
      </c>
      <c r="D256" s="111" t="s">
        <v>458</v>
      </c>
      <c r="E256" s="111" t="s">
        <v>448</v>
      </c>
      <c r="F256" s="265">
        <v>41999</v>
      </c>
      <c r="G256" s="265">
        <v>42026</v>
      </c>
      <c r="H256" s="266">
        <v>4850</v>
      </c>
      <c r="I256" s="266">
        <v>0</v>
      </c>
      <c r="J256" s="266"/>
      <c r="K256" s="266">
        <v>0.6</v>
      </c>
      <c r="L256" s="266">
        <f t="shared" si="7"/>
        <v>29.1</v>
      </c>
      <c r="M256" s="29">
        <f t="shared" si="8"/>
        <v>27</v>
      </c>
    </row>
    <row r="257" spans="2:13">
      <c r="B257" s="111">
        <v>6</v>
      </c>
      <c r="C257" s="111">
        <v>694</v>
      </c>
      <c r="D257" s="111" t="s">
        <v>456</v>
      </c>
      <c r="E257" s="111" t="s">
        <v>457</v>
      </c>
      <c r="F257" s="265">
        <v>41993</v>
      </c>
      <c r="G257" s="265">
        <v>42023</v>
      </c>
      <c r="H257" s="266">
        <v>7110</v>
      </c>
      <c r="I257" s="266">
        <v>0</v>
      </c>
      <c r="J257" s="266"/>
      <c r="K257" s="266">
        <v>0.6</v>
      </c>
      <c r="L257" s="266">
        <f t="shared" si="7"/>
        <v>42.660000000000004</v>
      </c>
      <c r="M257" s="29">
        <f t="shared" si="8"/>
        <v>30</v>
      </c>
    </row>
    <row r="258" spans="2:13">
      <c r="B258" s="270">
        <v>6</v>
      </c>
      <c r="C258" s="270">
        <v>690</v>
      </c>
      <c r="D258" s="270" t="s">
        <v>473</v>
      </c>
      <c r="E258" s="270" t="s">
        <v>474</v>
      </c>
      <c r="F258" s="271">
        <v>41993</v>
      </c>
      <c r="G258" s="271">
        <v>42013</v>
      </c>
      <c r="H258" s="272">
        <v>301395.59999999998</v>
      </c>
      <c r="I258" s="272">
        <v>0</v>
      </c>
      <c r="J258" s="272"/>
      <c r="K258" s="272">
        <v>0.6</v>
      </c>
      <c r="L258" s="272">
        <f t="shared" si="7"/>
        <v>1808.3735999999999</v>
      </c>
      <c r="M258" s="29">
        <f t="shared" si="8"/>
        <v>20</v>
      </c>
    </row>
    <row r="259" spans="2:13">
      <c r="B259" s="270">
        <v>6</v>
      </c>
      <c r="C259" s="270">
        <v>691</v>
      </c>
      <c r="D259" s="270" t="s">
        <v>473</v>
      </c>
      <c r="E259" s="270" t="s">
        <v>474</v>
      </c>
      <c r="F259" s="271">
        <v>41993</v>
      </c>
      <c r="G259" s="271">
        <v>42013</v>
      </c>
      <c r="H259" s="272">
        <v>301395.58</v>
      </c>
      <c r="I259" s="272">
        <v>0</v>
      </c>
      <c r="J259" s="272"/>
      <c r="K259" s="272">
        <v>0.6</v>
      </c>
      <c r="L259" s="272">
        <f t="shared" si="7"/>
        <v>1808.3734800000002</v>
      </c>
      <c r="M259" s="29">
        <f t="shared" si="8"/>
        <v>20</v>
      </c>
    </row>
    <row r="260" spans="2:13">
      <c r="B260" s="111">
        <v>6</v>
      </c>
      <c r="C260" s="111">
        <v>693</v>
      </c>
      <c r="D260" s="111" t="s">
        <v>456</v>
      </c>
      <c r="E260" s="111" t="s">
        <v>457</v>
      </c>
      <c r="F260" s="265">
        <v>41993</v>
      </c>
      <c r="G260" s="265">
        <v>42023</v>
      </c>
      <c r="H260" s="266">
        <v>8750</v>
      </c>
      <c r="I260" s="266">
        <v>0</v>
      </c>
      <c r="J260" s="266"/>
      <c r="K260" s="266">
        <v>0.6</v>
      </c>
      <c r="L260" s="266">
        <f t="shared" si="7"/>
        <v>52.5</v>
      </c>
      <c r="M260" s="29">
        <f t="shared" si="8"/>
        <v>30</v>
      </c>
    </row>
    <row r="261" spans="2:13">
      <c r="B261" s="111">
        <v>6</v>
      </c>
      <c r="C261" s="111">
        <v>692</v>
      </c>
      <c r="D261" s="111" t="s">
        <v>473</v>
      </c>
      <c r="E261" s="111" t="s">
        <v>474</v>
      </c>
      <c r="F261" s="265">
        <v>41993</v>
      </c>
      <c r="G261" s="265">
        <v>42013</v>
      </c>
      <c r="H261" s="266">
        <v>3546.82</v>
      </c>
      <c r="I261" s="266">
        <v>0</v>
      </c>
      <c r="J261" s="266"/>
      <c r="K261" s="266">
        <v>0.6</v>
      </c>
      <c r="L261" s="266">
        <f t="shared" si="7"/>
        <v>21.280920000000002</v>
      </c>
      <c r="M261" s="29">
        <f t="shared" si="8"/>
        <v>20</v>
      </c>
    </row>
    <row r="262" spans="2:13">
      <c r="B262" s="111">
        <v>6</v>
      </c>
      <c r="C262" s="111">
        <v>684</v>
      </c>
      <c r="D262" s="111" t="s">
        <v>473</v>
      </c>
      <c r="E262" s="111" t="s">
        <v>474</v>
      </c>
      <c r="F262" s="265">
        <v>41992</v>
      </c>
      <c r="G262" s="265">
        <v>42013</v>
      </c>
      <c r="H262" s="266">
        <v>7443.5</v>
      </c>
      <c r="I262" s="266">
        <v>0</v>
      </c>
      <c r="J262" s="266"/>
      <c r="K262" s="266">
        <v>0.6</v>
      </c>
      <c r="L262" s="266">
        <f t="shared" si="7"/>
        <v>44.661000000000001</v>
      </c>
      <c r="M262" s="29">
        <f t="shared" si="8"/>
        <v>21</v>
      </c>
    </row>
    <row r="263" spans="2:13">
      <c r="B263" s="111">
        <v>6</v>
      </c>
      <c r="C263" s="111">
        <v>716</v>
      </c>
      <c r="D263" s="111" t="s">
        <v>462</v>
      </c>
      <c r="E263" s="111" t="s">
        <v>452</v>
      </c>
      <c r="F263" s="265">
        <v>42003</v>
      </c>
      <c r="G263" s="265">
        <v>42012</v>
      </c>
      <c r="H263" s="266">
        <v>141</v>
      </c>
      <c r="I263" s="266">
        <v>0</v>
      </c>
      <c r="J263" s="266"/>
      <c r="K263" s="266">
        <v>0.6</v>
      </c>
      <c r="L263" s="266">
        <f t="shared" si="7"/>
        <v>0.84599999999999997</v>
      </c>
      <c r="M263" s="29">
        <f t="shared" si="8"/>
        <v>9</v>
      </c>
    </row>
    <row r="264" spans="2:13">
      <c r="B264" s="270">
        <v>6</v>
      </c>
      <c r="C264" s="270">
        <v>689</v>
      </c>
      <c r="D264" s="270" t="s">
        <v>456</v>
      </c>
      <c r="E264" s="270" t="s">
        <v>457</v>
      </c>
      <c r="F264" s="271">
        <v>41993</v>
      </c>
      <c r="G264" s="271">
        <v>42013</v>
      </c>
      <c r="H264" s="272">
        <v>258889.93</v>
      </c>
      <c r="I264" s="272">
        <v>0</v>
      </c>
      <c r="J264" s="272"/>
      <c r="K264" s="272">
        <v>0.6</v>
      </c>
      <c r="L264" s="272">
        <f t="shared" si="7"/>
        <v>1553.3395800000001</v>
      </c>
      <c r="M264" s="29">
        <f t="shared" si="8"/>
        <v>20</v>
      </c>
    </row>
    <row r="265" spans="2:13">
      <c r="B265" s="270">
        <v>6</v>
      </c>
      <c r="C265" s="270">
        <v>685</v>
      </c>
      <c r="D265" s="270" t="s">
        <v>473</v>
      </c>
      <c r="E265" s="270" t="s">
        <v>474</v>
      </c>
      <c r="F265" s="271">
        <v>41992</v>
      </c>
      <c r="G265" s="271">
        <v>42013</v>
      </c>
      <c r="H265" s="272">
        <v>199832</v>
      </c>
      <c r="I265" s="272">
        <v>0</v>
      </c>
      <c r="J265" s="272"/>
      <c r="K265" s="272">
        <v>0.6</v>
      </c>
      <c r="L265" s="272">
        <f t="shared" si="7"/>
        <v>1198.992</v>
      </c>
      <c r="M265" s="29">
        <f t="shared" si="8"/>
        <v>21</v>
      </c>
    </row>
    <row r="266" spans="2:13">
      <c r="B266" s="270">
        <v>6</v>
      </c>
      <c r="C266" s="270">
        <v>687</v>
      </c>
      <c r="D266" s="270" t="s">
        <v>473</v>
      </c>
      <c r="E266" s="270" t="s">
        <v>474</v>
      </c>
      <c r="F266" s="271">
        <v>41992</v>
      </c>
      <c r="G266" s="271">
        <v>42013</v>
      </c>
      <c r="H266" s="272">
        <v>199832</v>
      </c>
      <c r="I266" s="272">
        <v>0</v>
      </c>
      <c r="J266" s="272"/>
      <c r="K266" s="272">
        <v>0.6</v>
      </c>
      <c r="L266" s="272">
        <f t="shared" si="7"/>
        <v>1198.992</v>
      </c>
      <c r="M266" s="29">
        <f t="shared" si="8"/>
        <v>21</v>
      </c>
    </row>
    <row r="267" spans="2:13">
      <c r="B267" s="111">
        <v>6</v>
      </c>
      <c r="C267" s="111">
        <v>717</v>
      </c>
      <c r="D267" s="111" t="s">
        <v>461</v>
      </c>
      <c r="E267" s="111" t="s">
        <v>448</v>
      </c>
      <c r="F267" s="265">
        <v>42004</v>
      </c>
      <c r="G267" s="265">
        <v>42031</v>
      </c>
      <c r="H267" s="266">
        <v>3462.5</v>
      </c>
      <c r="I267" s="266">
        <v>0</v>
      </c>
      <c r="J267" s="266"/>
      <c r="K267" s="266">
        <v>0.6</v>
      </c>
      <c r="L267" s="266">
        <f t="shared" si="7"/>
        <v>20.775000000000002</v>
      </c>
      <c r="M267" s="29">
        <f t="shared" si="8"/>
        <v>27</v>
      </c>
    </row>
    <row r="268" spans="2:13">
      <c r="G268" s="268" t="s">
        <v>464</v>
      </c>
      <c r="H268" s="268">
        <f>SUM(H221:H267)</f>
        <v>1770584.53</v>
      </c>
      <c r="I268" s="59"/>
      <c r="J268" s="59"/>
      <c r="K268" s="268" t="s">
        <v>383</v>
      </c>
      <c r="L268" s="268">
        <f>SUM(L221:L267)</f>
        <v>10496.9208</v>
      </c>
    </row>
    <row r="271" spans="2:13">
      <c r="B271" s="59"/>
      <c r="C271" s="138" t="s">
        <v>475</v>
      </c>
      <c r="D271" s="59"/>
      <c r="E271" s="59"/>
      <c r="F271" s="59"/>
      <c r="G271" s="59"/>
      <c r="H271" s="59"/>
      <c r="I271" s="59"/>
      <c r="J271" s="59"/>
      <c r="K271" s="59"/>
      <c r="L271" s="59"/>
    </row>
    <row r="272" spans="2:13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</row>
    <row r="273" spans="1:13">
      <c r="B273" s="264" t="s">
        <v>369</v>
      </c>
      <c r="C273" s="264" t="s">
        <v>370</v>
      </c>
      <c r="D273" s="264" t="s">
        <v>371</v>
      </c>
      <c r="E273" s="264" t="s">
        <v>372</v>
      </c>
      <c r="F273" s="264" t="s">
        <v>373</v>
      </c>
      <c r="G273" s="264" t="s">
        <v>470</v>
      </c>
      <c r="H273" s="264" t="s">
        <v>375</v>
      </c>
      <c r="I273" s="264" t="s">
        <v>376</v>
      </c>
      <c r="J273" s="264"/>
      <c r="K273" s="264" t="s">
        <v>377</v>
      </c>
      <c r="L273" s="264" t="s">
        <v>378</v>
      </c>
    </row>
    <row r="274" spans="1:13">
      <c r="A274" s="29">
        <v>1</v>
      </c>
      <c r="B274" s="111">
        <v>6</v>
      </c>
      <c r="C274" s="111">
        <v>586</v>
      </c>
      <c r="D274" s="111" t="s">
        <v>471</v>
      </c>
      <c r="E274" s="111" t="s">
        <v>382</v>
      </c>
      <c r="F274" s="265">
        <v>41942</v>
      </c>
      <c r="G274" s="265">
        <v>42025</v>
      </c>
      <c r="H274" s="266">
        <v>2046.96</v>
      </c>
      <c r="I274" s="266">
        <v>0</v>
      </c>
      <c r="J274" s="266"/>
      <c r="K274" s="266">
        <v>0.6</v>
      </c>
      <c r="L274" s="266">
        <f t="shared" ref="L274:L308" si="9">(H274-I274)*K274%</f>
        <v>12.28176</v>
      </c>
      <c r="M274" s="29">
        <f t="shared" ref="M274:M308" si="10">G274-F274</f>
        <v>83</v>
      </c>
    </row>
    <row r="275" spans="1:13">
      <c r="A275" s="29">
        <v>2</v>
      </c>
      <c r="B275" s="111">
        <v>6</v>
      </c>
      <c r="C275" s="111">
        <v>640</v>
      </c>
      <c r="D275" s="111" t="s">
        <v>381</v>
      </c>
      <c r="E275" s="111" t="s">
        <v>382</v>
      </c>
      <c r="F275" s="265">
        <v>41967</v>
      </c>
      <c r="G275" s="265">
        <v>42016</v>
      </c>
      <c r="H275" s="266">
        <v>2313.5700000000002</v>
      </c>
      <c r="I275" s="266">
        <v>0</v>
      </c>
      <c r="J275" s="266"/>
      <c r="K275" s="266">
        <v>0.6</v>
      </c>
      <c r="L275" s="266">
        <f t="shared" si="9"/>
        <v>13.881420000000002</v>
      </c>
      <c r="M275" s="29">
        <f t="shared" si="10"/>
        <v>49</v>
      </c>
    </row>
    <row r="276" spans="1:13">
      <c r="A276" s="29">
        <v>3</v>
      </c>
      <c r="B276" s="111">
        <v>6</v>
      </c>
      <c r="C276" s="111">
        <v>639</v>
      </c>
      <c r="D276" s="111" t="s">
        <v>381</v>
      </c>
      <c r="E276" s="111" t="s">
        <v>382</v>
      </c>
      <c r="F276" s="265">
        <v>41967</v>
      </c>
      <c r="G276" s="265">
        <v>42023</v>
      </c>
      <c r="H276" s="266">
        <v>578.39</v>
      </c>
      <c r="I276" s="266">
        <v>0</v>
      </c>
      <c r="J276" s="266"/>
      <c r="K276" s="266">
        <v>0.6</v>
      </c>
      <c r="L276" s="266">
        <f t="shared" si="9"/>
        <v>3.4703400000000002</v>
      </c>
      <c r="M276" s="29">
        <f t="shared" si="10"/>
        <v>56</v>
      </c>
    </row>
    <row r="277" spans="1:13">
      <c r="A277" s="29">
        <v>4</v>
      </c>
      <c r="B277" s="111">
        <v>6</v>
      </c>
      <c r="C277" s="111">
        <v>649</v>
      </c>
      <c r="D277" s="111" t="s">
        <v>458</v>
      </c>
      <c r="E277" s="111" t="s">
        <v>448</v>
      </c>
      <c r="F277" s="265">
        <v>41969</v>
      </c>
      <c r="G277" s="265">
        <v>42031</v>
      </c>
      <c r="H277" s="266">
        <v>11100</v>
      </c>
      <c r="I277" s="266">
        <v>0</v>
      </c>
      <c r="J277" s="266"/>
      <c r="K277" s="266">
        <v>0.6</v>
      </c>
      <c r="L277" s="266">
        <f t="shared" si="9"/>
        <v>66.599999999999994</v>
      </c>
      <c r="M277" s="29">
        <f t="shared" si="10"/>
        <v>62</v>
      </c>
    </row>
    <row r="278" spans="1:13">
      <c r="A278" s="29">
        <v>5</v>
      </c>
      <c r="B278" s="111">
        <v>6</v>
      </c>
      <c r="C278" s="111">
        <v>652</v>
      </c>
      <c r="D278" s="111" t="s">
        <v>468</v>
      </c>
      <c r="E278" s="111" t="s">
        <v>382</v>
      </c>
      <c r="F278" s="265">
        <v>41970</v>
      </c>
      <c r="G278" s="265">
        <v>42016</v>
      </c>
      <c r="H278" s="266">
        <v>578.39</v>
      </c>
      <c r="I278" s="266">
        <v>0</v>
      </c>
      <c r="J278" s="266"/>
      <c r="K278" s="266">
        <v>0.6</v>
      </c>
      <c r="L278" s="266">
        <f t="shared" si="9"/>
        <v>3.4703400000000002</v>
      </c>
      <c r="M278" s="29">
        <f t="shared" si="10"/>
        <v>46</v>
      </c>
    </row>
    <row r="279" spans="1:13">
      <c r="A279" s="29">
        <v>6</v>
      </c>
      <c r="B279" s="111">
        <v>6</v>
      </c>
      <c r="C279" s="111">
        <v>663</v>
      </c>
      <c r="D279" s="111" t="s">
        <v>462</v>
      </c>
      <c r="E279" s="111" t="s">
        <v>452</v>
      </c>
      <c r="F279" s="265">
        <v>41977</v>
      </c>
      <c r="G279" s="265">
        <v>42009</v>
      </c>
      <c r="H279" s="266">
        <v>3814.7</v>
      </c>
      <c r="I279" s="266">
        <v>0</v>
      </c>
      <c r="J279" s="266"/>
      <c r="K279" s="266">
        <v>0.6</v>
      </c>
      <c r="L279" s="266">
        <f t="shared" si="9"/>
        <v>22.888199999999998</v>
      </c>
      <c r="M279" s="29">
        <f t="shared" si="10"/>
        <v>32</v>
      </c>
    </row>
    <row r="280" spans="1:13">
      <c r="A280" s="29">
        <v>7</v>
      </c>
      <c r="B280" s="111">
        <v>6</v>
      </c>
      <c r="C280" s="111">
        <v>664</v>
      </c>
      <c r="D280" s="111" t="s">
        <v>462</v>
      </c>
      <c r="E280" s="111" t="s">
        <v>452</v>
      </c>
      <c r="F280" s="265">
        <v>41977</v>
      </c>
      <c r="G280" s="265">
        <v>42009</v>
      </c>
      <c r="H280" s="266">
        <v>114.8</v>
      </c>
      <c r="I280" s="266">
        <v>0</v>
      </c>
      <c r="J280" s="266"/>
      <c r="K280" s="266">
        <v>0.6</v>
      </c>
      <c r="L280" s="266">
        <f t="shared" si="9"/>
        <v>0.68879999999999997</v>
      </c>
      <c r="M280" s="29">
        <f t="shared" si="10"/>
        <v>32</v>
      </c>
    </row>
    <row r="281" spans="1:13">
      <c r="A281" s="29">
        <v>8</v>
      </c>
      <c r="B281" s="111">
        <v>6</v>
      </c>
      <c r="C281" s="111">
        <v>655</v>
      </c>
      <c r="D281" s="111" t="s">
        <v>454</v>
      </c>
      <c r="E281" s="111" t="s">
        <v>448</v>
      </c>
      <c r="F281" s="265">
        <v>41971</v>
      </c>
      <c r="G281" s="265">
        <v>42007</v>
      </c>
      <c r="H281" s="266">
        <v>30855.99</v>
      </c>
      <c r="I281" s="266">
        <v>0</v>
      </c>
      <c r="J281" s="266"/>
      <c r="K281" s="266">
        <v>0.6</v>
      </c>
      <c r="L281" s="266">
        <f t="shared" si="9"/>
        <v>185.13594000000001</v>
      </c>
      <c r="M281" s="29">
        <f t="shared" si="10"/>
        <v>36</v>
      </c>
    </row>
    <row r="282" spans="1:13">
      <c r="A282" s="29">
        <v>9</v>
      </c>
      <c r="B282" s="111">
        <v>6</v>
      </c>
      <c r="C282" s="111">
        <v>660</v>
      </c>
      <c r="D282" s="111" t="s">
        <v>447</v>
      </c>
      <c r="E282" s="111" t="s">
        <v>448</v>
      </c>
      <c r="F282" s="265">
        <v>41975</v>
      </c>
      <c r="G282" s="265">
        <v>42009</v>
      </c>
      <c r="H282" s="266">
        <v>3160.98</v>
      </c>
      <c r="I282" s="266">
        <v>0</v>
      </c>
      <c r="J282" s="266"/>
      <c r="K282" s="266">
        <v>0.6</v>
      </c>
      <c r="L282" s="266">
        <f t="shared" si="9"/>
        <v>18.965880000000002</v>
      </c>
      <c r="M282" s="29">
        <f t="shared" si="10"/>
        <v>34</v>
      </c>
    </row>
    <row r="283" spans="1:13">
      <c r="A283" s="29">
        <v>10</v>
      </c>
      <c r="B283" s="111">
        <v>6</v>
      </c>
      <c r="C283" s="111">
        <v>661</v>
      </c>
      <c r="D283" s="111" t="s">
        <v>454</v>
      </c>
      <c r="E283" s="111" t="s">
        <v>448</v>
      </c>
      <c r="F283" s="265">
        <v>41977</v>
      </c>
      <c r="G283" s="265">
        <v>42012</v>
      </c>
      <c r="H283" s="266">
        <v>19988.47</v>
      </c>
      <c r="I283" s="266">
        <v>0</v>
      </c>
      <c r="J283" s="266"/>
      <c r="K283" s="266">
        <v>0.6</v>
      </c>
      <c r="L283" s="266">
        <f t="shared" si="9"/>
        <v>119.93082000000001</v>
      </c>
      <c r="M283" s="29">
        <f t="shared" si="10"/>
        <v>35</v>
      </c>
    </row>
    <row r="284" spans="1:13">
      <c r="A284" s="29">
        <v>11</v>
      </c>
      <c r="B284" s="111">
        <v>6</v>
      </c>
      <c r="C284" s="111">
        <v>662</v>
      </c>
      <c r="D284" s="111" t="s">
        <v>454</v>
      </c>
      <c r="E284" s="111" t="s">
        <v>448</v>
      </c>
      <c r="F284" s="265">
        <v>41977</v>
      </c>
      <c r="G284" s="265">
        <v>42012</v>
      </c>
      <c r="H284" s="266">
        <v>10350.02</v>
      </c>
      <c r="I284" s="266">
        <v>0</v>
      </c>
      <c r="J284" s="266"/>
      <c r="K284" s="266">
        <v>0.6</v>
      </c>
      <c r="L284" s="266">
        <f t="shared" si="9"/>
        <v>62.100120000000004</v>
      </c>
      <c r="M284" s="29">
        <f t="shared" si="10"/>
        <v>35</v>
      </c>
    </row>
    <row r="285" spans="1:13">
      <c r="A285" s="29">
        <v>12</v>
      </c>
      <c r="B285" s="111">
        <v>6</v>
      </c>
      <c r="C285" s="111">
        <v>668</v>
      </c>
      <c r="D285" s="111" t="s">
        <v>472</v>
      </c>
      <c r="E285" s="111" t="s">
        <v>457</v>
      </c>
      <c r="F285" s="265">
        <v>41979</v>
      </c>
      <c r="G285" s="265">
        <v>42024</v>
      </c>
      <c r="H285" s="266">
        <v>4810.5</v>
      </c>
      <c r="I285" s="266">
        <v>0</v>
      </c>
      <c r="J285" s="266"/>
      <c r="K285" s="266">
        <v>0.6</v>
      </c>
      <c r="L285" s="266">
        <f t="shared" si="9"/>
        <v>28.863</v>
      </c>
      <c r="M285" s="29">
        <f t="shared" si="10"/>
        <v>45</v>
      </c>
    </row>
    <row r="286" spans="1:13">
      <c r="A286" s="29">
        <v>13</v>
      </c>
      <c r="B286" s="111">
        <v>6</v>
      </c>
      <c r="C286" s="111">
        <v>672</v>
      </c>
      <c r="D286" s="111" t="s">
        <v>379</v>
      </c>
      <c r="E286" s="111" t="s">
        <v>380</v>
      </c>
      <c r="F286" s="265">
        <v>41984</v>
      </c>
      <c r="G286" s="265">
        <v>42020</v>
      </c>
      <c r="H286" s="266">
        <v>5560</v>
      </c>
      <c r="I286" s="266">
        <v>5560</v>
      </c>
      <c r="J286" s="266"/>
      <c r="K286" s="266">
        <v>0.6</v>
      </c>
      <c r="L286" s="266">
        <f t="shared" si="9"/>
        <v>0</v>
      </c>
      <c r="M286" s="29">
        <f t="shared" si="10"/>
        <v>36</v>
      </c>
    </row>
    <row r="287" spans="1:13">
      <c r="A287" s="29">
        <v>14</v>
      </c>
      <c r="B287" s="111">
        <v>6</v>
      </c>
      <c r="C287" s="111">
        <v>669</v>
      </c>
      <c r="D287" s="111" t="s">
        <v>454</v>
      </c>
      <c r="E287" s="111" t="s">
        <v>448</v>
      </c>
      <c r="F287" s="265">
        <v>41984</v>
      </c>
      <c r="G287" s="265">
        <v>42017</v>
      </c>
      <c r="H287" s="266">
        <v>10220.64</v>
      </c>
      <c r="I287" s="266">
        <v>0</v>
      </c>
      <c r="J287" s="266"/>
      <c r="K287" s="266">
        <v>0.6</v>
      </c>
      <c r="L287" s="266">
        <f t="shared" si="9"/>
        <v>61.323839999999997</v>
      </c>
      <c r="M287" s="29">
        <f t="shared" si="10"/>
        <v>33</v>
      </c>
    </row>
    <row r="288" spans="1:13">
      <c r="A288" s="29">
        <v>15</v>
      </c>
      <c r="B288" s="111">
        <v>6</v>
      </c>
      <c r="C288" s="111">
        <v>676</v>
      </c>
      <c r="D288" s="111" t="s">
        <v>381</v>
      </c>
      <c r="E288" s="111" t="s">
        <v>382</v>
      </c>
      <c r="F288" s="265">
        <v>41986</v>
      </c>
      <c r="G288" s="265">
        <v>42031</v>
      </c>
      <c r="H288" s="266">
        <v>578.39</v>
      </c>
      <c r="I288" s="266">
        <v>0</v>
      </c>
      <c r="J288" s="266"/>
      <c r="K288" s="266">
        <v>0.6</v>
      </c>
      <c r="L288" s="266">
        <f t="shared" si="9"/>
        <v>3.4703400000000002</v>
      </c>
      <c r="M288" s="29">
        <f t="shared" si="10"/>
        <v>45</v>
      </c>
    </row>
    <row r="289" spans="1:13">
      <c r="A289" s="29">
        <v>16</v>
      </c>
      <c r="B289" s="111">
        <v>6</v>
      </c>
      <c r="C289" s="111">
        <v>674</v>
      </c>
      <c r="D289" s="111" t="s">
        <v>458</v>
      </c>
      <c r="E289" s="111" t="s">
        <v>448</v>
      </c>
      <c r="F289" s="265">
        <v>41985</v>
      </c>
      <c r="G289" s="265">
        <v>42024</v>
      </c>
      <c r="H289" s="266">
        <v>2243.4</v>
      </c>
      <c r="I289" s="266">
        <v>0</v>
      </c>
      <c r="J289" s="266"/>
      <c r="K289" s="266">
        <v>0.6</v>
      </c>
      <c r="L289" s="266">
        <f t="shared" si="9"/>
        <v>13.460400000000002</v>
      </c>
      <c r="M289" s="29">
        <f t="shared" si="10"/>
        <v>39</v>
      </c>
    </row>
    <row r="290" spans="1:13">
      <c r="A290" s="29">
        <v>17</v>
      </c>
      <c r="B290" s="111">
        <v>6</v>
      </c>
      <c r="C290" s="111">
        <v>678</v>
      </c>
      <c r="D290" s="111" t="s">
        <v>447</v>
      </c>
      <c r="E290" s="111" t="s">
        <v>448</v>
      </c>
      <c r="F290" s="265">
        <v>41989</v>
      </c>
      <c r="G290" s="265">
        <v>42019</v>
      </c>
      <c r="H290" s="266">
        <v>17161.07</v>
      </c>
      <c r="I290" s="266">
        <v>0</v>
      </c>
      <c r="J290" s="266"/>
      <c r="K290" s="266">
        <v>0.6</v>
      </c>
      <c r="L290" s="266">
        <f t="shared" si="9"/>
        <v>102.96642</v>
      </c>
      <c r="M290" s="29">
        <f t="shared" si="10"/>
        <v>30</v>
      </c>
    </row>
    <row r="291" spans="1:13">
      <c r="A291" s="29">
        <v>18</v>
      </c>
      <c r="B291" s="111">
        <v>6</v>
      </c>
      <c r="C291" s="111">
        <v>679</v>
      </c>
      <c r="D291" s="111" t="s">
        <v>460</v>
      </c>
      <c r="E291" s="111" t="s">
        <v>448</v>
      </c>
      <c r="F291" s="265">
        <v>41990</v>
      </c>
      <c r="G291" s="265">
        <v>42007</v>
      </c>
      <c r="H291" s="266">
        <v>570</v>
      </c>
      <c r="I291" s="266">
        <v>0</v>
      </c>
      <c r="J291" s="266"/>
      <c r="K291" s="266">
        <v>0.6</v>
      </c>
      <c r="L291" s="266">
        <f t="shared" si="9"/>
        <v>3.42</v>
      </c>
      <c r="M291" s="29">
        <f t="shared" si="10"/>
        <v>17</v>
      </c>
    </row>
    <row r="292" spans="1:13">
      <c r="A292" s="29">
        <v>19</v>
      </c>
      <c r="B292" s="111">
        <v>6</v>
      </c>
      <c r="C292" s="111">
        <v>680</v>
      </c>
      <c r="D292" s="111" t="s">
        <v>460</v>
      </c>
      <c r="E292" s="111" t="s">
        <v>448</v>
      </c>
      <c r="F292" s="265">
        <v>41991</v>
      </c>
      <c r="G292" s="265">
        <v>42007</v>
      </c>
      <c r="H292" s="266">
        <v>2617.6999999999998</v>
      </c>
      <c r="I292" s="266">
        <v>0</v>
      </c>
      <c r="J292" s="266"/>
      <c r="K292" s="266">
        <v>0.6</v>
      </c>
      <c r="L292" s="266">
        <f t="shared" si="9"/>
        <v>15.706199999999999</v>
      </c>
      <c r="M292" s="29">
        <f t="shared" si="10"/>
        <v>16</v>
      </c>
    </row>
    <row r="293" spans="1:13">
      <c r="A293" s="29">
        <v>20</v>
      </c>
      <c r="B293" s="111">
        <v>6</v>
      </c>
      <c r="C293" s="111">
        <v>699</v>
      </c>
      <c r="D293" s="111" t="s">
        <v>379</v>
      </c>
      <c r="E293" s="111" t="s">
        <v>380</v>
      </c>
      <c r="F293" s="265">
        <v>41995</v>
      </c>
      <c r="G293" s="265">
        <v>42007</v>
      </c>
      <c r="H293" s="266">
        <v>11000</v>
      </c>
      <c r="I293" s="266">
        <v>0</v>
      </c>
      <c r="J293" s="266"/>
      <c r="K293" s="266">
        <v>0.6</v>
      </c>
      <c r="L293" s="266">
        <f t="shared" si="9"/>
        <v>66</v>
      </c>
      <c r="M293" s="29">
        <f t="shared" si="10"/>
        <v>12</v>
      </c>
    </row>
    <row r="294" spans="1:13">
      <c r="A294" s="29">
        <v>21</v>
      </c>
      <c r="B294" s="111">
        <v>6</v>
      </c>
      <c r="C294" s="111">
        <v>701</v>
      </c>
      <c r="D294" s="111" t="s">
        <v>379</v>
      </c>
      <c r="E294" s="111" t="s">
        <v>380</v>
      </c>
      <c r="F294" s="265">
        <v>41995</v>
      </c>
      <c r="G294" s="265">
        <v>42007</v>
      </c>
      <c r="H294" s="266">
        <v>10000</v>
      </c>
      <c r="I294" s="266">
        <v>0</v>
      </c>
      <c r="J294" s="266"/>
      <c r="K294" s="266">
        <v>0.6</v>
      </c>
      <c r="L294" s="266">
        <f t="shared" si="9"/>
        <v>60</v>
      </c>
      <c r="M294" s="29">
        <f t="shared" si="10"/>
        <v>12</v>
      </c>
    </row>
    <row r="295" spans="1:13">
      <c r="A295" s="29">
        <v>22</v>
      </c>
      <c r="B295" s="111">
        <v>6</v>
      </c>
      <c r="C295" s="111">
        <v>702</v>
      </c>
      <c r="D295" s="111" t="s">
        <v>379</v>
      </c>
      <c r="E295" s="111" t="s">
        <v>380</v>
      </c>
      <c r="F295" s="265">
        <v>41995</v>
      </c>
      <c r="G295" s="265">
        <v>42007</v>
      </c>
      <c r="H295" s="266">
        <v>8800</v>
      </c>
      <c r="I295" s="266">
        <v>0</v>
      </c>
      <c r="J295" s="266"/>
      <c r="K295" s="266">
        <v>0.6</v>
      </c>
      <c r="L295" s="266">
        <f t="shared" si="9"/>
        <v>52.800000000000004</v>
      </c>
      <c r="M295" s="29">
        <f t="shared" si="10"/>
        <v>12</v>
      </c>
    </row>
    <row r="296" spans="1:13">
      <c r="A296" s="29">
        <v>23</v>
      </c>
      <c r="B296" s="111">
        <v>6</v>
      </c>
      <c r="C296" s="111">
        <v>698</v>
      </c>
      <c r="D296" s="111" t="s">
        <v>379</v>
      </c>
      <c r="E296" s="111" t="s">
        <v>380</v>
      </c>
      <c r="F296" s="265">
        <v>41995</v>
      </c>
      <c r="G296" s="265">
        <v>42017</v>
      </c>
      <c r="H296" s="266">
        <v>9900</v>
      </c>
      <c r="I296" s="266">
        <v>0</v>
      </c>
      <c r="J296" s="266"/>
      <c r="K296" s="266">
        <v>0.6</v>
      </c>
      <c r="L296" s="266">
        <f t="shared" si="9"/>
        <v>59.4</v>
      </c>
      <c r="M296" s="29">
        <f t="shared" si="10"/>
        <v>22</v>
      </c>
    </row>
    <row r="297" spans="1:13">
      <c r="A297" s="29">
        <v>24</v>
      </c>
      <c r="B297" s="111">
        <v>6</v>
      </c>
      <c r="C297" s="111">
        <v>681</v>
      </c>
      <c r="D297" s="111" t="s">
        <v>449</v>
      </c>
      <c r="E297" s="111" t="s">
        <v>450</v>
      </c>
      <c r="F297" s="265">
        <v>41991</v>
      </c>
      <c r="G297" s="265">
        <v>42013</v>
      </c>
      <c r="H297" s="266">
        <v>6472</v>
      </c>
      <c r="I297" s="266">
        <v>0</v>
      </c>
      <c r="J297" s="266"/>
      <c r="K297" s="266">
        <v>0.6</v>
      </c>
      <c r="L297" s="266">
        <f t="shared" si="9"/>
        <v>38.832000000000001</v>
      </c>
      <c r="M297" s="29">
        <f t="shared" si="10"/>
        <v>22</v>
      </c>
    </row>
    <row r="298" spans="1:13">
      <c r="A298" s="29">
        <v>25</v>
      </c>
      <c r="B298" s="111">
        <v>6</v>
      </c>
      <c r="C298" s="111">
        <v>704</v>
      </c>
      <c r="D298" s="111" t="s">
        <v>451</v>
      </c>
      <c r="E298" s="111" t="s">
        <v>452</v>
      </c>
      <c r="F298" s="265">
        <v>41996</v>
      </c>
      <c r="G298" s="265">
        <v>42007</v>
      </c>
      <c r="H298" s="266">
        <v>1275</v>
      </c>
      <c r="I298" s="266">
        <v>0</v>
      </c>
      <c r="J298" s="266"/>
      <c r="K298" s="266">
        <v>0.6</v>
      </c>
      <c r="L298" s="266">
        <f t="shared" si="9"/>
        <v>7.65</v>
      </c>
      <c r="M298" s="29">
        <f t="shared" si="10"/>
        <v>11</v>
      </c>
    </row>
    <row r="299" spans="1:13">
      <c r="A299" s="29">
        <v>26</v>
      </c>
      <c r="B299" s="111">
        <v>6</v>
      </c>
      <c r="C299" s="111">
        <v>705</v>
      </c>
      <c r="D299" s="111" t="s">
        <v>451</v>
      </c>
      <c r="E299" s="111" t="s">
        <v>452</v>
      </c>
      <c r="F299" s="265">
        <v>41996</v>
      </c>
      <c r="G299" s="265">
        <v>42007</v>
      </c>
      <c r="H299" s="266">
        <v>1127</v>
      </c>
      <c r="I299" s="266">
        <v>0</v>
      </c>
      <c r="J299" s="266"/>
      <c r="K299" s="266">
        <v>0.6</v>
      </c>
      <c r="L299" s="266">
        <f t="shared" si="9"/>
        <v>6.7620000000000005</v>
      </c>
      <c r="M299" s="29">
        <f t="shared" si="10"/>
        <v>11</v>
      </c>
    </row>
    <row r="300" spans="1:13">
      <c r="A300" s="29">
        <v>27</v>
      </c>
      <c r="B300" s="111">
        <v>6</v>
      </c>
      <c r="C300" s="111">
        <v>710</v>
      </c>
      <c r="D300" s="111" t="s">
        <v>458</v>
      </c>
      <c r="E300" s="111" t="s">
        <v>448</v>
      </c>
      <c r="F300" s="265">
        <v>41999</v>
      </c>
      <c r="G300" s="265">
        <v>42024</v>
      </c>
      <c r="H300" s="266">
        <v>6000</v>
      </c>
      <c r="I300" s="266">
        <v>0</v>
      </c>
      <c r="J300" s="266"/>
      <c r="K300" s="266">
        <v>0.6</v>
      </c>
      <c r="L300" s="266">
        <f t="shared" si="9"/>
        <v>36</v>
      </c>
      <c r="M300" s="29">
        <f t="shared" si="10"/>
        <v>25</v>
      </c>
    </row>
    <row r="301" spans="1:13">
      <c r="A301" s="29">
        <v>28</v>
      </c>
      <c r="B301" s="111">
        <v>6</v>
      </c>
      <c r="C301" s="111">
        <v>711</v>
      </c>
      <c r="D301" s="111" t="s">
        <v>458</v>
      </c>
      <c r="E301" s="111" t="s">
        <v>448</v>
      </c>
      <c r="F301" s="265">
        <v>41999</v>
      </c>
      <c r="G301" s="265">
        <v>42024</v>
      </c>
      <c r="H301" s="266">
        <v>10210</v>
      </c>
      <c r="I301" s="266">
        <v>0</v>
      </c>
      <c r="J301" s="266"/>
      <c r="K301" s="266">
        <v>0.6</v>
      </c>
      <c r="L301" s="266">
        <f t="shared" si="9"/>
        <v>61.26</v>
      </c>
      <c r="M301" s="29">
        <f t="shared" si="10"/>
        <v>25</v>
      </c>
    </row>
    <row r="302" spans="1:13">
      <c r="A302" s="29">
        <v>29</v>
      </c>
      <c r="B302" s="111">
        <v>6</v>
      </c>
      <c r="C302" s="111">
        <v>712</v>
      </c>
      <c r="D302" s="111" t="s">
        <v>458</v>
      </c>
      <c r="E302" s="111" t="s">
        <v>448</v>
      </c>
      <c r="F302" s="265">
        <v>41999</v>
      </c>
      <c r="G302" s="265">
        <v>42026</v>
      </c>
      <c r="H302" s="266">
        <v>4850</v>
      </c>
      <c r="I302" s="266">
        <v>0</v>
      </c>
      <c r="J302" s="266"/>
      <c r="K302" s="266">
        <v>0.6</v>
      </c>
      <c r="L302" s="266">
        <f t="shared" si="9"/>
        <v>29.1</v>
      </c>
      <c r="M302" s="29">
        <f t="shared" si="10"/>
        <v>27</v>
      </c>
    </row>
    <row r="303" spans="1:13">
      <c r="A303" s="29">
        <v>30</v>
      </c>
      <c r="B303" s="111">
        <v>6</v>
      </c>
      <c r="C303" s="111">
        <v>694</v>
      </c>
      <c r="D303" s="111" t="s">
        <v>456</v>
      </c>
      <c r="E303" s="111" t="s">
        <v>457</v>
      </c>
      <c r="F303" s="265">
        <v>41993</v>
      </c>
      <c r="G303" s="265">
        <v>42023</v>
      </c>
      <c r="H303" s="266">
        <v>7110</v>
      </c>
      <c r="I303" s="266">
        <v>0</v>
      </c>
      <c r="J303" s="266"/>
      <c r="K303" s="266">
        <v>0.6</v>
      </c>
      <c r="L303" s="266">
        <f t="shared" si="9"/>
        <v>42.660000000000004</v>
      </c>
      <c r="M303" s="29">
        <f t="shared" si="10"/>
        <v>30</v>
      </c>
    </row>
    <row r="304" spans="1:13">
      <c r="A304" s="29">
        <v>33</v>
      </c>
      <c r="B304" s="111">
        <v>6</v>
      </c>
      <c r="C304" s="111">
        <v>693</v>
      </c>
      <c r="D304" s="111" t="s">
        <v>456</v>
      </c>
      <c r="E304" s="111" t="s">
        <v>457</v>
      </c>
      <c r="F304" s="265">
        <v>41993</v>
      </c>
      <c r="G304" s="265">
        <v>42023</v>
      </c>
      <c r="H304" s="266">
        <v>8750</v>
      </c>
      <c r="I304" s="266">
        <v>0</v>
      </c>
      <c r="J304" s="266"/>
      <c r="K304" s="266">
        <v>0.6</v>
      </c>
      <c r="L304" s="266">
        <f t="shared" si="9"/>
        <v>52.5</v>
      </c>
      <c r="M304" s="29">
        <f t="shared" si="10"/>
        <v>30</v>
      </c>
    </row>
    <row r="305" spans="1:13">
      <c r="A305" s="29">
        <v>34</v>
      </c>
      <c r="B305" s="111">
        <v>6</v>
      </c>
      <c r="C305" s="111">
        <v>692</v>
      </c>
      <c r="D305" s="111" t="s">
        <v>473</v>
      </c>
      <c r="E305" s="111" t="s">
        <v>474</v>
      </c>
      <c r="F305" s="265">
        <v>41993</v>
      </c>
      <c r="G305" s="265">
        <v>42013</v>
      </c>
      <c r="H305" s="266">
        <v>3546.82</v>
      </c>
      <c r="I305" s="266">
        <v>0</v>
      </c>
      <c r="J305" s="266"/>
      <c r="K305" s="266">
        <v>0.6</v>
      </c>
      <c r="L305" s="266">
        <f t="shared" si="9"/>
        <v>21.280920000000002</v>
      </c>
      <c r="M305" s="29">
        <f t="shared" si="10"/>
        <v>20</v>
      </c>
    </row>
    <row r="306" spans="1:13">
      <c r="A306" s="29">
        <v>35</v>
      </c>
      <c r="B306" s="111">
        <v>6</v>
      </c>
      <c r="C306" s="111">
        <v>684</v>
      </c>
      <c r="D306" s="111" t="s">
        <v>473</v>
      </c>
      <c r="E306" s="111" t="s">
        <v>474</v>
      </c>
      <c r="F306" s="265">
        <v>41992</v>
      </c>
      <c r="G306" s="265">
        <v>42013</v>
      </c>
      <c r="H306" s="266">
        <v>7443.5</v>
      </c>
      <c r="I306" s="266">
        <v>0</v>
      </c>
      <c r="J306" s="266"/>
      <c r="K306" s="266">
        <v>0.6</v>
      </c>
      <c r="L306" s="266">
        <f t="shared" si="9"/>
        <v>44.661000000000001</v>
      </c>
      <c r="M306" s="29">
        <f t="shared" si="10"/>
        <v>21</v>
      </c>
    </row>
    <row r="307" spans="1:13">
      <c r="A307" s="29">
        <v>36</v>
      </c>
      <c r="B307" s="111">
        <v>6</v>
      </c>
      <c r="C307" s="111">
        <v>716</v>
      </c>
      <c r="D307" s="111" t="s">
        <v>462</v>
      </c>
      <c r="E307" s="111" t="s">
        <v>452</v>
      </c>
      <c r="F307" s="265">
        <v>42003</v>
      </c>
      <c r="G307" s="265">
        <v>42012</v>
      </c>
      <c r="H307" s="266">
        <v>141</v>
      </c>
      <c r="I307" s="266">
        <v>0</v>
      </c>
      <c r="J307" s="266"/>
      <c r="K307" s="266">
        <v>0.6</v>
      </c>
      <c r="L307" s="266">
        <f t="shared" si="9"/>
        <v>0.84599999999999997</v>
      </c>
      <c r="M307" s="29">
        <f t="shared" si="10"/>
        <v>9</v>
      </c>
    </row>
    <row r="308" spans="1:13">
      <c r="A308" s="29">
        <v>40</v>
      </c>
      <c r="B308" s="111">
        <v>6</v>
      </c>
      <c r="C308" s="111">
        <v>717</v>
      </c>
      <c r="D308" s="111" t="s">
        <v>461</v>
      </c>
      <c r="E308" s="111" t="s">
        <v>448</v>
      </c>
      <c r="F308" s="265">
        <v>42004</v>
      </c>
      <c r="G308" s="265">
        <v>42031</v>
      </c>
      <c r="H308" s="266">
        <v>3462.5</v>
      </c>
      <c r="I308" s="266">
        <v>0</v>
      </c>
      <c r="J308" s="266"/>
      <c r="K308" s="266">
        <v>0.6</v>
      </c>
      <c r="L308" s="266">
        <f t="shared" si="9"/>
        <v>20.775000000000002</v>
      </c>
      <c r="M308" s="29">
        <f t="shared" si="10"/>
        <v>27</v>
      </c>
    </row>
    <row r="309" spans="1:13">
      <c r="G309" s="268" t="s">
        <v>464</v>
      </c>
      <c r="H309" s="268">
        <f>SUM(H267:H308)</f>
        <v>2002798.8199999996</v>
      </c>
      <c r="I309" s="59"/>
      <c r="J309" s="59"/>
      <c r="K309" s="268" t="s">
        <v>383</v>
      </c>
      <c r="L309" s="269">
        <f>SUM(L274:L308)</f>
        <v>1339.1507399999998</v>
      </c>
    </row>
    <row r="311" spans="1:13">
      <c r="B311" s="59"/>
      <c r="C311" s="138" t="s">
        <v>476</v>
      </c>
      <c r="D311" s="59"/>
      <c r="E311" s="59"/>
      <c r="F311" s="59"/>
      <c r="G311" s="59"/>
      <c r="H311" s="59"/>
      <c r="I311" s="59"/>
      <c r="J311" s="59"/>
      <c r="K311" s="59"/>
      <c r="L311" s="59"/>
    </row>
    <row r="312" spans="1:13"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</row>
    <row r="313" spans="1:13">
      <c r="B313" s="264" t="s">
        <v>369</v>
      </c>
      <c r="C313" s="264" t="s">
        <v>370</v>
      </c>
      <c r="D313" s="264" t="s">
        <v>371</v>
      </c>
      <c r="E313" s="264" t="s">
        <v>372</v>
      </c>
      <c r="F313" s="264" t="s">
        <v>373</v>
      </c>
      <c r="G313" s="264" t="s">
        <v>470</v>
      </c>
      <c r="H313" s="264" t="s">
        <v>375</v>
      </c>
    </row>
    <row r="314" spans="1:13">
      <c r="A314" s="29">
        <v>1</v>
      </c>
      <c r="B314" s="111">
        <v>6</v>
      </c>
      <c r="C314" s="111">
        <v>191</v>
      </c>
      <c r="D314" s="111" t="s">
        <v>381</v>
      </c>
      <c r="E314" s="111" t="s">
        <v>382</v>
      </c>
      <c r="F314" s="265">
        <v>41732</v>
      </c>
      <c r="G314" s="265">
        <v>42045</v>
      </c>
      <c r="H314" s="111">
        <v>290.42</v>
      </c>
      <c r="I314" s="29">
        <v>0</v>
      </c>
      <c r="K314" s="29">
        <v>52.28</v>
      </c>
      <c r="L314" s="29">
        <v>342.7</v>
      </c>
    </row>
    <row r="315" spans="1:13">
      <c r="A315" s="29">
        <v>2</v>
      </c>
      <c r="B315" s="111">
        <v>6</v>
      </c>
      <c r="C315" s="111">
        <v>706</v>
      </c>
      <c r="D315" s="111" t="s">
        <v>468</v>
      </c>
      <c r="E315" s="111" t="s">
        <v>382</v>
      </c>
      <c r="F315" s="265">
        <v>41999</v>
      </c>
      <c r="G315" s="265">
        <v>42037</v>
      </c>
      <c r="H315" s="111">
        <v>578.39</v>
      </c>
      <c r="I315" s="29">
        <v>578.39</v>
      </c>
      <c r="K315" s="29">
        <v>0</v>
      </c>
      <c r="L315" s="29">
        <v>578.39</v>
      </c>
    </row>
    <row r="316" spans="1:13">
      <c r="A316" s="29">
        <v>3</v>
      </c>
      <c r="B316" s="111">
        <v>6</v>
      </c>
      <c r="C316" s="111">
        <v>707</v>
      </c>
      <c r="D316" s="111" t="s">
        <v>381</v>
      </c>
      <c r="E316" s="111" t="s">
        <v>382</v>
      </c>
      <c r="F316" s="265">
        <v>41999</v>
      </c>
      <c r="G316" s="265">
        <v>42037</v>
      </c>
      <c r="H316" s="111">
        <v>578.39</v>
      </c>
      <c r="I316" s="29">
        <v>578.39</v>
      </c>
      <c r="K316" s="29">
        <v>0</v>
      </c>
      <c r="L316" s="29">
        <v>578.39</v>
      </c>
    </row>
    <row r="317" spans="1:13">
      <c r="A317" s="29">
        <v>4</v>
      </c>
      <c r="B317" s="111">
        <v>6</v>
      </c>
      <c r="C317" s="111">
        <v>708</v>
      </c>
      <c r="D317" s="111" t="s">
        <v>381</v>
      </c>
      <c r="E317" s="111" t="s">
        <v>382</v>
      </c>
      <c r="F317" s="265">
        <v>41999</v>
      </c>
      <c r="G317" s="265">
        <v>42037</v>
      </c>
      <c r="H317" s="111">
        <v>2313.5700000000002</v>
      </c>
      <c r="I317" s="29">
        <v>2313.5700000000002</v>
      </c>
      <c r="K317" s="29">
        <v>0</v>
      </c>
      <c r="L317" s="29">
        <v>2313.5700000000002</v>
      </c>
    </row>
    <row r="318" spans="1:13">
      <c r="A318" s="29">
        <v>5</v>
      </c>
      <c r="B318" s="111">
        <v>6</v>
      </c>
      <c r="C318" s="111">
        <v>714</v>
      </c>
      <c r="D318" s="111" t="s">
        <v>454</v>
      </c>
      <c r="E318" s="111" t="s">
        <v>448</v>
      </c>
      <c r="F318" s="265">
        <v>42002</v>
      </c>
      <c r="G318" s="265">
        <v>42040</v>
      </c>
      <c r="H318" s="111">
        <v>10964</v>
      </c>
      <c r="I318" s="29">
        <v>0</v>
      </c>
      <c r="K318" s="29">
        <v>1973.52</v>
      </c>
      <c r="L318" s="29">
        <v>12937.52</v>
      </c>
    </row>
    <row r="319" spans="1:13">
      <c r="A319" s="29">
        <v>6</v>
      </c>
      <c r="B319" s="111">
        <v>6</v>
      </c>
      <c r="C319" s="111">
        <v>715</v>
      </c>
      <c r="D319" s="111" t="s">
        <v>454</v>
      </c>
      <c r="E319" s="111" t="s">
        <v>448</v>
      </c>
      <c r="F319" s="265">
        <v>42003</v>
      </c>
      <c r="G319" s="265">
        <v>42040</v>
      </c>
      <c r="H319" s="111">
        <v>4933.8</v>
      </c>
      <c r="I319" s="29">
        <v>0</v>
      </c>
      <c r="K319" s="29">
        <v>888.08</v>
      </c>
      <c r="L319" s="29">
        <v>5821.88</v>
      </c>
    </row>
    <row r="320" spans="1:13">
      <c r="A320" s="29">
        <v>7</v>
      </c>
      <c r="B320" s="111">
        <v>6</v>
      </c>
      <c r="C320" s="111">
        <v>719</v>
      </c>
      <c r="D320" s="111" t="s">
        <v>454</v>
      </c>
      <c r="E320" s="111" t="s">
        <v>448</v>
      </c>
      <c r="F320" s="265">
        <v>42004</v>
      </c>
      <c r="G320" s="265">
        <v>42040</v>
      </c>
      <c r="H320" s="111">
        <v>2741</v>
      </c>
      <c r="I320" s="29">
        <v>0</v>
      </c>
      <c r="K320" s="29">
        <v>493.38</v>
      </c>
      <c r="L320" s="29">
        <v>3234.38</v>
      </c>
    </row>
    <row r="321" spans="1:12">
      <c r="A321" s="29">
        <v>8</v>
      </c>
      <c r="B321" s="111">
        <v>6</v>
      </c>
      <c r="C321" s="111">
        <v>718</v>
      </c>
      <c r="D321" s="111" t="s">
        <v>454</v>
      </c>
      <c r="E321" s="111" t="s">
        <v>448</v>
      </c>
      <c r="F321" s="265">
        <v>42004</v>
      </c>
      <c r="G321" s="265">
        <v>42040</v>
      </c>
      <c r="H321" s="111">
        <v>48570.52</v>
      </c>
      <c r="I321" s="29">
        <v>0</v>
      </c>
      <c r="K321" s="29">
        <v>8742.69</v>
      </c>
      <c r="L321" s="29">
        <v>57313.21</v>
      </c>
    </row>
    <row r="322" spans="1:12">
      <c r="A322" s="29">
        <v>9</v>
      </c>
      <c r="B322" s="111">
        <v>6</v>
      </c>
      <c r="C322" s="111">
        <v>721</v>
      </c>
      <c r="D322" s="111" t="s">
        <v>381</v>
      </c>
      <c r="E322" s="111" t="s">
        <v>382</v>
      </c>
      <c r="F322" s="265">
        <v>42004</v>
      </c>
      <c r="G322" s="265">
        <v>42037</v>
      </c>
      <c r="H322" s="111">
        <v>578.39</v>
      </c>
      <c r="I322" s="29">
        <v>578.39</v>
      </c>
      <c r="K322" s="29">
        <v>0</v>
      </c>
      <c r="L322" s="29">
        <v>578.39</v>
      </c>
    </row>
    <row r="323" spans="1:12">
      <c r="A323" s="29">
        <v>10</v>
      </c>
      <c r="B323" s="111">
        <v>6</v>
      </c>
      <c r="C323" s="111">
        <v>720</v>
      </c>
      <c r="D323" s="111" t="s">
        <v>381</v>
      </c>
      <c r="E323" s="111" t="s">
        <v>382</v>
      </c>
      <c r="F323" s="265">
        <v>42004</v>
      </c>
      <c r="G323" s="265">
        <v>42037</v>
      </c>
      <c r="H323" s="111">
        <v>1156.79</v>
      </c>
      <c r="I323" s="29">
        <v>1156.79</v>
      </c>
      <c r="K323" s="29">
        <v>0</v>
      </c>
      <c r="L323" s="29">
        <v>1156.79</v>
      </c>
    </row>
    <row r="324" spans="1:12">
      <c r="A324" s="29">
        <v>11</v>
      </c>
      <c r="B324" s="111">
        <v>6</v>
      </c>
      <c r="C324" s="111">
        <v>724</v>
      </c>
      <c r="D324" s="111" t="s">
        <v>447</v>
      </c>
      <c r="E324" s="111" t="s">
        <v>448</v>
      </c>
      <c r="F324" s="265">
        <v>42012</v>
      </c>
      <c r="G324" s="265">
        <v>42044</v>
      </c>
      <c r="H324" s="111">
        <v>811.15</v>
      </c>
      <c r="I324" s="29">
        <v>0</v>
      </c>
      <c r="K324" s="29">
        <v>146.01</v>
      </c>
      <c r="L324" s="29">
        <v>957.16</v>
      </c>
    </row>
    <row r="325" spans="1:12">
      <c r="A325" s="29">
        <v>12</v>
      </c>
      <c r="B325" s="111">
        <v>6</v>
      </c>
      <c r="C325" s="111">
        <v>725</v>
      </c>
      <c r="D325" s="111" t="s">
        <v>447</v>
      </c>
      <c r="E325" s="111" t="s">
        <v>448</v>
      </c>
      <c r="F325" s="265">
        <v>42012</v>
      </c>
      <c r="G325" s="265">
        <v>42044</v>
      </c>
      <c r="H325" s="111">
        <v>1011</v>
      </c>
      <c r="I325" s="29">
        <v>0</v>
      </c>
      <c r="K325" s="29">
        <v>181.98</v>
      </c>
      <c r="L325" s="29">
        <v>1192.98</v>
      </c>
    </row>
    <row r="326" spans="1:12">
      <c r="A326" s="29">
        <v>13</v>
      </c>
      <c r="B326" s="111">
        <v>6</v>
      </c>
      <c r="C326" s="111">
        <v>726</v>
      </c>
      <c r="D326" s="111" t="s">
        <v>447</v>
      </c>
      <c r="E326" s="111" t="s">
        <v>448</v>
      </c>
      <c r="F326" s="265">
        <v>42012</v>
      </c>
      <c r="G326" s="265">
        <v>42044</v>
      </c>
      <c r="H326" s="111">
        <v>8306.56</v>
      </c>
      <c r="I326" s="29">
        <v>0</v>
      </c>
      <c r="K326" s="29">
        <v>1495.18</v>
      </c>
      <c r="L326" s="29">
        <v>9801.74</v>
      </c>
    </row>
    <row r="327" spans="1:12">
      <c r="A327" s="29">
        <v>14</v>
      </c>
      <c r="B327" s="111">
        <v>6</v>
      </c>
      <c r="C327" s="111">
        <v>727</v>
      </c>
      <c r="D327" s="111" t="s">
        <v>454</v>
      </c>
      <c r="E327" s="111" t="s">
        <v>448</v>
      </c>
      <c r="F327" s="265">
        <v>42013</v>
      </c>
      <c r="G327" s="265">
        <v>42045</v>
      </c>
      <c r="H327" s="111">
        <v>39196.300000000003</v>
      </c>
      <c r="I327" s="29">
        <v>0</v>
      </c>
      <c r="K327" s="29">
        <v>7055.33</v>
      </c>
      <c r="L327" s="29">
        <v>46251.63</v>
      </c>
    </row>
    <row r="328" spans="1:12">
      <c r="A328" s="29">
        <v>15</v>
      </c>
      <c r="B328" s="111">
        <v>6</v>
      </c>
      <c r="C328" s="111">
        <v>728</v>
      </c>
      <c r="D328" s="111" t="s">
        <v>454</v>
      </c>
      <c r="E328" s="111" t="s">
        <v>448</v>
      </c>
      <c r="F328" s="265">
        <v>42013</v>
      </c>
      <c r="G328" s="265">
        <v>42045</v>
      </c>
      <c r="H328" s="111">
        <v>10635.08</v>
      </c>
      <c r="I328" s="29">
        <v>0</v>
      </c>
      <c r="K328" s="29">
        <v>1914.31</v>
      </c>
      <c r="L328" s="29">
        <v>12549.39</v>
      </c>
    </row>
    <row r="329" spans="1:12">
      <c r="A329" s="29">
        <v>16</v>
      </c>
      <c r="B329" s="111">
        <v>6</v>
      </c>
      <c r="C329" s="111">
        <v>729</v>
      </c>
      <c r="D329" s="111" t="s">
        <v>454</v>
      </c>
      <c r="E329" s="111" t="s">
        <v>448</v>
      </c>
      <c r="F329" s="265">
        <v>42020</v>
      </c>
      <c r="G329" s="265">
        <v>42052</v>
      </c>
      <c r="H329" s="111">
        <v>16007.44</v>
      </c>
      <c r="I329" s="29">
        <v>0</v>
      </c>
      <c r="K329" s="29">
        <v>2881.34</v>
      </c>
      <c r="L329" s="29">
        <v>18888.78</v>
      </c>
    </row>
    <row r="330" spans="1:12">
      <c r="A330" s="29">
        <v>17</v>
      </c>
      <c r="B330" s="111">
        <v>6</v>
      </c>
      <c r="C330" s="111">
        <v>731</v>
      </c>
      <c r="D330" s="111" t="s">
        <v>454</v>
      </c>
      <c r="E330" s="111" t="s">
        <v>448</v>
      </c>
      <c r="F330" s="265">
        <v>42020</v>
      </c>
      <c r="G330" s="265">
        <v>42052</v>
      </c>
      <c r="H330" s="111">
        <v>3884.4</v>
      </c>
      <c r="I330" s="29">
        <v>0</v>
      </c>
      <c r="K330" s="29">
        <v>699.19</v>
      </c>
      <c r="L330" s="29">
        <v>4583.59</v>
      </c>
    </row>
    <row r="331" spans="1:12">
      <c r="A331" s="29">
        <v>18</v>
      </c>
      <c r="B331" s="111">
        <v>6</v>
      </c>
      <c r="C331" s="111">
        <v>730</v>
      </c>
      <c r="D331" s="111" t="s">
        <v>454</v>
      </c>
      <c r="E331" s="111" t="s">
        <v>448</v>
      </c>
      <c r="F331" s="265">
        <v>42020</v>
      </c>
      <c r="G331" s="265">
        <v>42052</v>
      </c>
      <c r="H331" s="111">
        <v>2741</v>
      </c>
      <c r="I331" s="29">
        <v>0</v>
      </c>
      <c r="K331" s="29">
        <v>493.38</v>
      </c>
      <c r="L331" s="29">
        <v>3234.38</v>
      </c>
    </row>
    <row r="332" spans="1:12">
      <c r="A332" s="29">
        <v>19</v>
      </c>
      <c r="B332" s="111">
        <v>6</v>
      </c>
      <c r="C332" s="111">
        <v>733</v>
      </c>
      <c r="D332" s="111" t="s">
        <v>447</v>
      </c>
      <c r="E332" s="111" t="s">
        <v>448</v>
      </c>
      <c r="F332" s="265">
        <v>42023</v>
      </c>
      <c r="G332" s="265">
        <v>42054</v>
      </c>
      <c r="H332" s="111">
        <v>5620.7</v>
      </c>
      <c r="I332" s="29">
        <v>0</v>
      </c>
      <c r="K332" s="29">
        <v>1011.73</v>
      </c>
      <c r="L332" s="29">
        <v>6632.43</v>
      </c>
    </row>
    <row r="333" spans="1:12">
      <c r="A333" s="29">
        <v>20</v>
      </c>
      <c r="B333" s="111">
        <v>6</v>
      </c>
      <c r="C333" s="111">
        <v>736</v>
      </c>
      <c r="D333" s="111" t="s">
        <v>381</v>
      </c>
      <c r="E333" s="111" t="s">
        <v>382</v>
      </c>
      <c r="F333" s="265">
        <v>42025</v>
      </c>
      <c r="G333" s="265">
        <v>42054</v>
      </c>
      <c r="H333" s="111">
        <v>767.8</v>
      </c>
      <c r="I333" s="29">
        <v>0</v>
      </c>
      <c r="K333" s="29">
        <v>138.19999999999999</v>
      </c>
      <c r="L333" s="29">
        <v>906</v>
      </c>
    </row>
    <row r="334" spans="1:12">
      <c r="A334" s="29">
        <v>21</v>
      </c>
      <c r="B334" s="111">
        <v>6</v>
      </c>
      <c r="C334" s="111">
        <v>737</v>
      </c>
      <c r="D334" s="111" t="s">
        <v>456</v>
      </c>
      <c r="E334" s="111" t="s">
        <v>457</v>
      </c>
      <c r="F334" s="265">
        <v>42030</v>
      </c>
      <c r="G334" s="265">
        <v>42053</v>
      </c>
      <c r="H334" s="111">
        <v>37.71</v>
      </c>
      <c r="I334" s="29">
        <v>0</v>
      </c>
      <c r="K334" s="29">
        <v>6.79</v>
      </c>
      <c r="L334" s="29">
        <v>44.5</v>
      </c>
    </row>
    <row r="335" spans="1:12">
      <c r="A335" s="29">
        <v>22</v>
      </c>
      <c r="B335" s="111">
        <v>6</v>
      </c>
      <c r="C335" s="111">
        <v>739</v>
      </c>
      <c r="D335" s="111" t="s">
        <v>454</v>
      </c>
      <c r="E335" s="111" t="s">
        <v>448</v>
      </c>
      <c r="F335" s="265">
        <v>42030</v>
      </c>
      <c r="G335" s="265">
        <v>42060</v>
      </c>
      <c r="H335" s="111">
        <v>28506.400000000001</v>
      </c>
      <c r="I335" s="29">
        <v>0</v>
      </c>
      <c r="K335" s="29">
        <v>5131.1499999999996</v>
      </c>
      <c r="L335" s="29">
        <v>33637.550000000003</v>
      </c>
    </row>
    <row r="336" spans="1:12">
      <c r="A336" s="29">
        <v>23</v>
      </c>
      <c r="B336" s="111">
        <v>6</v>
      </c>
      <c r="C336" s="111">
        <v>740</v>
      </c>
      <c r="D336" s="111" t="s">
        <v>381</v>
      </c>
      <c r="E336" s="111" t="s">
        <v>382</v>
      </c>
      <c r="F336" s="265">
        <v>42030</v>
      </c>
      <c r="G336" s="265">
        <v>42055</v>
      </c>
      <c r="H336" s="111">
        <v>6684.74</v>
      </c>
      <c r="I336" s="29">
        <v>0</v>
      </c>
      <c r="K336" s="29">
        <v>1203.26</v>
      </c>
      <c r="L336" s="29">
        <v>7888</v>
      </c>
    </row>
    <row r="337" spans="1:12">
      <c r="A337" s="29">
        <v>24</v>
      </c>
      <c r="B337" s="111">
        <v>6</v>
      </c>
      <c r="C337" s="111">
        <v>741</v>
      </c>
      <c r="D337" s="111" t="s">
        <v>381</v>
      </c>
      <c r="E337" s="111" t="s">
        <v>382</v>
      </c>
      <c r="F337" s="265">
        <v>42030</v>
      </c>
      <c r="G337" s="265">
        <v>42055</v>
      </c>
      <c r="H337" s="111">
        <v>6684.74</v>
      </c>
      <c r="I337" s="29">
        <v>0</v>
      </c>
      <c r="K337" s="29">
        <v>1203.26</v>
      </c>
      <c r="L337" s="29">
        <v>7888</v>
      </c>
    </row>
    <row r="338" spans="1:12">
      <c r="A338" s="29">
        <v>25</v>
      </c>
      <c r="B338" s="111">
        <v>6</v>
      </c>
      <c r="C338" s="111">
        <v>742</v>
      </c>
      <c r="D338" s="111" t="s">
        <v>381</v>
      </c>
      <c r="E338" s="111" t="s">
        <v>382</v>
      </c>
      <c r="F338" s="265">
        <v>42030</v>
      </c>
      <c r="G338" s="265">
        <v>42055</v>
      </c>
      <c r="H338" s="111">
        <v>498.31</v>
      </c>
      <c r="I338" s="29">
        <v>0</v>
      </c>
      <c r="K338" s="29">
        <v>89.69</v>
      </c>
      <c r="L338" s="29">
        <v>588</v>
      </c>
    </row>
    <row r="339" spans="1:12">
      <c r="A339" s="29">
        <v>26</v>
      </c>
      <c r="B339" s="111">
        <v>6</v>
      </c>
      <c r="C339" s="111">
        <v>743</v>
      </c>
      <c r="D339" s="111" t="s">
        <v>447</v>
      </c>
      <c r="E339" s="111" t="s">
        <v>448</v>
      </c>
      <c r="F339" s="265">
        <v>42032</v>
      </c>
      <c r="G339" s="265">
        <v>42062</v>
      </c>
      <c r="H339" s="111">
        <v>1294.5999999999999</v>
      </c>
      <c r="I339" s="29">
        <v>0</v>
      </c>
      <c r="K339" s="29">
        <v>233.03</v>
      </c>
      <c r="L339" s="29">
        <v>1527.63</v>
      </c>
    </row>
    <row r="340" spans="1:12">
      <c r="A340" s="29">
        <v>27</v>
      </c>
      <c r="B340" s="111">
        <v>6</v>
      </c>
      <c r="C340" s="111">
        <v>750</v>
      </c>
      <c r="D340" s="111" t="s">
        <v>381</v>
      </c>
      <c r="E340" s="111" t="s">
        <v>382</v>
      </c>
      <c r="F340" s="265">
        <v>42033</v>
      </c>
      <c r="G340" s="265">
        <v>42047</v>
      </c>
      <c r="H340" s="111">
        <v>9784.75</v>
      </c>
      <c r="I340" s="29">
        <v>0</v>
      </c>
      <c r="K340" s="29">
        <v>1761.25</v>
      </c>
      <c r="L340" s="29">
        <v>11546</v>
      </c>
    </row>
    <row r="341" spans="1:12">
      <c r="A341" s="29">
        <v>28</v>
      </c>
      <c r="B341" s="111">
        <v>6</v>
      </c>
      <c r="C341" s="111">
        <v>757</v>
      </c>
      <c r="D341" s="111" t="s">
        <v>381</v>
      </c>
      <c r="E341" s="111" t="s">
        <v>382</v>
      </c>
      <c r="F341" s="265">
        <v>42038</v>
      </c>
      <c r="G341" s="265">
        <v>42052</v>
      </c>
      <c r="H341" s="111">
        <v>5974.58</v>
      </c>
      <c r="I341" s="29">
        <v>0</v>
      </c>
      <c r="K341" s="29">
        <v>1075.42</v>
      </c>
      <c r="L341" s="29">
        <v>7050</v>
      </c>
    </row>
    <row r="342" spans="1:12">
      <c r="A342" s="29">
        <v>29</v>
      </c>
      <c r="B342" s="111">
        <v>6</v>
      </c>
      <c r="C342" s="111">
        <v>759</v>
      </c>
      <c r="D342" s="111" t="s">
        <v>381</v>
      </c>
      <c r="E342" s="111" t="s">
        <v>382</v>
      </c>
      <c r="F342" s="265">
        <v>42038</v>
      </c>
      <c r="G342" s="265">
        <v>42052</v>
      </c>
      <c r="H342" s="111">
        <v>5974.58</v>
      </c>
      <c r="I342" s="29">
        <v>0</v>
      </c>
      <c r="K342" s="29">
        <v>1075.42</v>
      </c>
      <c r="L342" s="29">
        <v>7050</v>
      </c>
    </row>
    <row r="343" spans="1:12">
      <c r="A343" s="29">
        <v>30</v>
      </c>
      <c r="B343" s="111">
        <v>6</v>
      </c>
      <c r="C343" s="111">
        <v>761</v>
      </c>
      <c r="D343" s="111" t="s">
        <v>381</v>
      </c>
      <c r="E343" s="111" t="s">
        <v>382</v>
      </c>
      <c r="F343" s="265">
        <v>42038</v>
      </c>
      <c r="G343" s="265">
        <v>42052</v>
      </c>
      <c r="H343" s="111">
        <v>7966.1</v>
      </c>
      <c r="I343" s="29">
        <v>0</v>
      </c>
      <c r="K343" s="29">
        <v>1433.9</v>
      </c>
      <c r="L343" s="29">
        <v>9400</v>
      </c>
    </row>
    <row r="344" spans="1:12">
      <c r="A344" s="29">
        <v>33</v>
      </c>
      <c r="B344" s="111">
        <v>6</v>
      </c>
      <c r="C344" s="111">
        <v>756</v>
      </c>
      <c r="D344" s="111" t="s">
        <v>381</v>
      </c>
      <c r="E344" s="111" t="s">
        <v>382</v>
      </c>
      <c r="F344" s="265">
        <v>42038</v>
      </c>
      <c r="G344" s="265">
        <v>42052</v>
      </c>
      <c r="H344" s="111">
        <v>7966.1</v>
      </c>
      <c r="I344" s="29">
        <v>0</v>
      </c>
      <c r="K344" s="29">
        <v>1433.9</v>
      </c>
      <c r="L344" s="29">
        <v>9400</v>
      </c>
    </row>
    <row r="345" spans="1:12">
      <c r="A345" s="29">
        <v>34</v>
      </c>
      <c r="B345" s="111">
        <v>6</v>
      </c>
      <c r="C345" s="111">
        <v>760</v>
      </c>
      <c r="D345" s="111" t="s">
        <v>381</v>
      </c>
      <c r="E345" s="111" t="s">
        <v>382</v>
      </c>
      <c r="F345" s="265">
        <v>42038</v>
      </c>
      <c r="G345" s="265">
        <v>42052</v>
      </c>
      <c r="H345" s="111">
        <v>7966.1</v>
      </c>
      <c r="I345" s="29">
        <v>0</v>
      </c>
      <c r="K345" s="29">
        <v>1433.9</v>
      </c>
      <c r="L345" s="29">
        <v>9400</v>
      </c>
    </row>
    <row r="346" spans="1:12">
      <c r="A346" s="29">
        <v>35</v>
      </c>
      <c r="B346" s="111">
        <v>6</v>
      </c>
      <c r="C346" s="111">
        <v>744</v>
      </c>
      <c r="D346" s="111" t="s">
        <v>447</v>
      </c>
      <c r="E346" s="111" t="s">
        <v>448</v>
      </c>
      <c r="F346" s="265">
        <v>42032</v>
      </c>
      <c r="G346" s="265">
        <v>42062</v>
      </c>
      <c r="H346" s="111">
        <v>6323.81</v>
      </c>
      <c r="I346" s="29">
        <v>0</v>
      </c>
      <c r="K346" s="29">
        <v>1138.29</v>
      </c>
      <c r="L346" s="29">
        <v>7462.1</v>
      </c>
    </row>
    <row r="347" spans="1:12">
      <c r="H347" s="111">
        <f>SUM(H314:H346)</f>
        <v>257349.21999999994</v>
      </c>
    </row>
    <row r="350" spans="1:12">
      <c r="D350" s="111" t="s">
        <v>454</v>
      </c>
      <c r="E350" s="111">
        <f>SUMIF(D314:D346,D350,H314:H346)</f>
        <v>168179.93999999997</v>
      </c>
      <c r="G350" s="264" t="s">
        <v>464</v>
      </c>
      <c r="H350" s="264">
        <f>H347-E350</f>
        <v>89169.27999999997</v>
      </c>
    </row>
    <row r="352" spans="1:12">
      <c r="G352" s="264" t="s">
        <v>477</v>
      </c>
      <c r="H352" s="264">
        <f>H350*0.5%</f>
        <v>445.84639999999985</v>
      </c>
    </row>
    <row r="354" spans="2:8">
      <c r="G354" s="264" t="s">
        <v>232</v>
      </c>
      <c r="H354" s="267">
        <v>750</v>
      </c>
    </row>
    <row r="355" spans="2:8">
      <c r="G355" s="273" t="s">
        <v>44</v>
      </c>
      <c r="H355" s="267">
        <f>H354+H352</f>
        <v>1195.8463999999999</v>
      </c>
    </row>
    <row r="358" spans="2:8">
      <c r="B358" s="59"/>
      <c r="C358" s="59"/>
      <c r="D358" s="59" t="s">
        <v>478</v>
      </c>
      <c r="E358" s="59"/>
      <c r="F358" s="59"/>
      <c r="G358" s="59"/>
      <c r="H358" s="59"/>
    </row>
    <row r="359" spans="2:8">
      <c r="B359" s="264" t="s">
        <v>385</v>
      </c>
      <c r="C359" s="264" t="s">
        <v>479</v>
      </c>
      <c r="D359" s="264" t="s">
        <v>371</v>
      </c>
      <c r="E359" s="264" t="s">
        <v>480</v>
      </c>
      <c r="F359" s="264" t="s">
        <v>386</v>
      </c>
      <c r="G359" s="264" t="s">
        <v>481</v>
      </c>
      <c r="H359" s="264" t="s">
        <v>14</v>
      </c>
    </row>
    <row r="360" spans="2:8">
      <c r="B360" s="111">
        <v>6</v>
      </c>
      <c r="C360" s="111">
        <v>762</v>
      </c>
      <c r="D360" s="111" t="s">
        <v>454</v>
      </c>
      <c r="E360" s="111" t="s">
        <v>448</v>
      </c>
      <c r="F360" s="265">
        <v>42040</v>
      </c>
      <c r="G360" s="111"/>
      <c r="H360" s="111">
        <v>3563.3</v>
      </c>
    </row>
    <row r="361" spans="2:8">
      <c r="B361" s="111">
        <v>6</v>
      </c>
      <c r="C361" s="111">
        <v>763</v>
      </c>
      <c r="D361" s="111" t="s">
        <v>447</v>
      </c>
      <c r="E361" s="111" t="s">
        <v>448</v>
      </c>
      <c r="F361" s="265">
        <v>42040</v>
      </c>
      <c r="G361" s="111"/>
      <c r="H361" s="111">
        <v>2124.6</v>
      </c>
    </row>
    <row r="362" spans="2:8">
      <c r="B362" s="111">
        <v>6</v>
      </c>
      <c r="C362" s="111">
        <v>764</v>
      </c>
      <c r="D362" s="111" t="s">
        <v>447</v>
      </c>
      <c r="E362" s="111" t="s">
        <v>448</v>
      </c>
      <c r="F362" s="265">
        <v>42040</v>
      </c>
      <c r="G362" s="111"/>
      <c r="H362" s="111">
        <v>18062.740000000002</v>
      </c>
    </row>
    <row r="363" spans="2:8">
      <c r="B363" s="111">
        <v>6</v>
      </c>
      <c r="C363" s="111">
        <v>765</v>
      </c>
      <c r="D363" s="111" t="s">
        <v>454</v>
      </c>
      <c r="E363" s="111" t="s">
        <v>448</v>
      </c>
      <c r="F363" s="265">
        <v>42041</v>
      </c>
      <c r="G363" s="111"/>
      <c r="H363" s="111">
        <v>55971.22</v>
      </c>
    </row>
    <row r="364" spans="2:8">
      <c r="B364" s="111">
        <v>6</v>
      </c>
      <c r="C364" s="111">
        <v>767</v>
      </c>
      <c r="D364" s="111" t="s">
        <v>381</v>
      </c>
      <c r="E364" s="111" t="s">
        <v>382</v>
      </c>
      <c r="F364" s="265">
        <v>42042</v>
      </c>
      <c r="G364" s="111"/>
      <c r="H364" s="111">
        <v>3414.41</v>
      </c>
    </row>
    <row r="365" spans="2:8">
      <c r="B365" s="111">
        <v>6</v>
      </c>
      <c r="C365" s="111">
        <v>757</v>
      </c>
      <c r="D365" s="111" t="s">
        <v>381</v>
      </c>
      <c r="E365" s="111" t="s">
        <v>382</v>
      </c>
      <c r="F365" s="265">
        <v>42038</v>
      </c>
      <c r="G365" s="265">
        <v>42052</v>
      </c>
      <c r="H365" s="111">
        <v>5974.58</v>
      </c>
    </row>
    <row r="366" spans="2:8">
      <c r="B366" s="111">
        <v>6</v>
      </c>
      <c r="C366" s="111">
        <v>759</v>
      </c>
      <c r="D366" s="111" t="s">
        <v>381</v>
      </c>
      <c r="E366" s="111" t="s">
        <v>382</v>
      </c>
      <c r="F366" s="265">
        <v>42038</v>
      </c>
      <c r="G366" s="265">
        <v>42052</v>
      </c>
      <c r="H366" s="111">
        <v>5974.58</v>
      </c>
    </row>
    <row r="367" spans="2:8">
      <c r="B367" s="111">
        <v>6</v>
      </c>
      <c r="C367" s="111">
        <v>761</v>
      </c>
      <c r="D367" s="111" t="s">
        <v>381</v>
      </c>
      <c r="E367" s="111" t="s">
        <v>382</v>
      </c>
      <c r="F367" s="265">
        <v>42038</v>
      </c>
      <c r="G367" s="265">
        <v>42052</v>
      </c>
      <c r="H367" s="111">
        <v>7966.1</v>
      </c>
    </row>
    <row r="368" spans="2:8">
      <c r="B368" s="111">
        <v>6</v>
      </c>
      <c r="C368" s="111">
        <v>756</v>
      </c>
      <c r="D368" s="111" t="s">
        <v>381</v>
      </c>
      <c r="E368" s="111" t="s">
        <v>382</v>
      </c>
      <c r="F368" s="265">
        <v>42038</v>
      </c>
      <c r="G368" s="265">
        <v>42052</v>
      </c>
      <c r="H368" s="111">
        <v>7966.1</v>
      </c>
    </row>
    <row r="369" spans="2:8">
      <c r="B369" s="111">
        <v>6</v>
      </c>
      <c r="C369" s="111">
        <v>760</v>
      </c>
      <c r="D369" s="111" t="s">
        <v>381</v>
      </c>
      <c r="E369" s="111" t="s">
        <v>382</v>
      </c>
      <c r="F369" s="265">
        <v>42038</v>
      </c>
      <c r="G369" s="265">
        <v>42052</v>
      </c>
      <c r="H369" s="111">
        <v>7966.1</v>
      </c>
    </row>
    <row r="370" spans="2:8">
      <c r="B370" s="111">
        <v>6</v>
      </c>
      <c r="C370" s="111">
        <v>769</v>
      </c>
      <c r="D370" s="111" t="s">
        <v>381</v>
      </c>
      <c r="E370" s="111" t="s">
        <v>382</v>
      </c>
      <c r="F370" s="265">
        <v>42049</v>
      </c>
      <c r="G370" s="111"/>
      <c r="H370" s="111">
        <v>9533.9</v>
      </c>
    </row>
    <row r="371" spans="2:8">
      <c r="B371" s="111">
        <v>6</v>
      </c>
      <c r="C371" s="111">
        <v>770</v>
      </c>
      <c r="D371" s="111" t="s">
        <v>381</v>
      </c>
      <c r="E371" s="111" t="s">
        <v>382</v>
      </c>
      <c r="F371" s="265">
        <v>42049</v>
      </c>
      <c r="G371" s="111"/>
      <c r="H371" s="111">
        <f>I371</f>
        <v>0</v>
      </c>
    </row>
    <row r="372" spans="2:8">
      <c r="B372" s="111">
        <v>6</v>
      </c>
      <c r="C372" s="111">
        <v>771</v>
      </c>
      <c r="D372" s="111" t="s">
        <v>381</v>
      </c>
      <c r="E372" s="111" t="s">
        <v>382</v>
      </c>
      <c r="F372" s="265">
        <v>42049</v>
      </c>
      <c r="G372" s="111"/>
      <c r="H372" s="111">
        <f>I372</f>
        <v>0</v>
      </c>
    </row>
    <row r="373" spans="2:8">
      <c r="B373" s="111">
        <v>6</v>
      </c>
      <c r="C373" s="111">
        <v>773</v>
      </c>
      <c r="D373" s="111" t="s">
        <v>454</v>
      </c>
      <c r="E373" s="111" t="s">
        <v>448</v>
      </c>
      <c r="F373" s="265">
        <v>42053</v>
      </c>
      <c r="G373" s="111"/>
      <c r="H373" s="111">
        <v>822.3</v>
      </c>
    </row>
    <row r="374" spans="2:8">
      <c r="B374" s="111">
        <v>6</v>
      </c>
      <c r="C374" s="111">
        <v>774</v>
      </c>
      <c r="D374" s="111" t="s">
        <v>454</v>
      </c>
      <c r="E374" s="111" t="s">
        <v>448</v>
      </c>
      <c r="F374" s="265">
        <v>42053</v>
      </c>
      <c r="G374" s="111"/>
      <c r="H374" s="111">
        <v>1096.4000000000001</v>
      </c>
    </row>
    <row r="375" spans="2:8">
      <c r="B375" s="111">
        <v>6</v>
      </c>
      <c r="C375" s="111">
        <v>779</v>
      </c>
      <c r="D375" s="111" t="s">
        <v>447</v>
      </c>
      <c r="E375" s="111" t="s">
        <v>448</v>
      </c>
      <c r="F375" s="265">
        <v>42058</v>
      </c>
      <c r="G375" s="111"/>
      <c r="H375" s="111">
        <v>4337.1000000000004</v>
      </c>
    </row>
    <row r="376" spans="2:8">
      <c r="B376" s="111">
        <v>6</v>
      </c>
      <c r="C376" s="111">
        <v>780</v>
      </c>
      <c r="D376" s="111" t="s">
        <v>447</v>
      </c>
      <c r="E376" s="111" t="s">
        <v>448</v>
      </c>
      <c r="F376" s="265">
        <v>42058</v>
      </c>
      <c r="G376" s="111"/>
      <c r="H376" s="111">
        <v>8145.81</v>
      </c>
    </row>
    <row r="377" spans="2:8">
      <c r="B377" s="111">
        <v>6</v>
      </c>
      <c r="C377" s="111">
        <v>783</v>
      </c>
      <c r="D377" s="111" t="s">
        <v>447</v>
      </c>
      <c r="E377" s="111" t="s">
        <v>448</v>
      </c>
      <c r="F377" s="265">
        <v>42060</v>
      </c>
      <c r="G377" s="111"/>
      <c r="H377" s="111">
        <v>4847.5</v>
      </c>
    </row>
    <row r="378" spans="2:8">
      <c r="B378" s="111">
        <v>6</v>
      </c>
      <c r="C378" s="111">
        <v>782</v>
      </c>
      <c r="D378" s="111" t="s">
        <v>447</v>
      </c>
      <c r="E378" s="111" t="s">
        <v>448</v>
      </c>
      <c r="F378" s="265">
        <v>42060</v>
      </c>
      <c r="G378" s="111"/>
      <c r="H378" s="111">
        <v>248.3</v>
      </c>
    </row>
    <row r="379" spans="2:8">
      <c r="B379" s="111">
        <v>6</v>
      </c>
      <c r="C379" s="111">
        <v>784</v>
      </c>
      <c r="D379" s="111" t="s">
        <v>447</v>
      </c>
      <c r="E379" s="111" t="s">
        <v>448</v>
      </c>
      <c r="F379" s="265">
        <v>42060</v>
      </c>
      <c r="G379" s="111"/>
      <c r="H379" s="111">
        <v>6237.6</v>
      </c>
    </row>
    <row r="380" spans="2:8">
      <c r="B380" s="111">
        <v>6</v>
      </c>
      <c r="C380" s="111">
        <v>785</v>
      </c>
      <c r="D380" s="111" t="s">
        <v>453</v>
      </c>
      <c r="E380" s="111" t="s">
        <v>448</v>
      </c>
      <c r="F380" s="265">
        <v>42061</v>
      </c>
      <c r="G380" s="111"/>
      <c r="H380" s="111">
        <v>1677.97</v>
      </c>
    </row>
    <row r="381" spans="2:8">
      <c r="B381" s="111">
        <v>6</v>
      </c>
      <c r="C381" s="111">
        <v>787</v>
      </c>
      <c r="D381" s="111" t="s">
        <v>454</v>
      </c>
      <c r="E381" s="111" t="s">
        <v>448</v>
      </c>
      <c r="F381" s="265">
        <v>42062</v>
      </c>
      <c r="G381" s="111"/>
      <c r="H381" s="111">
        <v>548.20000000000005</v>
      </c>
    </row>
    <row r="382" spans="2:8">
      <c r="B382" s="111">
        <v>6</v>
      </c>
      <c r="C382" s="111">
        <v>788</v>
      </c>
      <c r="D382" s="111" t="s">
        <v>454</v>
      </c>
      <c r="E382" s="111" t="s">
        <v>448</v>
      </c>
      <c r="F382" s="265">
        <v>42062</v>
      </c>
      <c r="G382" s="111"/>
      <c r="H382" s="111">
        <v>54326.62</v>
      </c>
    </row>
    <row r="383" spans="2:8">
      <c r="B383" s="111">
        <v>6</v>
      </c>
      <c r="C383" s="111">
        <v>755</v>
      </c>
      <c r="D383" s="111" t="s">
        <v>381</v>
      </c>
      <c r="E383" s="111" t="s">
        <v>382</v>
      </c>
      <c r="F383" s="265">
        <v>42037</v>
      </c>
      <c r="G383" s="111"/>
      <c r="H383" s="111">
        <f>I383</f>
        <v>0</v>
      </c>
    </row>
    <row r="384" spans="2:8">
      <c r="B384" s="111">
        <v>6</v>
      </c>
      <c r="C384" s="111">
        <v>766</v>
      </c>
      <c r="D384" s="111" t="s">
        <v>381</v>
      </c>
      <c r="E384" s="111" t="s">
        <v>382</v>
      </c>
      <c r="F384" s="265">
        <v>42042</v>
      </c>
      <c r="G384" s="111"/>
      <c r="H384" s="111">
        <v>3050.85</v>
      </c>
    </row>
    <row r="385" spans="2:8">
      <c r="B385" s="111">
        <v>6</v>
      </c>
      <c r="C385" s="111">
        <v>768</v>
      </c>
      <c r="D385" s="111" t="s">
        <v>381</v>
      </c>
      <c r="E385" s="111" t="s">
        <v>382</v>
      </c>
      <c r="F385" s="265">
        <v>42046</v>
      </c>
      <c r="G385" s="111"/>
      <c r="H385" s="111">
        <v>5898.3</v>
      </c>
    </row>
    <row r="386" spans="2:8">
      <c r="B386" s="111">
        <v>6</v>
      </c>
      <c r="C386" s="111">
        <v>775</v>
      </c>
      <c r="D386" s="111" t="s">
        <v>381</v>
      </c>
      <c r="E386" s="111" t="s">
        <v>382</v>
      </c>
      <c r="F386" s="265">
        <v>42054</v>
      </c>
      <c r="G386" s="111"/>
      <c r="H386" s="111">
        <v>7014.41</v>
      </c>
    </row>
    <row r="387" spans="2:8">
      <c r="B387" s="111">
        <v>6</v>
      </c>
      <c r="C387" s="111">
        <v>776</v>
      </c>
      <c r="D387" s="111" t="s">
        <v>381</v>
      </c>
      <c r="E387" s="111" t="s">
        <v>382</v>
      </c>
      <c r="F387" s="265">
        <v>42055</v>
      </c>
      <c r="G387" s="111"/>
      <c r="H387" s="111">
        <v>7355.93</v>
      </c>
    </row>
    <row r="388" spans="2:8">
      <c r="B388" s="111">
        <v>6</v>
      </c>
      <c r="C388" s="111">
        <v>786</v>
      </c>
      <c r="D388" s="111" t="s">
        <v>381</v>
      </c>
      <c r="E388" s="111" t="s">
        <v>382</v>
      </c>
      <c r="F388" s="265">
        <v>42061</v>
      </c>
      <c r="G388" s="111"/>
      <c r="H388" s="111">
        <v>2117.37</v>
      </c>
    </row>
    <row r="389" spans="2:8">
      <c r="B389" s="111">
        <v>6</v>
      </c>
      <c r="C389" s="111">
        <v>781</v>
      </c>
      <c r="D389" s="111" t="s">
        <v>401</v>
      </c>
      <c r="E389" s="111" t="s">
        <v>380</v>
      </c>
      <c r="F389" s="265">
        <v>42058</v>
      </c>
      <c r="G389" s="265">
        <v>42066</v>
      </c>
      <c r="H389" s="111">
        <v>4152.54</v>
      </c>
    </row>
    <row r="390" spans="2:8">
      <c r="F390" s="264" t="s">
        <v>44</v>
      </c>
      <c r="H390" s="264">
        <f>SUM(H360:H389)</f>
        <v>240394.83000000002</v>
      </c>
    </row>
    <row r="392" spans="2:8">
      <c r="D392" s="264" t="s">
        <v>482</v>
      </c>
      <c r="E392" s="264">
        <f>H363+H373+H381+H382</f>
        <v>111668.34</v>
      </c>
    </row>
    <row r="393" spans="2:8">
      <c r="F393" s="264" t="s">
        <v>483</v>
      </c>
      <c r="G393" s="264"/>
      <c r="H393" s="264">
        <f>H390-E392</f>
        <v>128726.49000000002</v>
      </c>
    </row>
    <row r="395" spans="2:8">
      <c r="F395" s="264" t="s">
        <v>210</v>
      </c>
      <c r="G395" s="111"/>
      <c r="H395" s="264">
        <v>200000</v>
      </c>
    </row>
    <row r="396" spans="2:8">
      <c r="F396" s="264" t="s">
        <v>484</v>
      </c>
      <c r="G396" s="111"/>
      <c r="H396" s="267">
        <f>H393*100/H395</f>
        <v>64.363245000000006</v>
      </c>
    </row>
    <row r="399" spans="2:8">
      <c r="B399" s="59"/>
      <c r="C399" s="138" t="s">
        <v>476</v>
      </c>
      <c r="D399" s="59"/>
      <c r="E399" s="59"/>
      <c r="F399" s="59"/>
      <c r="G399" s="59"/>
      <c r="H399" s="59"/>
    </row>
    <row r="400" spans="2:8">
      <c r="B400" s="59"/>
      <c r="C400" s="59"/>
      <c r="D400" s="59"/>
      <c r="E400" s="59"/>
      <c r="F400" s="59"/>
      <c r="G400" s="59"/>
      <c r="H400" s="59"/>
    </row>
    <row r="401" spans="2:8">
      <c r="B401" s="264" t="s">
        <v>369</v>
      </c>
      <c r="C401" s="264" t="s">
        <v>370</v>
      </c>
      <c r="D401" s="264" t="s">
        <v>371</v>
      </c>
      <c r="E401" s="264" t="s">
        <v>372</v>
      </c>
      <c r="F401" s="264" t="s">
        <v>373</v>
      </c>
      <c r="G401" s="264" t="s">
        <v>470</v>
      </c>
      <c r="H401" s="264" t="s">
        <v>375</v>
      </c>
    </row>
    <row r="402" spans="2:8">
      <c r="B402" s="111">
        <v>6</v>
      </c>
      <c r="C402" s="111">
        <v>191</v>
      </c>
      <c r="D402" s="111" t="s">
        <v>381</v>
      </c>
      <c r="E402" s="111" t="s">
        <v>382</v>
      </c>
      <c r="F402" s="265">
        <v>41732</v>
      </c>
      <c r="G402" s="265">
        <v>42045</v>
      </c>
      <c r="H402" s="111">
        <v>290.42</v>
      </c>
    </row>
    <row r="403" spans="2:8">
      <c r="B403" s="111">
        <v>6</v>
      </c>
      <c r="C403" s="111">
        <v>706</v>
      </c>
      <c r="D403" s="111" t="s">
        <v>468</v>
      </c>
      <c r="E403" s="111" t="s">
        <v>382</v>
      </c>
      <c r="F403" s="265">
        <v>41999</v>
      </c>
      <c r="G403" s="265">
        <v>42037</v>
      </c>
      <c r="H403" s="111">
        <v>578.39</v>
      </c>
    </row>
    <row r="404" spans="2:8">
      <c r="B404" s="111">
        <v>6</v>
      </c>
      <c r="C404" s="111">
        <v>707</v>
      </c>
      <c r="D404" s="111" t="s">
        <v>381</v>
      </c>
      <c r="E404" s="111" t="s">
        <v>382</v>
      </c>
      <c r="F404" s="265">
        <v>41999</v>
      </c>
      <c r="G404" s="265">
        <v>42037</v>
      </c>
      <c r="H404" s="111">
        <v>578.39</v>
      </c>
    </row>
    <row r="405" spans="2:8">
      <c r="B405" s="111">
        <v>6</v>
      </c>
      <c r="C405" s="111">
        <v>708</v>
      </c>
      <c r="D405" s="111" t="s">
        <v>381</v>
      </c>
      <c r="E405" s="111" t="s">
        <v>382</v>
      </c>
      <c r="F405" s="265">
        <v>41999</v>
      </c>
      <c r="G405" s="265">
        <v>42037</v>
      </c>
      <c r="H405" s="111">
        <v>2313.5700000000002</v>
      </c>
    </row>
    <row r="406" spans="2:8">
      <c r="B406" s="111">
        <v>6</v>
      </c>
      <c r="C406" s="111">
        <v>714</v>
      </c>
      <c r="D406" s="111" t="s">
        <v>454</v>
      </c>
      <c r="E406" s="111" t="s">
        <v>448</v>
      </c>
      <c r="F406" s="265">
        <v>42002</v>
      </c>
      <c r="G406" s="265">
        <v>42040</v>
      </c>
      <c r="H406" s="111">
        <v>10964</v>
      </c>
    </row>
    <row r="407" spans="2:8">
      <c r="B407" s="111">
        <v>6</v>
      </c>
      <c r="C407" s="111">
        <v>715</v>
      </c>
      <c r="D407" s="111" t="s">
        <v>454</v>
      </c>
      <c r="E407" s="111" t="s">
        <v>448</v>
      </c>
      <c r="F407" s="265">
        <v>42003</v>
      </c>
      <c r="G407" s="265">
        <v>42040</v>
      </c>
      <c r="H407" s="111">
        <v>4933.8</v>
      </c>
    </row>
    <row r="408" spans="2:8">
      <c r="B408" s="111">
        <v>6</v>
      </c>
      <c r="C408" s="111">
        <v>719</v>
      </c>
      <c r="D408" s="111" t="s">
        <v>454</v>
      </c>
      <c r="E408" s="111" t="s">
        <v>448</v>
      </c>
      <c r="F408" s="265">
        <v>42004</v>
      </c>
      <c r="G408" s="265">
        <v>42040</v>
      </c>
      <c r="H408" s="111">
        <v>2741</v>
      </c>
    </row>
    <row r="409" spans="2:8">
      <c r="B409" s="111">
        <v>6</v>
      </c>
      <c r="C409" s="111">
        <v>718</v>
      </c>
      <c r="D409" s="111" t="s">
        <v>454</v>
      </c>
      <c r="E409" s="111" t="s">
        <v>448</v>
      </c>
      <c r="F409" s="265">
        <v>42004</v>
      </c>
      <c r="G409" s="265">
        <v>42040</v>
      </c>
      <c r="H409" s="111">
        <v>48570.52</v>
      </c>
    </row>
    <row r="410" spans="2:8">
      <c r="B410" s="111">
        <v>6</v>
      </c>
      <c r="C410" s="111">
        <v>721</v>
      </c>
      <c r="D410" s="111" t="s">
        <v>381</v>
      </c>
      <c r="E410" s="111" t="s">
        <v>382</v>
      </c>
      <c r="F410" s="265">
        <v>42004</v>
      </c>
      <c r="G410" s="265">
        <v>42037</v>
      </c>
      <c r="H410" s="111">
        <v>578.39</v>
      </c>
    </row>
    <row r="411" spans="2:8">
      <c r="B411" s="111">
        <v>6</v>
      </c>
      <c r="C411" s="111">
        <v>720</v>
      </c>
      <c r="D411" s="111" t="s">
        <v>381</v>
      </c>
      <c r="E411" s="111" t="s">
        <v>382</v>
      </c>
      <c r="F411" s="265">
        <v>42004</v>
      </c>
      <c r="G411" s="265">
        <v>42037</v>
      </c>
      <c r="H411" s="111">
        <v>1156.79</v>
      </c>
    </row>
    <row r="412" spans="2:8">
      <c r="B412" s="111">
        <v>6</v>
      </c>
      <c r="C412" s="111">
        <v>724</v>
      </c>
      <c r="D412" s="111" t="s">
        <v>447</v>
      </c>
      <c r="E412" s="111" t="s">
        <v>448</v>
      </c>
      <c r="F412" s="265">
        <v>42012</v>
      </c>
      <c r="G412" s="265">
        <v>42044</v>
      </c>
      <c r="H412" s="111">
        <v>811.15</v>
      </c>
    </row>
    <row r="413" spans="2:8">
      <c r="B413" s="111">
        <v>6</v>
      </c>
      <c r="C413" s="111">
        <v>725</v>
      </c>
      <c r="D413" s="111" t="s">
        <v>447</v>
      </c>
      <c r="E413" s="111" t="s">
        <v>448</v>
      </c>
      <c r="F413" s="265">
        <v>42012</v>
      </c>
      <c r="G413" s="265">
        <v>42044</v>
      </c>
      <c r="H413" s="111">
        <v>1011</v>
      </c>
    </row>
    <row r="414" spans="2:8">
      <c r="B414" s="111">
        <v>6</v>
      </c>
      <c r="C414" s="111">
        <v>726</v>
      </c>
      <c r="D414" s="111" t="s">
        <v>447</v>
      </c>
      <c r="E414" s="111" t="s">
        <v>448</v>
      </c>
      <c r="F414" s="265">
        <v>42012</v>
      </c>
      <c r="G414" s="265">
        <v>42044</v>
      </c>
      <c r="H414" s="111">
        <v>8306.56</v>
      </c>
    </row>
    <row r="415" spans="2:8">
      <c r="B415" s="111">
        <v>6</v>
      </c>
      <c r="C415" s="111">
        <v>727</v>
      </c>
      <c r="D415" s="111" t="s">
        <v>454</v>
      </c>
      <c r="E415" s="111" t="s">
        <v>448</v>
      </c>
      <c r="F415" s="265">
        <v>42013</v>
      </c>
      <c r="G415" s="265">
        <v>42045</v>
      </c>
      <c r="H415" s="111">
        <v>39196.300000000003</v>
      </c>
    </row>
    <row r="416" spans="2:8">
      <c r="B416" s="111">
        <v>6</v>
      </c>
      <c r="C416" s="111">
        <v>728</v>
      </c>
      <c r="D416" s="111" t="s">
        <v>454</v>
      </c>
      <c r="E416" s="111" t="s">
        <v>448</v>
      </c>
      <c r="F416" s="265">
        <v>42013</v>
      </c>
      <c r="G416" s="265">
        <v>42045</v>
      </c>
      <c r="H416" s="111">
        <v>10635.08</v>
      </c>
    </row>
    <row r="417" spans="2:8">
      <c r="B417" s="111">
        <v>6</v>
      </c>
      <c r="C417" s="111">
        <v>729</v>
      </c>
      <c r="D417" s="111" t="s">
        <v>454</v>
      </c>
      <c r="E417" s="111" t="s">
        <v>448</v>
      </c>
      <c r="F417" s="265">
        <v>42020</v>
      </c>
      <c r="G417" s="265">
        <v>42052</v>
      </c>
      <c r="H417" s="111">
        <v>16007.44</v>
      </c>
    </row>
    <row r="418" spans="2:8">
      <c r="B418" s="111">
        <v>6</v>
      </c>
      <c r="C418" s="111">
        <v>731</v>
      </c>
      <c r="D418" s="111" t="s">
        <v>454</v>
      </c>
      <c r="E418" s="111" t="s">
        <v>448</v>
      </c>
      <c r="F418" s="265">
        <v>42020</v>
      </c>
      <c r="G418" s="265">
        <v>42052</v>
      </c>
      <c r="H418" s="111">
        <v>3884.4</v>
      </c>
    </row>
    <row r="419" spans="2:8">
      <c r="B419" s="111">
        <v>6</v>
      </c>
      <c r="C419" s="111">
        <v>730</v>
      </c>
      <c r="D419" s="111" t="s">
        <v>454</v>
      </c>
      <c r="E419" s="111" t="s">
        <v>448</v>
      </c>
      <c r="F419" s="265">
        <v>42020</v>
      </c>
      <c r="G419" s="265">
        <v>42052</v>
      </c>
      <c r="H419" s="111">
        <v>2741</v>
      </c>
    </row>
    <row r="420" spans="2:8">
      <c r="B420" s="111">
        <v>6</v>
      </c>
      <c r="C420" s="111">
        <v>733</v>
      </c>
      <c r="D420" s="111" t="s">
        <v>447</v>
      </c>
      <c r="E420" s="111" t="s">
        <v>448</v>
      </c>
      <c r="F420" s="265">
        <v>42023</v>
      </c>
      <c r="G420" s="265">
        <v>42054</v>
      </c>
      <c r="H420" s="111">
        <v>5620.7</v>
      </c>
    </row>
    <row r="421" spans="2:8">
      <c r="B421" s="111">
        <v>6</v>
      </c>
      <c r="C421" s="111">
        <v>736</v>
      </c>
      <c r="D421" s="111" t="s">
        <v>381</v>
      </c>
      <c r="E421" s="111" t="s">
        <v>382</v>
      </c>
      <c r="F421" s="265">
        <v>42025</v>
      </c>
      <c r="G421" s="265">
        <v>42054</v>
      </c>
      <c r="H421" s="111">
        <v>767.8</v>
      </c>
    </row>
    <row r="422" spans="2:8">
      <c r="B422" s="111">
        <v>6</v>
      </c>
      <c r="C422" s="111">
        <v>737</v>
      </c>
      <c r="D422" s="111" t="s">
        <v>456</v>
      </c>
      <c r="E422" s="111" t="s">
        <v>457</v>
      </c>
      <c r="F422" s="265">
        <v>42030</v>
      </c>
      <c r="G422" s="265">
        <v>42053</v>
      </c>
      <c r="H422" s="111">
        <v>37.71</v>
      </c>
    </row>
    <row r="423" spans="2:8">
      <c r="B423" s="111">
        <v>6</v>
      </c>
      <c r="C423" s="111">
        <v>739</v>
      </c>
      <c r="D423" s="111" t="s">
        <v>454</v>
      </c>
      <c r="E423" s="111" t="s">
        <v>448</v>
      </c>
      <c r="F423" s="265">
        <v>42030</v>
      </c>
      <c r="G423" s="265">
        <v>42060</v>
      </c>
      <c r="H423" s="111">
        <v>28506.400000000001</v>
      </c>
    </row>
    <row r="424" spans="2:8">
      <c r="B424" s="111">
        <v>6</v>
      </c>
      <c r="C424" s="111">
        <v>740</v>
      </c>
      <c r="D424" s="111" t="s">
        <v>381</v>
      </c>
      <c r="E424" s="111" t="s">
        <v>382</v>
      </c>
      <c r="F424" s="265">
        <v>42030</v>
      </c>
      <c r="G424" s="265">
        <v>42055</v>
      </c>
      <c r="H424" s="111">
        <v>6684.74</v>
      </c>
    </row>
    <row r="425" spans="2:8">
      <c r="B425" s="111">
        <v>6</v>
      </c>
      <c r="C425" s="111">
        <v>741</v>
      </c>
      <c r="D425" s="111" t="s">
        <v>381</v>
      </c>
      <c r="E425" s="111" t="s">
        <v>382</v>
      </c>
      <c r="F425" s="265">
        <v>42030</v>
      </c>
      <c r="G425" s="265">
        <v>42055</v>
      </c>
      <c r="H425" s="111">
        <v>6684.74</v>
      </c>
    </row>
    <row r="426" spans="2:8">
      <c r="B426" s="111">
        <v>6</v>
      </c>
      <c r="C426" s="111">
        <v>742</v>
      </c>
      <c r="D426" s="111" t="s">
        <v>381</v>
      </c>
      <c r="E426" s="111" t="s">
        <v>382</v>
      </c>
      <c r="F426" s="265">
        <v>42030</v>
      </c>
      <c r="G426" s="265">
        <v>42055</v>
      </c>
      <c r="H426" s="111">
        <v>498.31</v>
      </c>
    </row>
    <row r="427" spans="2:8">
      <c r="B427" s="111">
        <v>6</v>
      </c>
      <c r="C427" s="111">
        <v>743</v>
      </c>
      <c r="D427" s="111" t="s">
        <v>447</v>
      </c>
      <c r="E427" s="111" t="s">
        <v>448</v>
      </c>
      <c r="F427" s="265">
        <v>42032</v>
      </c>
      <c r="G427" s="265">
        <v>42062</v>
      </c>
      <c r="H427" s="111">
        <v>1294.5999999999999</v>
      </c>
    </row>
    <row r="428" spans="2:8">
      <c r="B428" s="111">
        <v>6</v>
      </c>
      <c r="C428" s="111">
        <v>750</v>
      </c>
      <c r="D428" s="111" t="s">
        <v>381</v>
      </c>
      <c r="E428" s="111" t="s">
        <v>382</v>
      </c>
      <c r="F428" s="265">
        <v>42033</v>
      </c>
      <c r="G428" s="265">
        <v>42047</v>
      </c>
      <c r="H428" s="111">
        <v>9784.75</v>
      </c>
    </row>
    <row r="429" spans="2:8">
      <c r="B429" s="111">
        <v>6</v>
      </c>
      <c r="C429" s="111">
        <v>757</v>
      </c>
      <c r="D429" s="111" t="s">
        <v>381</v>
      </c>
      <c r="E429" s="111" t="s">
        <v>382</v>
      </c>
      <c r="F429" s="265">
        <v>42038</v>
      </c>
      <c r="G429" s="265">
        <v>42052</v>
      </c>
      <c r="H429" s="111">
        <v>5974.58</v>
      </c>
    </row>
    <row r="430" spans="2:8">
      <c r="B430" s="111">
        <v>6</v>
      </c>
      <c r="C430" s="111">
        <v>759</v>
      </c>
      <c r="D430" s="111" t="s">
        <v>381</v>
      </c>
      <c r="E430" s="111" t="s">
        <v>382</v>
      </c>
      <c r="F430" s="265">
        <v>42038</v>
      </c>
      <c r="G430" s="265">
        <v>42052</v>
      </c>
      <c r="H430" s="111">
        <v>5974.58</v>
      </c>
    </row>
    <row r="431" spans="2:8">
      <c r="B431" s="111">
        <v>6</v>
      </c>
      <c r="C431" s="111">
        <v>761</v>
      </c>
      <c r="D431" s="111" t="s">
        <v>381</v>
      </c>
      <c r="E431" s="111" t="s">
        <v>382</v>
      </c>
      <c r="F431" s="265">
        <v>42038</v>
      </c>
      <c r="G431" s="265">
        <v>42052</v>
      </c>
      <c r="H431" s="111">
        <v>7966.1</v>
      </c>
    </row>
    <row r="432" spans="2:8">
      <c r="B432" s="111">
        <v>6</v>
      </c>
      <c r="C432" s="111">
        <v>756</v>
      </c>
      <c r="D432" s="111" t="s">
        <v>381</v>
      </c>
      <c r="E432" s="111" t="s">
        <v>382</v>
      </c>
      <c r="F432" s="265">
        <v>42038</v>
      </c>
      <c r="G432" s="265">
        <v>42052</v>
      </c>
      <c r="H432" s="111">
        <v>7966.1</v>
      </c>
    </row>
    <row r="433" spans="2:8">
      <c r="B433" s="111">
        <v>6</v>
      </c>
      <c r="C433" s="111">
        <v>760</v>
      </c>
      <c r="D433" s="111" t="s">
        <v>381</v>
      </c>
      <c r="E433" s="111" t="s">
        <v>382</v>
      </c>
      <c r="F433" s="265">
        <v>42038</v>
      </c>
      <c r="G433" s="265">
        <v>42052</v>
      </c>
      <c r="H433" s="111">
        <v>7966.1</v>
      </c>
    </row>
    <row r="434" spans="2:8">
      <c r="B434" s="111">
        <v>6</v>
      </c>
      <c r="C434" s="111">
        <v>744</v>
      </c>
      <c r="D434" s="111" t="s">
        <v>447</v>
      </c>
      <c r="E434" s="111" t="s">
        <v>448</v>
      </c>
      <c r="F434" s="265">
        <v>42032</v>
      </c>
      <c r="G434" s="265">
        <v>42062</v>
      </c>
      <c r="H434" s="111">
        <v>6323.81</v>
      </c>
    </row>
    <row r="435" spans="2:8">
      <c r="H435" s="111">
        <f>SUM(H402:H434)</f>
        <v>257349.21999999994</v>
      </c>
    </row>
    <row r="438" spans="2:8">
      <c r="D438" s="111" t="s">
        <v>454</v>
      </c>
      <c r="E438" s="111">
        <f>SUMIF(D402:D434,D438,H402:H434)</f>
        <v>168179.93999999997</v>
      </c>
      <c r="G438" s="264" t="s">
        <v>464</v>
      </c>
      <c r="H438" s="264">
        <f>H435-E438</f>
        <v>89169.27999999997</v>
      </c>
    </row>
    <row r="440" spans="2:8">
      <c r="G440" s="264" t="s">
        <v>477</v>
      </c>
      <c r="H440" s="264">
        <f>H438*0.5%</f>
        <v>445.84639999999985</v>
      </c>
    </row>
    <row r="442" spans="2:8">
      <c r="G442" s="264" t="s">
        <v>232</v>
      </c>
      <c r="H442" s="267">
        <v>750</v>
      </c>
    </row>
    <row r="443" spans="2:8">
      <c r="G443" s="273" t="s">
        <v>44</v>
      </c>
      <c r="H443" s="267">
        <f>H442+H440</f>
        <v>1195.8463999999999</v>
      </c>
    </row>
    <row r="444" spans="2:8">
      <c r="G444" s="264" t="s">
        <v>485</v>
      </c>
      <c r="H444" s="264">
        <v>299.29000000000002</v>
      </c>
    </row>
    <row r="445" spans="2:8">
      <c r="G445" s="264" t="s">
        <v>44</v>
      </c>
      <c r="H445" s="264">
        <v>897.89</v>
      </c>
    </row>
    <row r="452" spans="2:13">
      <c r="B452" s="29">
        <v>6</v>
      </c>
      <c r="C452" s="29">
        <v>631</v>
      </c>
      <c r="D452" s="29" t="s">
        <v>381</v>
      </c>
      <c r="E452" s="29" t="s">
        <v>382</v>
      </c>
      <c r="F452" s="263">
        <v>41960</v>
      </c>
      <c r="G452" s="263">
        <v>42084</v>
      </c>
      <c r="H452" s="29">
        <v>0</v>
      </c>
      <c r="I452" s="29">
        <v>578.39</v>
      </c>
      <c r="K452" s="29">
        <v>0</v>
      </c>
      <c r="L452" s="29">
        <v>578.39</v>
      </c>
      <c r="M452" s="29">
        <v>0</v>
      </c>
    </row>
    <row r="453" spans="2:13">
      <c r="B453" s="29">
        <v>6</v>
      </c>
      <c r="C453" s="29">
        <v>670</v>
      </c>
      <c r="D453" s="29" t="s">
        <v>379</v>
      </c>
      <c r="E453" s="29" t="s">
        <v>380</v>
      </c>
      <c r="F453" s="263">
        <v>41984</v>
      </c>
      <c r="G453" s="263">
        <v>42075</v>
      </c>
      <c r="H453" s="29">
        <v>9152.5400000000009</v>
      </c>
      <c r="I453" s="29">
        <v>0</v>
      </c>
      <c r="K453" s="29">
        <v>1647.46</v>
      </c>
      <c r="L453" s="29">
        <v>10800</v>
      </c>
      <c r="M453" s="29">
        <v>0</v>
      </c>
    </row>
    <row r="454" spans="2:13">
      <c r="B454" s="29">
        <v>6</v>
      </c>
      <c r="C454" s="29">
        <v>696</v>
      </c>
      <c r="D454" s="29" t="s">
        <v>456</v>
      </c>
      <c r="E454" s="29" t="s">
        <v>457</v>
      </c>
      <c r="F454" s="263">
        <v>41993</v>
      </c>
      <c r="G454" s="263">
        <v>42068</v>
      </c>
      <c r="H454" s="29">
        <v>9169.49</v>
      </c>
      <c r="I454" s="29">
        <v>0</v>
      </c>
      <c r="K454" s="29">
        <v>1650.51</v>
      </c>
      <c r="L454" s="29">
        <v>10820</v>
      </c>
      <c r="M454" s="29">
        <v>0</v>
      </c>
    </row>
    <row r="455" spans="2:13">
      <c r="B455" s="29">
        <v>6</v>
      </c>
      <c r="C455" s="29">
        <v>722</v>
      </c>
      <c r="D455" s="29" t="s">
        <v>381</v>
      </c>
      <c r="E455" s="29" t="s">
        <v>382</v>
      </c>
      <c r="F455" s="263">
        <v>42004</v>
      </c>
      <c r="G455" s="263">
        <v>42066</v>
      </c>
      <c r="H455" s="29">
        <v>2412.46</v>
      </c>
      <c r="I455" s="29">
        <v>0</v>
      </c>
      <c r="K455" s="29">
        <v>434.24</v>
      </c>
      <c r="L455" s="29">
        <v>2846.7</v>
      </c>
      <c r="M455" s="29">
        <v>0</v>
      </c>
    </row>
    <row r="456" spans="2:13">
      <c r="B456" s="29">
        <v>6</v>
      </c>
      <c r="C456" s="29">
        <v>732</v>
      </c>
      <c r="D456" s="29" t="s">
        <v>381</v>
      </c>
      <c r="E456" s="29" t="s">
        <v>382</v>
      </c>
      <c r="F456" s="263">
        <v>42021</v>
      </c>
      <c r="G456" s="263">
        <v>42073</v>
      </c>
      <c r="H456" s="29">
        <v>9635.59</v>
      </c>
      <c r="I456" s="29">
        <v>0</v>
      </c>
      <c r="K456" s="29">
        <v>1734.41</v>
      </c>
      <c r="L456" s="29">
        <v>11370</v>
      </c>
      <c r="M456" s="29">
        <v>0</v>
      </c>
    </row>
    <row r="457" spans="2:13">
      <c r="B457" s="29">
        <v>6</v>
      </c>
      <c r="C457" s="29">
        <v>735</v>
      </c>
      <c r="D457" s="29" t="s">
        <v>381</v>
      </c>
      <c r="E457" s="29" t="s">
        <v>382</v>
      </c>
      <c r="F457" s="263">
        <v>42025</v>
      </c>
      <c r="G457" s="263">
        <v>42073</v>
      </c>
      <c r="H457" s="29">
        <v>9152.5400000000009</v>
      </c>
      <c r="I457" s="29">
        <v>0</v>
      </c>
      <c r="K457" s="29">
        <v>1647.46</v>
      </c>
      <c r="L457" s="29">
        <v>10800</v>
      </c>
      <c r="M457" s="29">
        <v>0</v>
      </c>
    </row>
    <row r="458" spans="2:13">
      <c r="B458" s="29">
        <v>6</v>
      </c>
      <c r="C458" s="29">
        <v>734</v>
      </c>
      <c r="D458" s="29" t="s">
        <v>381</v>
      </c>
      <c r="E458" s="29" t="s">
        <v>382</v>
      </c>
      <c r="F458" s="263">
        <v>42025</v>
      </c>
      <c r="G458" s="263">
        <v>42090</v>
      </c>
      <c r="H458" s="29">
        <v>9152.5400000000009</v>
      </c>
      <c r="I458" s="29">
        <v>0</v>
      </c>
      <c r="K458" s="29">
        <v>1647.46</v>
      </c>
      <c r="L458" s="29">
        <v>10800</v>
      </c>
      <c r="M458" s="29">
        <v>0</v>
      </c>
    </row>
    <row r="459" spans="2:13">
      <c r="B459" s="29">
        <v>6</v>
      </c>
      <c r="C459" s="29">
        <v>749</v>
      </c>
      <c r="D459" s="29" t="s">
        <v>460</v>
      </c>
      <c r="E459" s="29" t="s">
        <v>448</v>
      </c>
      <c r="F459" s="263">
        <v>42033</v>
      </c>
      <c r="G459" s="263">
        <v>42068</v>
      </c>
      <c r="H459" s="29">
        <v>1129.24</v>
      </c>
      <c r="I459" s="29">
        <v>0</v>
      </c>
      <c r="K459" s="29">
        <v>203.26</v>
      </c>
      <c r="L459" s="29">
        <v>1332.5</v>
      </c>
      <c r="M459" s="29">
        <v>0</v>
      </c>
    </row>
    <row r="460" spans="2:13">
      <c r="B460" s="29">
        <v>6</v>
      </c>
      <c r="C460" s="29">
        <v>747</v>
      </c>
      <c r="D460" s="29" t="s">
        <v>454</v>
      </c>
      <c r="E460" s="29" t="s">
        <v>448</v>
      </c>
      <c r="F460" s="263">
        <v>42033</v>
      </c>
      <c r="G460" s="263">
        <v>42068</v>
      </c>
      <c r="H460" s="29">
        <v>5372.36</v>
      </c>
      <c r="I460" s="29">
        <v>0</v>
      </c>
      <c r="K460" s="29">
        <v>967.02</v>
      </c>
      <c r="L460" s="29">
        <v>6339.38</v>
      </c>
      <c r="M460" s="29">
        <v>0</v>
      </c>
    </row>
    <row r="461" spans="2:13">
      <c r="B461" s="29">
        <v>6</v>
      </c>
      <c r="C461" s="29">
        <v>745</v>
      </c>
      <c r="D461" s="29" t="s">
        <v>468</v>
      </c>
      <c r="E461" s="29" t="s">
        <v>382</v>
      </c>
      <c r="F461" s="263">
        <v>42033</v>
      </c>
      <c r="G461" s="263">
        <v>42066</v>
      </c>
      <c r="H461" s="29">
        <v>0</v>
      </c>
      <c r="I461" s="29">
        <v>578.39</v>
      </c>
      <c r="K461" s="29">
        <v>0</v>
      </c>
      <c r="L461" s="29">
        <v>578.39</v>
      </c>
      <c r="M461" s="29">
        <v>0</v>
      </c>
    </row>
    <row r="462" spans="2:13">
      <c r="B462" s="29">
        <v>6</v>
      </c>
      <c r="C462" s="29">
        <v>746</v>
      </c>
      <c r="D462" s="29" t="s">
        <v>381</v>
      </c>
      <c r="E462" s="29" t="s">
        <v>382</v>
      </c>
      <c r="F462" s="263">
        <v>42033</v>
      </c>
      <c r="G462" s="263">
        <v>42066</v>
      </c>
      <c r="H462" s="29">
        <v>0</v>
      </c>
      <c r="I462" s="29">
        <v>578.39</v>
      </c>
      <c r="K462" s="29">
        <v>0</v>
      </c>
      <c r="L462" s="29">
        <v>578.39</v>
      </c>
      <c r="M462" s="29">
        <v>0</v>
      </c>
    </row>
    <row r="463" spans="2:13">
      <c r="B463" s="29">
        <v>6</v>
      </c>
      <c r="C463" s="29">
        <v>748</v>
      </c>
      <c r="D463" s="29" t="s">
        <v>460</v>
      </c>
      <c r="E463" s="29" t="s">
        <v>448</v>
      </c>
      <c r="F463" s="263">
        <v>42033</v>
      </c>
      <c r="G463" s="263">
        <v>42069</v>
      </c>
      <c r="H463" s="29">
        <v>0</v>
      </c>
      <c r="I463" s="29">
        <v>400</v>
      </c>
      <c r="K463" s="29">
        <v>0</v>
      </c>
      <c r="L463" s="29">
        <v>400</v>
      </c>
      <c r="M463" s="29">
        <v>0</v>
      </c>
    </row>
    <row r="464" spans="2:13">
      <c r="B464" s="29">
        <v>6</v>
      </c>
      <c r="C464" s="29">
        <v>755</v>
      </c>
      <c r="D464" s="29" t="s">
        <v>381</v>
      </c>
      <c r="E464" s="29" t="s">
        <v>382</v>
      </c>
      <c r="F464" s="263">
        <v>42037</v>
      </c>
      <c r="G464" s="263">
        <v>42084</v>
      </c>
      <c r="H464" s="29">
        <v>0</v>
      </c>
      <c r="I464" s="29">
        <v>1735.18</v>
      </c>
      <c r="K464" s="29">
        <v>0</v>
      </c>
      <c r="L464" s="29">
        <v>1735.18</v>
      </c>
      <c r="M464" s="29">
        <v>0</v>
      </c>
    </row>
    <row r="465" spans="2:13">
      <c r="B465" s="29">
        <v>6</v>
      </c>
      <c r="C465" s="29">
        <v>762</v>
      </c>
      <c r="D465" s="29" t="s">
        <v>454</v>
      </c>
      <c r="E465" s="29" t="s">
        <v>448</v>
      </c>
      <c r="F465" s="263">
        <v>42040</v>
      </c>
      <c r="G465" s="263">
        <v>42074</v>
      </c>
      <c r="H465" s="29">
        <v>3563.3</v>
      </c>
      <c r="I465" s="29">
        <v>0</v>
      </c>
      <c r="K465" s="29">
        <v>641.39</v>
      </c>
      <c r="L465" s="29">
        <v>4204.6899999999996</v>
      </c>
      <c r="M465" s="29">
        <v>0</v>
      </c>
    </row>
    <row r="466" spans="2:13">
      <c r="B466" s="29">
        <v>6</v>
      </c>
      <c r="C466" s="29">
        <v>763</v>
      </c>
      <c r="D466" s="29" t="s">
        <v>447</v>
      </c>
      <c r="E466" s="29" t="s">
        <v>448</v>
      </c>
      <c r="F466" s="263">
        <v>42040</v>
      </c>
      <c r="G466" s="263">
        <v>42072</v>
      </c>
      <c r="H466" s="29">
        <v>2124.6</v>
      </c>
      <c r="I466" s="29">
        <v>0</v>
      </c>
      <c r="K466" s="29">
        <v>382.43</v>
      </c>
      <c r="L466" s="29">
        <v>2507.0300000000002</v>
      </c>
      <c r="M466" s="29">
        <v>0</v>
      </c>
    </row>
    <row r="467" spans="2:13">
      <c r="B467" s="29">
        <v>6</v>
      </c>
      <c r="C467" s="29">
        <v>764</v>
      </c>
      <c r="D467" s="29" t="s">
        <v>447</v>
      </c>
      <c r="E467" s="29" t="s">
        <v>448</v>
      </c>
      <c r="F467" s="263">
        <v>42040</v>
      </c>
      <c r="G467" s="263">
        <v>42072</v>
      </c>
      <c r="H467" s="29">
        <v>18062.740000000002</v>
      </c>
      <c r="I467" s="29">
        <v>0</v>
      </c>
      <c r="K467" s="29">
        <v>3251.29</v>
      </c>
      <c r="L467" s="29">
        <v>21314.03</v>
      </c>
      <c r="M467" s="29">
        <v>0</v>
      </c>
    </row>
    <row r="468" spans="2:13">
      <c r="B468" s="29">
        <v>6</v>
      </c>
      <c r="C468" s="29">
        <v>765</v>
      </c>
      <c r="D468" s="29" t="s">
        <v>454</v>
      </c>
      <c r="E468" s="29" t="s">
        <v>448</v>
      </c>
      <c r="F468" s="263">
        <v>42041</v>
      </c>
      <c r="G468" s="263">
        <v>42074</v>
      </c>
      <c r="H468" s="29">
        <v>55971.22</v>
      </c>
      <c r="I468" s="29">
        <v>0</v>
      </c>
      <c r="K468" s="29">
        <v>10074.82</v>
      </c>
      <c r="L468" s="29">
        <v>66046.039999999994</v>
      </c>
      <c r="M468" s="29">
        <v>0</v>
      </c>
    </row>
    <row r="469" spans="2:13">
      <c r="B469" s="29">
        <v>6</v>
      </c>
      <c r="C469" s="29">
        <v>767</v>
      </c>
      <c r="D469" s="29" t="s">
        <v>381</v>
      </c>
      <c r="E469" s="29" t="s">
        <v>382</v>
      </c>
      <c r="F469" s="263">
        <v>42042</v>
      </c>
      <c r="G469" s="263">
        <v>42074</v>
      </c>
      <c r="H469" s="29">
        <v>3414.41</v>
      </c>
      <c r="I469" s="29">
        <v>0</v>
      </c>
      <c r="K469" s="29">
        <v>614.59</v>
      </c>
      <c r="L469" s="29">
        <v>4029</v>
      </c>
      <c r="M469" s="29">
        <v>0</v>
      </c>
    </row>
    <row r="470" spans="2:13">
      <c r="B470" s="29">
        <v>6</v>
      </c>
      <c r="C470" s="29">
        <v>773</v>
      </c>
      <c r="D470" s="29" t="s">
        <v>454</v>
      </c>
      <c r="E470" s="29" t="s">
        <v>448</v>
      </c>
      <c r="F470" s="263">
        <v>42053</v>
      </c>
      <c r="G470" s="263">
        <v>42080</v>
      </c>
      <c r="H470" s="29">
        <v>822.3</v>
      </c>
      <c r="I470" s="29">
        <v>0</v>
      </c>
      <c r="K470" s="29">
        <v>148.01</v>
      </c>
      <c r="L470" s="29">
        <v>970.31</v>
      </c>
      <c r="M470" s="29">
        <v>0</v>
      </c>
    </row>
    <row r="471" spans="2:13">
      <c r="B471" s="29">
        <v>6</v>
      </c>
      <c r="C471" s="29">
        <v>774</v>
      </c>
      <c r="D471" s="29" t="s">
        <v>454</v>
      </c>
      <c r="E471" s="29" t="s">
        <v>448</v>
      </c>
      <c r="F471" s="263">
        <v>42053</v>
      </c>
      <c r="G471" s="263">
        <v>42080</v>
      </c>
      <c r="H471" s="29">
        <v>1096.4000000000001</v>
      </c>
      <c r="I471" s="29">
        <v>0</v>
      </c>
      <c r="K471" s="29">
        <v>197.35</v>
      </c>
      <c r="L471" s="29">
        <v>1293.75</v>
      </c>
      <c r="M471" s="29">
        <v>0</v>
      </c>
    </row>
    <row r="472" spans="2:13">
      <c r="B472" s="29">
        <v>6</v>
      </c>
      <c r="C472" s="29">
        <v>775</v>
      </c>
      <c r="D472" s="29" t="s">
        <v>381</v>
      </c>
      <c r="E472" s="29" t="s">
        <v>382</v>
      </c>
      <c r="F472" s="263">
        <v>42054</v>
      </c>
      <c r="G472" s="263">
        <v>42073</v>
      </c>
      <c r="H472" s="29">
        <v>7014.41</v>
      </c>
      <c r="I472" s="29">
        <v>0</v>
      </c>
      <c r="K472" s="29">
        <v>1262.5899999999999</v>
      </c>
      <c r="L472" s="29">
        <v>8277</v>
      </c>
      <c r="M472" s="29">
        <v>0</v>
      </c>
    </row>
    <row r="473" spans="2:13">
      <c r="B473" s="29">
        <v>6</v>
      </c>
      <c r="C473" s="29">
        <v>776</v>
      </c>
      <c r="D473" s="29" t="s">
        <v>381</v>
      </c>
      <c r="E473" s="29" t="s">
        <v>382</v>
      </c>
      <c r="F473" s="263">
        <v>42055</v>
      </c>
      <c r="G473" s="263">
        <v>42090</v>
      </c>
      <c r="H473" s="29">
        <v>7355.93</v>
      </c>
      <c r="I473" s="29">
        <v>0</v>
      </c>
      <c r="K473" s="29">
        <v>1324.07</v>
      </c>
      <c r="L473" s="29">
        <v>8680</v>
      </c>
      <c r="M473" s="29">
        <v>0</v>
      </c>
    </row>
    <row r="474" spans="2:13">
      <c r="B474" s="29">
        <v>6</v>
      </c>
      <c r="C474" s="29">
        <v>781</v>
      </c>
      <c r="D474" s="29" t="s">
        <v>401</v>
      </c>
      <c r="E474" s="29" t="s">
        <v>380</v>
      </c>
      <c r="F474" s="263">
        <v>42058</v>
      </c>
      <c r="G474" s="263">
        <v>42066</v>
      </c>
      <c r="H474" s="29">
        <v>4152.54</v>
      </c>
      <c r="I474" s="29">
        <v>0</v>
      </c>
      <c r="K474" s="29">
        <v>747.46</v>
      </c>
      <c r="L474" s="29">
        <v>4900</v>
      </c>
      <c r="M474" s="29">
        <v>0</v>
      </c>
    </row>
    <row r="475" spans="2:13">
      <c r="B475" s="29">
        <v>6</v>
      </c>
      <c r="C475" s="29">
        <v>779</v>
      </c>
      <c r="D475" s="29" t="s">
        <v>447</v>
      </c>
      <c r="E475" s="29" t="s">
        <v>448</v>
      </c>
      <c r="F475" s="263">
        <v>42058</v>
      </c>
      <c r="G475" s="263">
        <v>42088</v>
      </c>
      <c r="H475" s="29">
        <v>4337.1000000000004</v>
      </c>
      <c r="I475" s="29">
        <v>0</v>
      </c>
      <c r="K475" s="29">
        <v>780.68</v>
      </c>
      <c r="L475" s="29">
        <v>5117.78</v>
      </c>
      <c r="M475" s="29">
        <v>0</v>
      </c>
    </row>
    <row r="476" spans="2:13">
      <c r="B476" s="29">
        <v>6</v>
      </c>
      <c r="C476" s="29">
        <v>780</v>
      </c>
      <c r="D476" s="29" t="s">
        <v>447</v>
      </c>
      <c r="E476" s="29" t="s">
        <v>448</v>
      </c>
      <c r="F476" s="263">
        <v>42058</v>
      </c>
      <c r="G476" s="263">
        <v>42088</v>
      </c>
      <c r="H476" s="29">
        <v>8145.81</v>
      </c>
      <c r="I476" s="29">
        <v>0</v>
      </c>
      <c r="K476" s="29">
        <v>1466.25</v>
      </c>
      <c r="L476" s="29">
        <v>9612.06</v>
      </c>
      <c r="M476" s="29">
        <v>0</v>
      </c>
    </row>
    <row r="477" spans="2:13">
      <c r="B477" s="29">
        <v>6</v>
      </c>
      <c r="C477" s="29">
        <v>783</v>
      </c>
      <c r="D477" s="29" t="s">
        <v>447</v>
      </c>
      <c r="E477" s="29" t="s">
        <v>448</v>
      </c>
      <c r="F477" s="263">
        <v>42060</v>
      </c>
      <c r="G477" s="263">
        <v>42090</v>
      </c>
      <c r="H477" s="29">
        <v>4847.5</v>
      </c>
      <c r="I477" s="29">
        <v>0</v>
      </c>
      <c r="K477" s="29">
        <v>872.55</v>
      </c>
      <c r="L477" s="29">
        <v>5720.05</v>
      </c>
      <c r="M477" s="29">
        <v>0</v>
      </c>
    </row>
    <row r="478" spans="2:13">
      <c r="B478" s="29">
        <v>6</v>
      </c>
      <c r="C478" s="29">
        <v>782</v>
      </c>
      <c r="D478" s="29" t="s">
        <v>447</v>
      </c>
      <c r="E478" s="29" t="s">
        <v>448</v>
      </c>
      <c r="F478" s="263">
        <v>42060</v>
      </c>
      <c r="G478" s="263">
        <v>42090</v>
      </c>
      <c r="H478" s="29">
        <v>248.3</v>
      </c>
      <c r="I478" s="29">
        <v>0</v>
      </c>
      <c r="K478" s="29">
        <v>44.69</v>
      </c>
      <c r="L478" s="29">
        <v>292.99</v>
      </c>
      <c r="M478" s="29">
        <v>0</v>
      </c>
    </row>
    <row r="479" spans="2:13">
      <c r="B479" s="29">
        <v>6</v>
      </c>
      <c r="C479" s="29">
        <v>784</v>
      </c>
      <c r="D479" s="29" t="s">
        <v>447</v>
      </c>
      <c r="E479" s="29" t="s">
        <v>448</v>
      </c>
      <c r="F479" s="263">
        <v>42060</v>
      </c>
      <c r="G479" s="263">
        <v>42090</v>
      </c>
      <c r="H479" s="29">
        <v>6237.6</v>
      </c>
      <c r="I479" s="29">
        <v>0</v>
      </c>
      <c r="K479" s="29">
        <v>1122.77</v>
      </c>
      <c r="L479" s="29">
        <v>7360.37</v>
      </c>
      <c r="M479" s="29">
        <v>0</v>
      </c>
    </row>
    <row r="480" spans="2:13">
      <c r="B480" s="29">
        <v>6</v>
      </c>
      <c r="C480" s="29">
        <v>785</v>
      </c>
      <c r="D480" s="29" t="s">
        <v>453</v>
      </c>
      <c r="E480" s="29" t="s">
        <v>448</v>
      </c>
      <c r="F480" s="263">
        <v>42061</v>
      </c>
      <c r="G480" s="263">
        <v>42074</v>
      </c>
      <c r="H480" s="29">
        <v>1677.97</v>
      </c>
      <c r="I480" s="29">
        <v>0</v>
      </c>
      <c r="K480" s="29">
        <v>302.02999999999997</v>
      </c>
      <c r="L480" s="29">
        <v>1980</v>
      </c>
      <c r="M480" s="29">
        <v>0</v>
      </c>
    </row>
    <row r="481" spans="2:13">
      <c r="B481" s="29">
        <v>6</v>
      </c>
      <c r="C481" s="29">
        <v>786</v>
      </c>
      <c r="D481" s="29" t="s">
        <v>381</v>
      </c>
      <c r="E481" s="29" t="s">
        <v>382</v>
      </c>
      <c r="F481" s="263">
        <v>42061</v>
      </c>
      <c r="G481" s="263">
        <v>42082</v>
      </c>
      <c r="H481" s="29">
        <v>2117.37</v>
      </c>
      <c r="I481" s="29">
        <v>0</v>
      </c>
      <c r="K481" s="29">
        <v>381.13</v>
      </c>
      <c r="L481" s="29">
        <v>2498.5</v>
      </c>
      <c r="M481" s="29">
        <v>0</v>
      </c>
    </row>
    <row r="482" spans="2:13">
      <c r="B482" s="29">
        <v>6</v>
      </c>
      <c r="C482" s="29">
        <v>787</v>
      </c>
      <c r="D482" s="29" t="s">
        <v>454</v>
      </c>
      <c r="E482" s="29" t="s">
        <v>448</v>
      </c>
      <c r="F482" s="263">
        <v>42062</v>
      </c>
      <c r="G482" s="263">
        <v>42094</v>
      </c>
      <c r="H482" s="29">
        <v>548.20000000000005</v>
      </c>
      <c r="I482" s="29">
        <v>0</v>
      </c>
      <c r="K482" s="29">
        <v>98.68</v>
      </c>
      <c r="L482" s="29">
        <v>646.88</v>
      </c>
      <c r="M482" s="29">
        <v>0</v>
      </c>
    </row>
    <row r="483" spans="2:13">
      <c r="B483" s="29">
        <v>6</v>
      </c>
      <c r="C483" s="29">
        <v>788</v>
      </c>
      <c r="D483" s="29" t="s">
        <v>454</v>
      </c>
      <c r="E483" s="29" t="s">
        <v>448</v>
      </c>
      <c r="F483" s="263">
        <v>42062</v>
      </c>
      <c r="G483" s="263">
        <v>42094</v>
      </c>
      <c r="H483" s="29">
        <v>54326.62</v>
      </c>
      <c r="I483" s="29">
        <v>0</v>
      </c>
      <c r="K483" s="29">
        <v>9778.7900000000009</v>
      </c>
      <c r="L483" s="29">
        <v>64105.41</v>
      </c>
      <c r="M483" s="29">
        <v>0</v>
      </c>
    </row>
    <row r="484" spans="2:13">
      <c r="B484" s="29">
        <v>6</v>
      </c>
      <c r="C484" s="29">
        <v>790</v>
      </c>
      <c r="D484" s="29" t="s">
        <v>453</v>
      </c>
      <c r="E484" s="29" t="s">
        <v>448</v>
      </c>
      <c r="F484" s="263">
        <v>42066</v>
      </c>
      <c r="G484" s="263">
        <v>42080</v>
      </c>
      <c r="H484" s="29">
        <v>1618.64</v>
      </c>
      <c r="I484" s="29">
        <v>0</v>
      </c>
      <c r="K484" s="29">
        <v>291.36</v>
      </c>
      <c r="L484" s="29">
        <v>1910</v>
      </c>
      <c r="M484" s="29">
        <v>0</v>
      </c>
    </row>
    <row r="485" spans="2:13">
      <c r="B485" s="29">
        <v>6</v>
      </c>
      <c r="C485" s="29">
        <v>800</v>
      </c>
      <c r="D485" s="29" t="s">
        <v>453</v>
      </c>
      <c r="E485" s="29" t="s">
        <v>448</v>
      </c>
      <c r="F485" s="263">
        <v>42072</v>
      </c>
      <c r="G485" s="263">
        <v>42084</v>
      </c>
      <c r="H485" s="29">
        <v>1074.58</v>
      </c>
      <c r="I485" s="29">
        <v>0</v>
      </c>
      <c r="K485" s="29">
        <v>193.42</v>
      </c>
      <c r="L485" s="29">
        <v>1268</v>
      </c>
      <c r="M485" s="29">
        <v>0</v>
      </c>
    </row>
    <row r="486" spans="2:13">
      <c r="B486" s="29">
        <v>6</v>
      </c>
      <c r="C486" s="29">
        <v>799</v>
      </c>
      <c r="D486" s="29" t="s">
        <v>453</v>
      </c>
      <c r="E486" s="29" t="s">
        <v>448</v>
      </c>
      <c r="F486" s="263">
        <v>42072</v>
      </c>
      <c r="G486" s="263">
        <v>42084</v>
      </c>
      <c r="H486" s="29">
        <v>381.36</v>
      </c>
      <c r="I486" s="29">
        <v>0</v>
      </c>
      <c r="K486" s="29">
        <v>68.64</v>
      </c>
      <c r="L486" s="29">
        <v>450</v>
      </c>
      <c r="M486" s="29">
        <v>0</v>
      </c>
    </row>
    <row r="487" spans="2:13">
      <c r="B487" s="29">
        <v>6</v>
      </c>
      <c r="C487" s="29">
        <v>810</v>
      </c>
      <c r="D487" s="29" t="s">
        <v>453</v>
      </c>
      <c r="E487" s="29" t="s">
        <v>448</v>
      </c>
      <c r="F487" s="263">
        <v>42081</v>
      </c>
      <c r="G487" s="263">
        <v>42089</v>
      </c>
      <c r="H487" s="29">
        <v>5074.58</v>
      </c>
      <c r="I487" s="29">
        <v>530</v>
      </c>
      <c r="K487" s="29">
        <v>913.42</v>
      </c>
      <c r="L487" s="29">
        <v>6518</v>
      </c>
      <c r="M487" s="29">
        <v>0</v>
      </c>
    </row>
    <row r="488" spans="2:13">
      <c r="B488" s="29">
        <v>6</v>
      </c>
      <c r="C488" s="29">
        <v>812</v>
      </c>
      <c r="D488" s="29" t="s">
        <v>453</v>
      </c>
      <c r="E488" s="29" t="s">
        <v>448</v>
      </c>
      <c r="F488" s="263">
        <v>42082</v>
      </c>
      <c r="G488" s="263">
        <v>42093</v>
      </c>
      <c r="H488" s="29">
        <v>1127.1199999999999</v>
      </c>
      <c r="I488" s="29">
        <v>0</v>
      </c>
      <c r="K488" s="29">
        <v>202.88</v>
      </c>
      <c r="L488" s="29">
        <v>1330</v>
      </c>
      <c r="M488" s="29">
        <v>0</v>
      </c>
    </row>
    <row r="489" spans="2:13">
      <c r="F489" s="263"/>
      <c r="G489" s="263"/>
    </row>
    <row r="490" spans="2:13">
      <c r="F490" s="263"/>
      <c r="G490" s="263"/>
    </row>
    <row r="491" spans="2:13">
      <c r="F491" s="263"/>
      <c r="G491" s="263"/>
    </row>
    <row r="492" spans="2:13">
      <c r="F492" s="263"/>
      <c r="G492" s="263"/>
    </row>
    <row r="493" spans="2:13">
      <c r="B493" s="59"/>
      <c r="C493" s="138" t="s">
        <v>476</v>
      </c>
      <c r="D493" s="59"/>
      <c r="E493" s="59"/>
      <c r="F493" s="59"/>
      <c r="G493" s="59"/>
      <c r="H493" s="59"/>
    </row>
    <row r="494" spans="2:13">
      <c r="B494" s="59"/>
      <c r="C494" s="59"/>
      <c r="D494" s="59"/>
      <c r="E494" s="59"/>
      <c r="F494" s="59"/>
      <c r="G494" s="59"/>
      <c r="H494" s="59"/>
    </row>
    <row r="495" spans="2:13">
      <c r="B495" s="264" t="s">
        <v>369</v>
      </c>
      <c r="C495" s="264" t="s">
        <v>370</v>
      </c>
      <c r="D495" s="264" t="s">
        <v>371</v>
      </c>
      <c r="E495" s="264" t="s">
        <v>372</v>
      </c>
      <c r="F495" s="264" t="s">
        <v>373</v>
      </c>
      <c r="G495" s="264" t="s">
        <v>470</v>
      </c>
      <c r="H495" s="264" t="s">
        <v>375</v>
      </c>
    </row>
    <row r="496" spans="2:13">
      <c r="B496" s="111">
        <v>6</v>
      </c>
      <c r="C496" s="111">
        <v>631</v>
      </c>
      <c r="D496" s="111" t="s">
        <v>381</v>
      </c>
      <c r="E496" s="111" t="s">
        <v>382</v>
      </c>
      <c r="F496" s="265">
        <v>41960</v>
      </c>
      <c r="G496" s="265">
        <v>42084</v>
      </c>
      <c r="H496" s="111">
        <v>578.39</v>
      </c>
    </row>
    <row r="497" spans="2:8">
      <c r="B497" s="111">
        <v>6</v>
      </c>
      <c r="C497" s="111">
        <v>670</v>
      </c>
      <c r="D497" s="111" t="s">
        <v>379</v>
      </c>
      <c r="E497" s="111" t="s">
        <v>380</v>
      </c>
      <c r="F497" s="265">
        <v>41984</v>
      </c>
      <c r="G497" s="265">
        <v>42075</v>
      </c>
      <c r="H497" s="111">
        <v>9152.5400000000009</v>
      </c>
    </row>
    <row r="498" spans="2:8">
      <c r="B498" s="111">
        <v>6</v>
      </c>
      <c r="C498" s="111">
        <v>696</v>
      </c>
      <c r="D498" s="111" t="s">
        <v>456</v>
      </c>
      <c r="E498" s="111" t="s">
        <v>457</v>
      </c>
      <c r="F498" s="265">
        <v>41993</v>
      </c>
      <c r="G498" s="265">
        <v>42068</v>
      </c>
      <c r="H498" s="111">
        <v>9169.49</v>
      </c>
    </row>
    <row r="499" spans="2:8">
      <c r="B499" s="111">
        <v>6</v>
      </c>
      <c r="C499" s="111">
        <v>722</v>
      </c>
      <c r="D499" s="111" t="s">
        <v>381</v>
      </c>
      <c r="E499" s="111" t="s">
        <v>382</v>
      </c>
      <c r="F499" s="265">
        <v>42004</v>
      </c>
      <c r="G499" s="265">
        <v>42066</v>
      </c>
      <c r="H499" s="111">
        <v>2412.46</v>
      </c>
    </row>
    <row r="500" spans="2:8">
      <c r="B500" s="111">
        <v>6</v>
      </c>
      <c r="C500" s="111">
        <v>732</v>
      </c>
      <c r="D500" s="111" t="s">
        <v>381</v>
      </c>
      <c r="E500" s="111" t="s">
        <v>382</v>
      </c>
      <c r="F500" s="265">
        <v>42021</v>
      </c>
      <c r="G500" s="265">
        <v>42073</v>
      </c>
      <c r="H500" s="111">
        <v>9635.59</v>
      </c>
    </row>
    <row r="501" spans="2:8">
      <c r="B501" s="111">
        <v>6</v>
      </c>
      <c r="C501" s="111">
        <v>735</v>
      </c>
      <c r="D501" s="111" t="s">
        <v>381</v>
      </c>
      <c r="E501" s="111" t="s">
        <v>382</v>
      </c>
      <c r="F501" s="265">
        <v>42025</v>
      </c>
      <c r="G501" s="265">
        <v>42073</v>
      </c>
      <c r="H501" s="111">
        <v>9152.5400000000009</v>
      </c>
    </row>
    <row r="502" spans="2:8">
      <c r="B502" s="111">
        <v>6</v>
      </c>
      <c r="C502" s="111">
        <v>734</v>
      </c>
      <c r="D502" s="111" t="s">
        <v>381</v>
      </c>
      <c r="E502" s="111" t="s">
        <v>382</v>
      </c>
      <c r="F502" s="265">
        <v>42025</v>
      </c>
      <c r="G502" s="265">
        <v>42090</v>
      </c>
      <c r="H502" s="111">
        <v>9152.5400000000009</v>
      </c>
    </row>
    <row r="503" spans="2:8">
      <c r="B503" s="111">
        <v>6</v>
      </c>
      <c r="C503" s="111">
        <v>749</v>
      </c>
      <c r="D503" s="111" t="s">
        <v>460</v>
      </c>
      <c r="E503" s="111" t="s">
        <v>448</v>
      </c>
      <c r="F503" s="265">
        <v>42033</v>
      </c>
      <c r="G503" s="265">
        <v>42068</v>
      </c>
      <c r="H503" s="111">
        <v>1129.24</v>
      </c>
    </row>
    <row r="504" spans="2:8">
      <c r="B504" s="111">
        <v>6</v>
      </c>
      <c r="C504" s="111">
        <v>747</v>
      </c>
      <c r="D504" s="111" t="s">
        <v>454</v>
      </c>
      <c r="E504" s="111" t="s">
        <v>448</v>
      </c>
      <c r="F504" s="265">
        <v>42033</v>
      </c>
      <c r="G504" s="265">
        <v>42068</v>
      </c>
      <c r="H504" s="111">
        <v>5372.36</v>
      </c>
    </row>
    <row r="505" spans="2:8">
      <c r="B505" s="111">
        <v>6</v>
      </c>
      <c r="C505" s="111">
        <v>745</v>
      </c>
      <c r="D505" s="111" t="s">
        <v>468</v>
      </c>
      <c r="E505" s="111" t="s">
        <v>382</v>
      </c>
      <c r="F505" s="265">
        <v>42033</v>
      </c>
      <c r="G505" s="265">
        <v>42066</v>
      </c>
      <c r="H505" s="111">
        <v>578.39</v>
      </c>
    </row>
    <row r="506" spans="2:8">
      <c r="B506" s="111">
        <v>6</v>
      </c>
      <c r="C506" s="111">
        <v>746</v>
      </c>
      <c r="D506" s="111" t="s">
        <v>381</v>
      </c>
      <c r="E506" s="111" t="s">
        <v>382</v>
      </c>
      <c r="F506" s="265">
        <v>42033</v>
      </c>
      <c r="G506" s="265">
        <v>42066</v>
      </c>
      <c r="H506" s="111">
        <v>578.39</v>
      </c>
    </row>
    <row r="507" spans="2:8">
      <c r="B507" s="111">
        <v>6</v>
      </c>
      <c r="C507" s="111">
        <v>748</v>
      </c>
      <c r="D507" s="111" t="s">
        <v>460</v>
      </c>
      <c r="E507" s="111" t="s">
        <v>448</v>
      </c>
      <c r="F507" s="265">
        <v>42033</v>
      </c>
      <c r="G507" s="265">
        <v>42069</v>
      </c>
      <c r="H507" s="111">
        <v>400</v>
      </c>
    </row>
    <row r="508" spans="2:8">
      <c r="B508" s="111">
        <v>6</v>
      </c>
      <c r="C508" s="111">
        <v>755</v>
      </c>
      <c r="D508" s="111" t="s">
        <v>381</v>
      </c>
      <c r="E508" s="111" t="s">
        <v>382</v>
      </c>
      <c r="F508" s="265">
        <v>42037</v>
      </c>
      <c r="G508" s="265">
        <v>42084</v>
      </c>
      <c r="H508" s="111">
        <v>1735.18</v>
      </c>
    </row>
    <row r="509" spans="2:8">
      <c r="B509" s="111">
        <v>6</v>
      </c>
      <c r="C509" s="111">
        <v>762</v>
      </c>
      <c r="D509" s="111" t="s">
        <v>454</v>
      </c>
      <c r="E509" s="111" t="s">
        <v>448</v>
      </c>
      <c r="F509" s="265">
        <v>42040</v>
      </c>
      <c r="G509" s="265">
        <v>42074</v>
      </c>
      <c r="H509" s="111">
        <v>3563.3</v>
      </c>
    </row>
    <row r="510" spans="2:8">
      <c r="B510" s="111">
        <v>6</v>
      </c>
      <c r="C510" s="111">
        <v>763</v>
      </c>
      <c r="D510" s="111" t="s">
        <v>447</v>
      </c>
      <c r="E510" s="111" t="s">
        <v>448</v>
      </c>
      <c r="F510" s="265">
        <v>42040</v>
      </c>
      <c r="G510" s="265">
        <v>42072</v>
      </c>
      <c r="H510" s="111">
        <v>2124.6</v>
      </c>
    </row>
    <row r="511" spans="2:8">
      <c r="B511" s="111">
        <v>6</v>
      </c>
      <c r="C511" s="111">
        <v>764</v>
      </c>
      <c r="D511" s="111" t="s">
        <v>447</v>
      </c>
      <c r="E511" s="111" t="s">
        <v>448</v>
      </c>
      <c r="F511" s="265">
        <v>42040</v>
      </c>
      <c r="G511" s="265">
        <v>42072</v>
      </c>
      <c r="H511" s="111">
        <v>18062.740000000002</v>
      </c>
    </row>
    <row r="512" spans="2:8">
      <c r="B512" s="111">
        <v>6</v>
      </c>
      <c r="C512" s="111">
        <v>765</v>
      </c>
      <c r="D512" s="111" t="s">
        <v>454</v>
      </c>
      <c r="E512" s="111" t="s">
        <v>448</v>
      </c>
      <c r="F512" s="265">
        <v>42041</v>
      </c>
      <c r="G512" s="265">
        <v>42074</v>
      </c>
      <c r="H512" s="111">
        <v>55971.22</v>
      </c>
    </row>
    <row r="513" spans="2:8">
      <c r="B513" s="111">
        <v>6</v>
      </c>
      <c r="C513" s="111">
        <v>767</v>
      </c>
      <c r="D513" s="111" t="s">
        <v>381</v>
      </c>
      <c r="E513" s="111" t="s">
        <v>382</v>
      </c>
      <c r="F513" s="265">
        <v>42042</v>
      </c>
      <c r="G513" s="265">
        <v>42074</v>
      </c>
      <c r="H513" s="111">
        <v>3414.41</v>
      </c>
    </row>
    <row r="514" spans="2:8">
      <c r="B514" s="111">
        <v>6</v>
      </c>
      <c r="C514" s="111">
        <v>773</v>
      </c>
      <c r="D514" s="111" t="s">
        <v>454</v>
      </c>
      <c r="E514" s="111" t="s">
        <v>448</v>
      </c>
      <c r="F514" s="265">
        <v>42053</v>
      </c>
      <c r="G514" s="265">
        <v>42080</v>
      </c>
      <c r="H514" s="111">
        <v>822.3</v>
      </c>
    </row>
    <row r="515" spans="2:8">
      <c r="B515" s="111">
        <v>6</v>
      </c>
      <c r="C515" s="111">
        <v>774</v>
      </c>
      <c r="D515" s="111" t="s">
        <v>454</v>
      </c>
      <c r="E515" s="111" t="s">
        <v>448</v>
      </c>
      <c r="F515" s="265">
        <v>42053</v>
      </c>
      <c r="G515" s="265">
        <v>42080</v>
      </c>
      <c r="H515" s="111">
        <v>1096.4000000000001</v>
      </c>
    </row>
    <row r="516" spans="2:8">
      <c r="B516" s="111">
        <v>6</v>
      </c>
      <c r="C516" s="111">
        <v>775</v>
      </c>
      <c r="D516" s="111" t="s">
        <v>381</v>
      </c>
      <c r="E516" s="111" t="s">
        <v>382</v>
      </c>
      <c r="F516" s="265">
        <v>42054</v>
      </c>
      <c r="G516" s="265">
        <v>42073</v>
      </c>
      <c r="H516" s="111">
        <v>7014.41</v>
      </c>
    </row>
    <row r="517" spans="2:8">
      <c r="B517" s="111">
        <v>6</v>
      </c>
      <c r="C517" s="111">
        <v>776</v>
      </c>
      <c r="D517" s="111" t="s">
        <v>381</v>
      </c>
      <c r="E517" s="111" t="s">
        <v>382</v>
      </c>
      <c r="F517" s="265">
        <v>42055</v>
      </c>
      <c r="G517" s="265">
        <v>42090</v>
      </c>
      <c r="H517" s="111">
        <v>7355.93</v>
      </c>
    </row>
    <row r="518" spans="2:8">
      <c r="B518" s="111">
        <v>6</v>
      </c>
      <c r="C518" s="111">
        <v>781</v>
      </c>
      <c r="D518" s="111" t="s">
        <v>401</v>
      </c>
      <c r="E518" s="111" t="s">
        <v>380</v>
      </c>
      <c r="F518" s="265">
        <v>42058</v>
      </c>
      <c r="G518" s="265">
        <v>42066</v>
      </c>
      <c r="H518" s="111">
        <v>4152.54</v>
      </c>
    </row>
    <row r="519" spans="2:8">
      <c r="B519" s="111">
        <v>6</v>
      </c>
      <c r="C519" s="111">
        <v>779</v>
      </c>
      <c r="D519" s="111" t="s">
        <v>447</v>
      </c>
      <c r="E519" s="111" t="s">
        <v>448</v>
      </c>
      <c r="F519" s="265">
        <v>42058</v>
      </c>
      <c r="G519" s="265">
        <v>42088</v>
      </c>
      <c r="H519" s="111">
        <v>4337.1000000000004</v>
      </c>
    </row>
    <row r="520" spans="2:8">
      <c r="B520" s="111">
        <v>6</v>
      </c>
      <c r="C520" s="111">
        <v>780</v>
      </c>
      <c r="D520" s="111" t="s">
        <v>447</v>
      </c>
      <c r="E520" s="111" t="s">
        <v>448</v>
      </c>
      <c r="F520" s="265">
        <v>42058</v>
      </c>
      <c r="G520" s="265">
        <v>42088</v>
      </c>
      <c r="H520" s="111">
        <v>8145.81</v>
      </c>
    </row>
    <row r="521" spans="2:8">
      <c r="B521" s="111">
        <v>6</v>
      </c>
      <c r="C521" s="111">
        <v>783</v>
      </c>
      <c r="D521" s="111" t="s">
        <v>447</v>
      </c>
      <c r="E521" s="111" t="s">
        <v>448</v>
      </c>
      <c r="F521" s="265">
        <v>42060</v>
      </c>
      <c r="G521" s="265">
        <v>42090</v>
      </c>
      <c r="H521" s="111">
        <v>4847.5</v>
      </c>
    </row>
    <row r="522" spans="2:8">
      <c r="B522" s="111">
        <v>6</v>
      </c>
      <c r="C522" s="111">
        <v>782</v>
      </c>
      <c r="D522" s="111" t="s">
        <v>447</v>
      </c>
      <c r="E522" s="111" t="s">
        <v>448</v>
      </c>
      <c r="F522" s="265">
        <v>42060</v>
      </c>
      <c r="G522" s="265">
        <v>42090</v>
      </c>
      <c r="H522" s="111">
        <v>248.3</v>
      </c>
    </row>
    <row r="523" spans="2:8">
      <c r="B523" s="111">
        <v>6</v>
      </c>
      <c r="C523" s="111">
        <v>784</v>
      </c>
      <c r="D523" s="111" t="s">
        <v>447</v>
      </c>
      <c r="E523" s="111" t="s">
        <v>448</v>
      </c>
      <c r="F523" s="265">
        <v>42060</v>
      </c>
      <c r="G523" s="265">
        <v>42090</v>
      </c>
      <c r="H523" s="111">
        <v>6237.6</v>
      </c>
    </row>
    <row r="524" spans="2:8">
      <c r="B524" s="111">
        <v>6</v>
      </c>
      <c r="C524" s="111">
        <v>785</v>
      </c>
      <c r="D524" s="111" t="s">
        <v>453</v>
      </c>
      <c r="E524" s="111" t="s">
        <v>448</v>
      </c>
      <c r="F524" s="265">
        <v>42061</v>
      </c>
      <c r="G524" s="265">
        <v>42074</v>
      </c>
      <c r="H524" s="111">
        <v>1677.97</v>
      </c>
    </row>
    <row r="525" spans="2:8">
      <c r="B525" s="111">
        <v>6</v>
      </c>
      <c r="C525" s="111">
        <v>786</v>
      </c>
      <c r="D525" s="111" t="s">
        <v>381</v>
      </c>
      <c r="E525" s="111" t="s">
        <v>382</v>
      </c>
      <c r="F525" s="265">
        <v>42061</v>
      </c>
      <c r="G525" s="265">
        <v>42082</v>
      </c>
      <c r="H525" s="111">
        <v>2117.37</v>
      </c>
    </row>
    <row r="526" spans="2:8">
      <c r="B526" s="111">
        <v>6</v>
      </c>
      <c r="C526" s="111">
        <v>787</v>
      </c>
      <c r="D526" s="111" t="s">
        <v>454</v>
      </c>
      <c r="E526" s="111" t="s">
        <v>448</v>
      </c>
      <c r="F526" s="265">
        <v>42062</v>
      </c>
      <c r="G526" s="265">
        <v>42094</v>
      </c>
      <c r="H526" s="111">
        <v>548.20000000000005</v>
      </c>
    </row>
    <row r="527" spans="2:8">
      <c r="B527" s="111">
        <v>6</v>
      </c>
      <c r="C527" s="111">
        <v>788</v>
      </c>
      <c r="D527" s="111" t="s">
        <v>454</v>
      </c>
      <c r="E527" s="111" t="s">
        <v>448</v>
      </c>
      <c r="F527" s="265">
        <v>42062</v>
      </c>
      <c r="G527" s="265">
        <v>42094</v>
      </c>
      <c r="H527" s="111">
        <v>54326.62</v>
      </c>
    </row>
    <row r="528" spans="2:8">
      <c r="B528" s="111">
        <v>6</v>
      </c>
      <c r="C528" s="111">
        <v>790</v>
      </c>
      <c r="D528" s="111" t="s">
        <v>453</v>
      </c>
      <c r="E528" s="111" t="s">
        <v>448</v>
      </c>
      <c r="F528" s="265">
        <v>42066</v>
      </c>
      <c r="G528" s="265">
        <v>42080</v>
      </c>
      <c r="H528" s="111">
        <v>1618.64</v>
      </c>
    </row>
    <row r="529" spans="2:15">
      <c r="B529" s="111">
        <v>6</v>
      </c>
      <c r="C529" s="111">
        <v>800</v>
      </c>
      <c r="D529" s="111" t="s">
        <v>453</v>
      </c>
      <c r="E529" s="111" t="s">
        <v>448</v>
      </c>
      <c r="F529" s="265">
        <v>42072</v>
      </c>
      <c r="G529" s="265">
        <v>42084</v>
      </c>
      <c r="H529" s="111">
        <v>1074.58</v>
      </c>
    </row>
    <row r="530" spans="2:15">
      <c r="B530" s="111">
        <v>6</v>
      </c>
      <c r="C530" s="111">
        <v>799</v>
      </c>
      <c r="D530" s="111" t="s">
        <v>453</v>
      </c>
      <c r="E530" s="111" t="s">
        <v>448</v>
      </c>
      <c r="F530" s="265">
        <v>42072</v>
      </c>
      <c r="G530" s="265">
        <v>42084</v>
      </c>
      <c r="H530" s="111">
        <v>381.36</v>
      </c>
    </row>
    <row r="531" spans="2:15">
      <c r="B531" s="111">
        <v>6</v>
      </c>
      <c r="C531" s="111">
        <v>810</v>
      </c>
      <c r="D531" s="111" t="s">
        <v>453</v>
      </c>
      <c r="E531" s="111" t="s">
        <v>448</v>
      </c>
      <c r="F531" s="265">
        <v>42081</v>
      </c>
      <c r="G531" s="265">
        <v>42089</v>
      </c>
      <c r="H531" s="111">
        <v>5604.58</v>
      </c>
    </row>
    <row r="532" spans="2:15">
      <c r="B532" s="111">
        <v>6</v>
      </c>
      <c r="C532" s="111">
        <v>812</v>
      </c>
      <c r="D532" s="111" t="s">
        <v>453</v>
      </c>
      <c r="E532" s="111" t="s">
        <v>448</v>
      </c>
      <c r="F532" s="265">
        <v>42082</v>
      </c>
      <c r="G532" s="265">
        <v>42093</v>
      </c>
      <c r="H532" s="111">
        <v>1127.1199999999999</v>
      </c>
    </row>
    <row r="533" spans="2:15">
      <c r="H533" s="29">
        <f>SUM(H496:H532)</f>
        <v>254917.70999999996</v>
      </c>
      <c r="I533" s="29">
        <f>H533*1.18</f>
        <v>300802.89779999992</v>
      </c>
    </row>
    <row r="538" spans="2:15">
      <c r="B538" s="59"/>
      <c r="C538" s="59"/>
      <c r="D538" s="59" t="s">
        <v>486</v>
      </c>
      <c r="E538" s="59"/>
      <c r="F538" s="59"/>
      <c r="G538" s="59"/>
      <c r="H538" s="59"/>
    </row>
    <row r="539" spans="2:15">
      <c r="B539" s="264" t="s">
        <v>385</v>
      </c>
      <c r="C539" s="264" t="s">
        <v>479</v>
      </c>
      <c r="D539" s="264" t="s">
        <v>371</v>
      </c>
      <c r="E539" s="264" t="s">
        <v>480</v>
      </c>
      <c r="F539" s="264" t="s">
        <v>386</v>
      </c>
      <c r="G539" s="264" t="s">
        <v>481</v>
      </c>
      <c r="H539" s="264" t="s">
        <v>14</v>
      </c>
    </row>
    <row r="540" spans="2:15">
      <c r="B540" s="111">
        <v>6</v>
      </c>
      <c r="C540" s="111">
        <v>791</v>
      </c>
      <c r="D540" s="111" t="s">
        <v>379</v>
      </c>
      <c r="E540" s="111" t="s">
        <v>380</v>
      </c>
      <c r="F540" s="265">
        <v>42066</v>
      </c>
      <c r="G540" s="265"/>
      <c r="H540" s="266">
        <v>4712.54</v>
      </c>
      <c r="J540" s="274"/>
      <c r="K540" s="274"/>
      <c r="L540" s="274">
        <v>848.26</v>
      </c>
      <c r="M540" s="274">
        <v>5560.8</v>
      </c>
      <c r="N540" s="274">
        <v>0</v>
      </c>
      <c r="O540" s="274">
        <v>57</v>
      </c>
    </row>
    <row r="541" spans="2:15">
      <c r="B541" s="111">
        <v>6</v>
      </c>
      <c r="C541" s="111">
        <v>792</v>
      </c>
      <c r="D541" s="111" t="s">
        <v>455</v>
      </c>
      <c r="E541" s="111" t="s">
        <v>450</v>
      </c>
      <c r="F541" s="265">
        <v>42066</v>
      </c>
      <c r="G541" s="265"/>
      <c r="H541" s="266">
        <v>12711.86</v>
      </c>
      <c r="L541" s="29">
        <v>2288.14</v>
      </c>
      <c r="M541" s="29">
        <v>15000</v>
      </c>
      <c r="N541" s="29">
        <v>0</v>
      </c>
      <c r="O541" s="29">
        <v>18</v>
      </c>
    </row>
    <row r="542" spans="2:15">
      <c r="B542" s="111">
        <v>6</v>
      </c>
      <c r="C542" s="111">
        <v>790</v>
      </c>
      <c r="D542" s="111" t="s">
        <v>453</v>
      </c>
      <c r="E542" s="111" t="s">
        <v>448</v>
      </c>
      <c r="F542" s="265">
        <v>42066</v>
      </c>
      <c r="G542" s="265">
        <v>42080</v>
      </c>
      <c r="H542" s="266">
        <v>1618.64</v>
      </c>
      <c r="L542" s="29">
        <v>291.36</v>
      </c>
      <c r="M542" s="29">
        <v>1910</v>
      </c>
      <c r="N542" s="29">
        <v>0</v>
      </c>
      <c r="O542" s="29">
        <v>18</v>
      </c>
    </row>
    <row r="543" spans="2:15">
      <c r="B543" s="111">
        <v>6</v>
      </c>
      <c r="C543" s="111">
        <v>793</v>
      </c>
      <c r="D543" s="111" t="s">
        <v>454</v>
      </c>
      <c r="E543" s="111" t="s">
        <v>448</v>
      </c>
      <c r="F543" s="265">
        <v>42067</v>
      </c>
      <c r="G543" s="265"/>
      <c r="H543" s="266">
        <v>5200</v>
      </c>
      <c r="I543" s="29" t="s">
        <v>487</v>
      </c>
      <c r="L543" s="29">
        <v>936</v>
      </c>
      <c r="M543" s="29">
        <v>6136</v>
      </c>
      <c r="N543" s="29">
        <v>0</v>
      </c>
      <c r="O543" s="29">
        <v>18</v>
      </c>
    </row>
    <row r="544" spans="2:15">
      <c r="B544" s="111">
        <v>6</v>
      </c>
      <c r="C544" s="111">
        <v>794</v>
      </c>
      <c r="D544" s="111" t="s">
        <v>447</v>
      </c>
      <c r="E544" s="111" t="s">
        <v>448</v>
      </c>
      <c r="F544" s="265">
        <v>42068</v>
      </c>
      <c r="G544" s="265"/>
      <c r="H544" s="266">
        <v>5473.52</v>
      </c>
      <c r="L544" s="29">
        <v>985.23</v>
      </c>
      <c r="M544" s="29">
        <v>6458.75</v>
      </c>
      <c r="N544" s="29">
        <v>0</v>
      </c>
      <c r="O544" s="29">
        <v>18</v>
      </c>
    </row>
    <row r="545" spans="2:15">
      <c r="B545" s="111">
        <v>6</v>
      </c>
      <c r="C545" s="111">
        <v>795</v>
      </c>
      <c r="D545" s="111" t="s">
        <v>447</v>
      </c>
      <c r="E545" s="111" t="s">
        <v>448</v>
      </c>
      <c r="F545" s="265">
        <v>42068</v>
      </c>
      <c r="G545" s="265"/>
      <c r="H545" s="266">
        <v>160</v>
      </c>
      <c r="L545" s="29">
        <v>28.8</v>
      </c>
      <c r="M545" s="29">
        <v>188.8</v>
      </c>
      <c r="N545" s="29">
        <v>0</v>
      </c>
      <c r="O545" s="29">
        <v>18</v>
      </c>
    </row>
    <row r="546" spans="2:15">
      <c r="B546" s="111">
        <v>6</v>
      </c>
      <c r="C546" s="111">
        <v>796</v>
      </c>
      <c r="D546" s="111" t="s">
        <v>447</v>
      </c>
      <c r="E546" s="111" t="s">
        <v>448</v>
      </c>
      <c r="F546" s="265">
        <v>42068</v>
      </c>
      <c r="G546" s="265"/>
      <c r="H546" s="266">
        <v>1273.68</v>
      </c>
      <c r="L546" s="29">
        <v>229.26</v>
      </c>
      <c r="M546" s="29">
        <v>1502.94</v>
      </c>
      <c r="N546" s="29">
        <v>0</v>
      </c>
      <c r="O546" s="29">
        <v>18</v>
      </c>
    </row>
    <row r="547" spans="2:15">
      <c r="B547" s="111">
        <v>6</v>
      </c>
      <c r="C547" s="111">
        <v>800</v>
      </c>
      <c r="D547" s="111" t="s">
        <v>453</v>
      </c>
      <c r="E547" s="111" t="s">
        <v>448</v>
      </c>
      <c r="F547" s="265">
        <v>42072</v>
      </c>
      <c r="G547" s="265">
        <v>42084</v>
      </c>
      <c r="H547" s="266">
        <v>1074.58</v>
      </c>
      <c r="L547" s="29">
        <v>193.42</v>
      </c>
      <c r="M547" s="29">
        <v>1268</v>
      </c>
      <c r="N547" s="29">
        <v>0</v>
      </c>
      <c r="O547" s="29">
        <v>18</v>
      </c>
    </row>
    <row r="548" spans="2:15">
      <c r="B548" s="111">
        <v>6</v>
      </c>
      <c r="C548" s="111">
        <v>799</v>
      </c>
      <c r="D548" s="111" t="s">
        <v>453</v>
      </c>
      <c r="E548" s="111" t="s">
        <v>448</v>
      </c>
      <c r="F548" s="265">
        <v>42072</v>
      </c>
      <c r="G548" s="265">
        <v>42084</v>
      </c>
      <c r="H548" s="266">
        <v>381.36</v>
      </c>
      <c r="L548" s="29">
        <v>68.64</v>
      </c>
      <c r="M548" s="29">
        <v>450</v>
      </c>
      <c r="N548" s="29">
        <v>0</v>
      </c>
      <c r="O548" s="29">
        <v>18</v>
      </c>
    </row>
    <row r="549" spans="2:15">
      <c r="B549" s="111">
        <v>6</v>
      </c>
      <c r="C549" s="111">
        <v>797</v>
      </c>
      <c r="D549" s="111" t="s">
        <v>467</v>
      </c>
      <c r="E549" s="111" t="s">
        <v>448</v>
      </c>
      <c r="F549" s="265">
        <v>42072</v>
      </c>
      <c r="G549" s="265"/>
      <c r="H549" s="266">
        <v>2869.49</v>
      </c>
      <c r="J549" s="274"/>
      <c r="K549" s="274"/>
      <c r="L549" s="274">
        <v>516.51</v>
      </c>
      <c r="M549" s="274">
        <v>3386</v>
      </c>
      <c r="N549" s="274">
        <v>0</v>
      </c>
      <c r="O549" s="274">
        <v>51</v>
      </c>
    </row>
    <row r="550" spans="2:15">
      <c r="B550" s="111">
        <v>6</v>
      </c>
      <c r="C550" s="111">
        <v>801</v>
      </c>
      <c r="D550" s="111" t="s">
        <v>454</v>
      </c>
      <c r="E550" s="111" t="s">
        <v>448</v>
      </c>
      <c r="F550" s="265">
        <v>42075</v>
      </c>
      <c r="G550" s="265"/>
      <c r="H550" s="266">
        <v>24120.799999999999</v>
      </c>
      <c r="I550" s="29" t="s">
        <v>487</v>
      </c>
      <c r="L550" s="29">
        <v>4341.74</v>
      </c>
      <c r="M550" s="29">
        <v>28462.54</v>
      </c>
      <c r="N550" s="29">
        <v>0</v>
      </c>
      <c r="O550" s="29">
        <v>18</v>
      </c>
    </row>
    <row r="551" spans="2:15">
      <c r="B551" s="111">
        <v>6</v>
      </c>
      <c r="C551" s="111">
        <v>802</v>
      </c>
      <c r="D551" s="111" t="s">
        <v>454</v>
      </c>
      <c r="E551" s="111" t="s">
        <v>448</v>
      </c>
      <c r="F551" s="265">
        <v>42075</v>
      </c>
      <c r="G551" s="265"/>
      <c r="H551" s="266">
        <v>25491.3</v>
      </c>
      <c r="I551" s="29" t="s">
        <v>487</v>
      </c>
      <c r="L551" s="29">
        <v>4588.43</v>
      </c>
      <c r="M551" s="29">
        <v>30079.73</v>
      </c>
      <c r="N551" s="29">
        <v>0</v>
      </c>
      <c r="O551" s="29">
        <v>18</v>
      </c>
    </row>
    <row r="552" spans="2:15">
      <c r="B552" s="111">
        <v>6</v>
      </c>
      <c r="C552" s="111">
        <v>804</v>
      </c>
      <c r="D552" s="111" t="s">
        <v>454</v>
      </c>
      <c r="E552" s="111" t="s">
        <v>448</v>
      </c>
      <c r="F552" s="265">
        <v>42075</v>
      </c>
      <c r="G552" s="265"/>
      <c r="H552" s="266">
        <v>2850.64</v>
      </c>
      <c r="I552" s="29" t="s">
        <v>487</v>
      </c>
      <c r="L552" s="29">
        <v>513.12</v>
      </c>
      <c r="M552" s="29">
        <v>3363.76</v>
      </c>
      <c r="N552" s="29">
        <v>0</v>
      </c>
      <c r="O552" s="29">
        <v>18</v>
      </c>
    </row>
    <row r="553" spans="2:15">
      <c r="B553" s="111">
        <v>6</v>
      </c>
      <c r="C553" s="111">
        <v>803</v>
      </c>
      <c r="D553" s="111" t="s">
        <v>454</v>
      </c>
      <c r="E553" s="111" t="s">
        <v>448</v>
      </c>
      <c r="F553" s="265">
        <v>42075</v>
      </c>
      <c r="G553" s="265"/>
      <c r="H553" s="266">
        <v>15568.88</v>
      </c>
      <c r="I553" s="29" t="s">
        <v>487</v>
      </c>
      <c r="L553" s="29">
        <v>2802.4</v>
      </c>
      <c r="M553" s="29">
        <v>18371.28</v>
      </c>
      <c r="N553" s="29">
        <v>0</v>
      </c>
      <c r="O553" s="29">
        <v>18</v>
      </c>
    </row>
    <row r="554" spans="2:15">
      <c r="B554" s="111">
        <v>6</v>
      </c>
      <c r="C554" s="111">
        <v>808</v>
      </c>
      <c r="D554" s="111" t="s">
        <v>454</v>
      </c>
      <c r="E554" s="111" t="s">
        <v>448</v>
      </c>
      <c r="F554" s="265">
        <v>42080</v>
      </c>
      <c r="G554" s="265"/>
      <c r="H554" s="266">
        <v>1000</v>
      </c>
      <c r="I554" s="29" t="s">
        <v>487</v>
      </c>
      <c r="L554" s="29">
        <v>180</v>
      </c>
      <c r="M554" s="29">
        <v>1180</v>
      </c>
      <c r="N554" s="29">
        <v>0</v>
      </c>
      <c r="O554" s="29">
        <v>18</v>
      </c>
    </row>
    <row r="555" spans="2:15">
      <c r="B555" s="111">
        <v>6</v>
      </c>
      <c r="C555" s="111">
        <v>807</v>
      </c>
      <c r="D555" s="111" t="s">
        <v>447</v>
      </c>
      <c r="E555" s="111" t="s">
        <v>448</v>
      </c>
      <c r="F555" s="265">
        <v>42080</v>
      </c>
      <c r="G555" s="265"/>
      <c r="H555" s="266">
        <v>8927.57</v>
      </c>
      <c r="L555" s="29">
        <v>1606.96</v>
      </c>
      <c r="M555" s="29">
        <v>10534.53</v>
      </c>
      <c r="N555" s="29">
        <v>0</v>
      </c>
      <c r="O555" s="29">
        <v>18</v>
      </c>
    </row>
    <row r="556" spans="2:15">
      <c r="B556" s="111">
        <v>6</v>
      </c>
      <c r="C556" s="111">
        <v>809</v>
      </c>
      <c r="D556" s="111" t="s">
        <v>454</v>
      </c>
      <c r="E556" s="111" t="s">
        <v>448</v>
      </c>
      <c r="F556" s="265">
        <v>42080</v>
      </c>
      <c r="G556" s="265"/>
      <c r="H556" s="266">
        <v>822.3</v>
      </c>
      <c r="I556" s="29" t="s">
        <v>487</v>
      </c>
      <c r="L556" s="29">
        <v>148.01</v>
      </c>
      <c r="M556" s="29">
        <v>970.31</v>
      </c>
      <c r="N556" s="29">
        <v>0</v>
      </c>
      <c r="O556" s="29">
        <v>18</v>
      </c>
    </row>
    <row r="557" spans="2:15">
      <c r="B557" s="111">
        <v>6</v>
      </c>
      <c r="C557" s="111">
        <v>811</v>
      </c>
      <c r="D557" s="111" t="s">
        <v>460</v>
      </c>
      <c r="E557" s="111" t="s">
        <v>448</v>
      </c>
      <c r="F557" s="265">
        <v>42081</v>
      </c>
      <c r="G557" s="265"/>
      <c r="H557" s="266">
        <v>98.31</v>
      </c>
      <c r="L557" s="29">
        <v>17.690000000000001</v>
      </c>
      <c r="M557" s="29">
        <v>116</v>
      </c>
      <c r="N557" s="29">
        <v>0</v>
      </c>
      <c r="O557" s="29">
        <v>18</v>
      </c>
    </row>
    <row r="558" spans="2:15">
      <c r="B558" s="111">
        <v>6</v>
      </c>
      <c r="C558" s="111">
        <v>810</v>
      </c>
      <c r="D558" s="111" t="s">
        <v>453</v>
      </c>
      <c r="E558" s="111" t="s">
        <v>448</v>
      </c>
      <c r="F558" s="265">
        <v>42081</v>
      </c>
      <c r="G558" s="265">
        <v>42089</v>
      </c>
      <c r="H558" s="266">
        <v>5604.58</v>
      </c>
      <c r="L558" s="29">
        <v>913.42</v>
      </c>
      <c r="M558" s="29">
        <v>6518</v>
      </c>
      <c r="N558" s="29">
        <v>0</v>
      </c>
      <c r="O558" s="29">
        <v>18</v>
      </c>
    </row>
    <row r="559" spans="2:15">
      <c r="B559" s="111">
        <v>6</v>
      </c>
      <c r="C559" s="111">
        <v>815</v>
      </c>
      <c r="D559" s="111" t="s">
        <v>454</v>
      </c>
      <c r="E559" s="111" t="s">
        <v>448</v>
      </c>
      <c r="F559" s="265">
        <v>42083</v>
      </c>
      <c r="G559" s="265"/>
      <c r="H559" s="266">
        <v>480</v>
      </c>
      <c r="I559" s="29" t="s">
        <v>487</v>
      </c>
      <c r="L559" s="29">
        <v>86.4</v>
      </c>
      <c r="M559" s="29">
        <v>566.4</v>
      </c>
      <c r="N559" s="29">
        <v>0</v>
      </c>
      <c r="O559" s="29">
        <v>18</v>
      </c>
    </row>
    <row r="560" spans="2:15">
      <c r="B560" s="111">
        <v>6</v>
      </c>
      <c r="C560" s="111">
        <v>817</v>
      </c>
      <c r="D560" s="111" t="s">
        <v>381</v>
      </c>
      <c r="E560" s="111" t="s">
        <v>382</v>
      </c>
      <c r="F560" s="265">
        <v>42083</v>
      </c>
      <c r="G560" s="265"/>
      <c r="H560" s="266">
        <v>2679.66</v>
      </c>
      <c r="L560" s="29">
        <v>482.34</v>
      </c>
      <c r="M560" s="29">
        <v>3162</v>
      </c>
      <c r="N560" s="29">
        <v>0</v>
      </c>
      <c r="O560" s="29">
        <v>18</v>
      </c>
    </row>
    <row r="561" spans="2:15">
      <c r="B561" s="111">
        <v>6</v>
      </c>
      <c r="C561" s="111">
        <v>812</v>
      </c>
      <c r="D561" s="111" t="s">
        <v>453</v>
      </c>
      <c r="E561" s="111" t="s">
        <v>448</v>
      </c>
      <c r="F561" s="265">
        <v>42082</v>
      </c>
      <c r="G561" s="265">
        <v>42093</v>
      </c>
      <c r="H561" s="266">
        <v>1127.1199999999999</v>
      </c>
      <c r="L561" s="29">
        <v>202.88</v>
      </c>
      <c r="M561" s="29">
        <v>1330</v>
      </c>
      <c r="N561" s="29">
        <v>0</v>
      </c>
      <c r="O561" s="29">
        <v>18</v>
      </c>
    </row>
    <row r="562" spans="2:15">
      <c r="B562" s="111">
        <v>6</v>
      </c>
      <c r="C562" s="111">
        <v>814</v>
      </c>
      <c r="D562" s="111" t="s">
        <v>460</v>
      </c>
      <c r="E562" s="111" t="s">
        <v>448</v>
      </c>
      <c r="F562" s="265">
        <v>42083</v>
      </c>
      <c r="G562" s="265"/>
      <c r="H562" s="266">
        <v>1084.75</v>
      </c>
      <c r="L562" s="29">
        <v>195.25</v>
      </c>
      <c r="M562" s="29">
        <v>1280</v>
      </c>
      <c r="N562" s="29">
        <v>0</v>
      </c>
      <c r="O562" s="29">
        <v>18</v>
      </c>
    </row>
    <row r="563" spans="2:15">
      <c r="B563" s="111">
        <v>6</v>
      </c>
      <c r="C563" s="111">
        <v>816</v>
      </c>
      <c r="D563" s="111" t="s">
        <v>460</v>
      </c>
      <c r="E563" s="111" t="s">
        <v>448</v>
      </c>
      <c r="F563" s="265">
        <v>42083</v>
      </c>
      <c r="G563" s="265"/>
      <c r="H563" s="266">
        <v>1355.93</v>
      </c>
      <c r="L563" s="29">
        <v>244.07</v>
      </c>
      <c r="M563" s="29">
        <v>1600</v>
      </c>
      <c r="N563" s="29">
        <v>0</v>
      </c>
      <c r="O563" s="29">
        <v>18</v>
      </c>
    </row>
    <row r="564" spans="2:15">
      <c r="B564" s="111">
        <v>6</v>
      </c>
      <c r="C564" s="111">
        <v>821</v>
      </c>
      <c r="D564" s="111" t="s">
        <v>447</v>
      </c>
      <c r="E564" s="111" t="s">
        <v>448</v>
      </c>
      <c r="F564" s="265">
        <v>42086</v>
      </c>
      <c r="G564" s="265"/>
      <c r="H564" s="266">
        <v>3739.2</v>
      </c>
      <c r="L564" s="29">
        <v>673.06</v>
      </c>
      <c r="M564" s="29">
        <v>4412.26</v>
      </c>
      <c r="N564" s="29">
        <v>0</v>
      </c>
      <c r="O564" s="29">
        <v>18</v>
      </c>
    </row>
    <row r="565" spans="2:15">
      <c r="B565" s="111">
        <v>6</v>
      </c>
      <c r="C565" s="111">
        <v>822</v>
      </c>
      <c r="D565" s="111" t="s">
        <v>447</v>
      </c>
      <c r="E565" s="111" t="s">
        <v>448</v>
      </c>
      <c r="F565" s="265">
        <v>42086</v>
      </c>
      <c r="G565" s="265"/>
      <c r="H565" s="266">
        <v>1281.2</v>
      </c>
      <c r="L565" s="29">
        <v>230.62</v>
      </c>
      <c r="M565" s="29">
        <v>1511.82</v>
      </c>
      <c r="N565" s="29">
        <v>0</v>
      </c>
      <c r="O565" s="29">
        <v>18</v>
      </c>
    </row>
    <row r="566" spans="2:15">
      <c r="B566" s="111">
        <v>6</v>
      </c>
      <c r="C566" s="111">
        <v>824</v>
      </c>
      <c r="D566" s="111" t="s">
        <v>454</v>
      </c>
      <c r="E566" s="111" t="s">
        <v>448</v>
      </c>
      <c r="F566" s="265">
        <v>42086</v>
      </c>
      <c r="G566" s="265"/>
      <c r="H566" s="266">
        <v>10964</v>
      </c>
      <c r="I566" s="29" t="s">
        <v>487</v>
      </c>
      <c r="L566" s="29">
        <v>1973.52</v>
      </c>
      <c r="M566" s="29">
        <v>12937.52</v>
      </c>
      <c r="N566" s="29">
        <v>0</v>
      </c>
      <c r="O566" s="29">
        <v>18</v>
      </c>
    </row>
    <row r="567" spans="2:15">
      <c r="B567" s="111">
        <v>6</v>
      </c>
      <c r="C567" s="111">
        <v>823</v>
      </c>
      <c r="D567" s="111" t="s">
        <v>447</v>
      </c>
      <c r="E567" s="111" t="s">
        <v>448</v>
      </c>
      <c r="F567" s="265">
        <v>42086</v>
      </c>
      <c r="G567" s="265"/>
      <c r="H567" s="266">
        <v>317.75</v>
      </c>
      <c r="L567" s="29">
        <v>57.2</v>
      </c>
      <c r="M567" s="29">
        <v>374.95</v>
      </c>
      <c r="N567" s="29">
        <v>0</v>
      </c>
      <c r="O567" s="29">
        <v>18</v>
      </c>
    </row>
    <row r="568" spans="2:15">
      <c r="B568" s="111">
        <v>6</v>
      </c>
      <c r="C568" s="111">
        <v>825</v>
      </c>
      <c r="D568" s="111" t="s">
        <v>381</v>
      </c>
      <c r="E568" s="111" t="s">
        <v>382</v>
      </c>
      <c r="F568" s="265">
        <v>42087</v>
      </c>
      <c r="G568" s="265"/>
      <c r="H568" s="266">
        <v>9355.93</v>
      </c>
      <c r="J568" s="274"/>
      <c r="K568" s="274"/>
      <c r="L568" s="274">
        <v>1684.07</v>
      </c>
      <c r="M568" s="274">
        <v>11040</v>
      </c>
      <c r="N568" s="274">
        <v>0</v>
      </c>
      <c r="O568" s="274">
        <v>51</v>
      </c>
    </row>
    <row r="569" spans="2:15">
      <c r="B569" s="111">
        <v>6</v>
      </c>
      <c r="C569" s="111">
        <v>827</v>
      </c>
      <c r="D569" s="111" t="s">
        <v>488</v>
      </c>
      <c r="E569" s="111" t="s">
        <v>450</v>
      </c>
      <c r="F569" s="265">
        <v>42088</v>
      </c>
      <c r="G569" s="265"/>
      <c r="H569" s="266">
        <v>305.08</v>
      </c>
      <c r="L569" s="29">
        <v>54.92</v>
      </c>
      <c r="M569" s="29">
        <v>360</v>
      </c>
      <c r="N569" s="29">
        <v>0</v>
      </c>
      <c r="O569" s="29">
        <v>18</v>
      </c>
    </row>
    <row r="570" spans="2:15">
      <c r="B570" s="111">
        <v>6</v>
      </c>
      <c r="C570" s="111">
        <v>828</v>
      </c>
      <c r="D570" s="111" t="s">
        <v>381</v>
      </c>
      <c r="E570" s="111" t="s">
        <v>382</v>
      </c>
      <c r="F570" s="265">
        <v>42091</v>
      </c>
      <c r="G570" s="265"/>
      <c r="H570" s="266">
        <v>1207.6300000000001</v>
      </c>
      <c r="L570" s="29">
        <v>217.37</v>
      </c>
      <c r="M570" s="29">
        <v>1425</v>
      </c>
      <c r="N570" s="29">
        <v>0</v>
      </c>
      <c r="O570" s="29">
        <v>51</v>
      </c>
    </row>
    <row r="571" spans="2:15">
      <c r="B571" s="111">
        <v>6</v>
      </c>
      <c r="C571" s="111">
        <v>835</v>
      </c>
      <c r="D571" s="111" t="s">
        <v>454</v>
      </c>
      <c r="E571" s="111" t="s">
        <v>448</v>
      </c>
      <c r="F571" s="265">
        <v>42094</v>
      </c>
      <c r="G571" s="265"/>
      <c r="H571" s="266">
        <v>54600.72</v>
      </c>
      <c r="I571" s="29" t="s">
        <v>487</v>
      </c>
      <c r="L571" s="29">
        <v>9828.1299999999992</v>
      </c>
      <c r="M571" s="29">
        <v>64428.85</v>
      </c>
      <c r="N571" s="29">
        <v>0</v>
      </c>
      <c r="O571" s="29">
        <v>18</v>
      </c>
    </row>
    <row r="572" spans="2:15">
      <c r="B572" s="111">
        <v>6</v>
      </c>
      <c r="C572" s="111">
        <v>829</v>
      </c>
      <c r="D572" s="111" t="s">
        <v>447</v>
      </c>
      <c r="E572" s="111" t="s">
        <v>448</v>
      </c>
      <c r="F572" s="265">
        <v>42093</v>
      </c>
      <c r="G572" s="265"/>
      <c r="H572" s="266">
        <v>3203.82</v>
      </c>
      <c r="L572" s="29">
        <v>576.69000000000005</v>
      </c>
      <c r="M572" s="29">
        <v>3780.51</v>
      </c>
      <c r="N572" s="29">
        <v>0</v>
      </c>
      <c r="O572" s="29">
        <v>18</v>
      </c>
    </row>
    <row r="573" spans="2:15">
      <c r="B573" s="111">
        <v>6</v>
      </c>
      <c r="C573" s="111">
        <v>830</v>
      </c>
      <c r="D573" s="111" t="s">
        <v>381</v>
      </c>
      <c r="E573" s="111" t="s">
        <v>382</v>
      </c>
      <c r="F573" s="265">
        <v>42093</v>
      </c>
      <c r="G573" s="265"/>
      <c r="H573" s="266">
        <v>1019.49</v>
      </c>
      <c r="L573" s="29">
        <v>183.51</v>
      </c>
      <c r="M573" s="29">
        <v>1203</v>
      </c>
      <c r="N573" s="29">
        <v>0</v>
      </c>
      <c r="O573" s="29">
        <v>18</v>
      </c>
    </row>
    <row r="574" spans="2:15">
      <c r="B574" s="111">
        <v>6</v>
      </c>
      <c r="C574" s="111">
        <v>831</v>
      </c>
      <c r="D574" s="111" t="s">
        <v>447</v>
      </c>
      <c r="E574" s="111" t="s">
        <v>448</v>
      </c>
      <c r="F574" s="265">
        <v>42094</v>
      </c>
      <c r="G574" s="265"/>
      <c r="H574" s="266">
        <v>2106.6</v>
      </c>
      <c r="L574" s="29">
        <v>379.19</v>
      </c>
      <c r="M574" s="29">
        <v>2485.79</v>
      </c>
      <c r="N574" s="29">
        <v>0</v>
      </c>
      <c r="O574" s="29">
        <v>18</v>
      </c>
    </row>
    <row r="575" spans="2:15">
      <c r="B575" s="111">
        <v>6</v>
      </c>
      <c r="C575" s="111">
        <v>832</v>
      </c>
      <c r="D575" s="111" t="s">
        <v>447</v>
      </c>
      <c r="E575" s="111" t="s">
        <v>448</v>
      </c>
      <c r="F575" s="265">
        <v>42094</v>
      </c>
      <c r="G575" s="265"/>
      <c r="H575" s="266">
        <v>7793.81</v>
      </c>
      <c r="L575" s="29">
        <v>1402.89</v>
      </c>
      <c r="M575" s="29">
        <v>9196.7000000000007</v>
      </c>
      <c r="N575" s="29">
        <v>0</v>
      </c>
      <c r="O575" s="29">
        <v>18</v>
      </c>
    </row>
    <row r="576" spans="2:15">
      <c r="B576" s="111">
        <v>6</v>
      </c>
      <c r="C576" s="111">
        <v>833</v>
      </c>
      <c r="D576" s="111" t="s">
        <v>454</v>
      </c>
      <c r="E576" s="111" t="s">
        <v>448</v>
      </c>
      <c r="F576" s="265">
        <v>42094</v>
      </c>
      <c r="G576" s="265"/>
      <c r="H576" s="266">
        <v>500</v>
      </c>
      <c r="I576" s="29" t="s">
        <v>487</v>
      </c>
      <c r="L576" s="29">
        <v>90</v>
      </c>
      <c r="M576" s="29">
        <v>590</v>
      </c>
      <c r="N576" s="29">
        <v>0</v>
      </c>
      <c r="O576" s="29">
        <v>18</v>
      </c>
    </row>
    <row r="577" spans="2:15">
      <c r="B577" s="111">
        <v>6</v>
      </c>
      <c r="C577" s="111">
        <v>834</v>
      </c>
      <c r="D577" s="111" t="s">
        <v>454</v>
      </c>
      <c r="E577" s="111" t="s">
        <v>448</v>
      </c>
      <c r="F577" s="265">
        <v>42094</v>
      </c>
      <c r="G577" s="111"/>
      <c r="H577" s="266">
        <v>500</v>
      </c>
      <c r="I577" s="29" t="s">
        <v>487</v>
      </c>
      <c r="L577" s="29">
        <v>90</v>
      </c>
      <c r="M577" s="29">
        <v>590</v>
      </c>
      <c r="N577" s="29">
        <v>0</v>
      </c>
      <c r="O577" s="29">
        <v>18</v>
      </c>
    </row>
    <row r="578" spans="2:15">
      <c r="B578" s="111">
        <v>6</v>
      </c>
      <c r="C578" s="111">
        <v>836</v>
      </c>
      <c r="D578" s="111" t="s">
        <v>454</v>
      </c>
      <c r="E578" s="111" t="s">
        <v>448</v>
      </c>
      <c r="F578" s="265">
        <v>42094</v>
      </c>
      <c r="G578" s="111"/>
      <c r="H578" s="266">
        <v>4000</v>
      </c>
      <c r="I578" s="29" t="s">
        <v>487</v>
      </c>
      <c r="L578" s="29">
        <v>720</v>
      </c>
      <c r="M578" s="29">
        <v>4720</v>
      </c>
      <c r="N578" s="29">
        <v>0</v>
      </c>
      <c r="O578" s="29">
        <v>18</v>
      </c>
    </row>
    <row r="579" spans="2:15">
      <c r="B579" s="111">
        <v>6</v>
      </c>
      <c r="C579" s="111">
        <v>819</v>
      </c>
      <c r="D579" s="111" t="s">
        <v>401</v>
      </c>
      <c r="E579" s="111" t="s">
        <v>380</v>
      </c>
      <c r="F579" s="265">
        <v>42083</v>
      </c>
      <c r="G579" s="111"/>
      <c r="H579" s="266">
        <v>296.61</v>
      </c>
      <c r="J579" s="274"/>
      <c r="K579" s="274"/>
      <c r="L579" s="274">
        <v>53.39</v>
      </c>
      <c r="M579" s="274">
        <v>350</v>
      </c>
      <c r="N579" s="274">
        <v>0</v>
      </c>
      <c r="O579" s="274">
        <v>57</v>
      </c>
    </row>
    <row r="580" spans="2:15">
      <c r="F580" s="263"/>
      <c r="H580" s="267">
        <f>SUM(H540:H579)</f>
        <v>227879.34999999998</v>
      </c>
    </row>
    <row r="581" spans="2:15" ht="3.75" customHeight="1">
      <c r="F581" s="263"/>
      <c r="H581" s="147"/>
    </row>
    <row r="582" spans="2:15" ht="3.75" customHeight="1">
      <c r="F582" s="263"/>
      <c r="H582" s="147"/>
    </row>
    <row r="583" spans="2:15">
      <c r="D583" s="111" t="s">
        <v>454</v>
      </c>
      <c r="E583" s="264">
        <f>H550+H551+H552+H553+H554+H543+H556+H559+H566+H571+H576+H577+H578</f>
        <v>146098.64000000001</v>
      </c>
      <c r="F583" s="263"/>
      <c r="G583" s="273" t="s">
        <v>44</v>
      </c>
      <c r="H583" s="267">
        <f>H580-E583</f>
        <v>81780.709999999963</v>
      </c>
    </row>
    <row r="584" spans="2:15" ht="3" customHeight="1">
      <c r="F584" s="263"/>
      <c r="H584" s="147"/>
    </row>
    <row r="585" spans="2:15" ht="3" customHeight="1">
      <c r="F585" s="263"/>
      <c r="H585" s="147"/>
    </row>
    <row r="586" spans="2:15" ht="3" customHeight="1">
      <c r="F586" s="263"/>
      <c r="H586" s="147"/>
    </row>
    <row r="587" spans="2:15">
      <c r="B587" s="59"/>
      <c r="C587" s="138" t="s">
        <v>489</v>
      </c>
      <c r="D587" s="59"/>
      <c r="E587" s="59"/>
      <c r="F587" s="59"/>
      <c r="G587" s="59"/>
      <c r="H587" s="60"/>
    </row>
    <row r="588" spans="2:15">
      <c r="B588" s="59"/>
      <c r="C588" s="59"/>
      <c r="D588" s="59"/>
      <c r="E588" s="59"/>
      <c r="F588" s="59"/>
      <c r="G588" s="59"/>
      <c r="H588" s="60"/>
    </row>
    <row r="589" spans="2:15">
      <c r="B589" s="264" t="s">
        <v>369</v>
      </c>
      <c r="C589" s="264" t="s">
        <v>370</v>
      </c>
      <c r="D589" s="264" t="s">
        <v>371</v>
      </c>
      <c r="E589" s="264" t="s">
        <v>372</v>
      </c>
      <c r="F589" s="264" t="s">
        <v>373</v>
      </c>
      <c r="G589" s="264" t="s">
        <v>470</v>
      </c>
      <c r="H589" s="267" t="s">
        <v>375</v>
      </c>
    </row>
    <row r="590" spans="2:15">
      <c r="B590" s="111">
        <v>6</v>
      </c>
      <c r="C590" s="111">
        <v>631</v>
      </c>
      <c r="D590" s="111" t="s">
        <v>381</v>
      </c>
      <c r="E590" s="111" t="s">
        <v>382</v>
      </c>
      <c r="F590" s="265">
        <v>41960</v>
      </c>
      <c r="G590" s="265">
        <v>42084</v>
      </c>
      <c r="H590" s="266">
        <v>578.39</v>
      </c>
    </row>
    <row r="591" spans="2:15">
      <c r="B591" s="111">
        <v>6</v>
      </c>
      <c r="C591" s="111">
        <v>670</v>
      </c>
      <c r="D591" s="111" t="s">
        <v>379</v>
      </c>
      <c r="E591" s="111" t="s">
        <v>380</v>
      </c>
      <c r="F591" s="265">
        <v>41984</v>
      </c>
      <c r="G591" s="265">
        <v>42075</v>
      </c>
      <c r="H591" s="266">
        <v>9152.5400000000009</v>
      </c>
    </row>
    <row r="592" spans="2:15">
      <c r="B592" s="111">
        <v>6</v>
      </c>
      <c r="C592" s="111">
        <v>696</v>
      </c>
      <c r="D592" s="111" t="s">
        <v>456</v>
      </c>
      <c r="E592" s="111" t="s">
        <v>457</v>
      </c>
      <c r="F592" s="265">
        <v>41993</v>
      </c>
      <c r="G592" s="265">
        <v>42068</v>
      </c>
      <c r="H592" s="266">
        <v>9169.49</v>
      </c>
    </row>
    <row r="593" spans="2:9">
      <c r="B593" s="111">
        <v>6</v>
      </c>
      <c r="C593" s="111">
        <v>722</v>
      </c>
      <c r="D593" s="111" t="s">
        <v>381</v>
      </c>
      <c r="E593" s="111" t="s">
        <v>382</v>
      </c>
      <c r="F593" s="265">
        <v>42004</v>
      </c>
      <c r="G593" s="265">
        <v>42066</v>
      </c>
      <c r="H593" s="266">
        <v>2412.46</v>
      </c>
    </row>
    <row r="594" spans="2:9">
      <c r="B594" s="111">
        <v>6</v>
      </c>
      <c r="C594" s="111">
        <v>732</v>
      </c>
      <c r="D594" s="111" t="s">
        <v>381</v>
      </c>
      <c r="E594" s="111" t="s">
        <v>382</v>
      </c>
      <c r="F594" s="265">
        <v>42021</v>
      </c>
      <c r="G594" s="265">
        <v>42073</v>
      </c>
      <c r="H594" s="266">
        <v>9635.59</v>
      </c>
    </row>
    <row r="595" spans="2:9">
      <c r="B595" s="111">
        <v>6</v>
      </c>
      <c r="C595" s="111">
        <v>735</v>
      </c>
      <c r="D595" s="111" t="s">
        <v>381</v>
      </c>
      <c r="E595" s="111" t="s">
        <v>382</v>
      </c>
      <c r="F595" s="265">
        <v>42025</v>
      </c>
      <c r="G595" s="265">
        <v>42073</v>
      </c>
      <c r="H595" s="266">
        <v>9152.5400000000009</v>
      </c>
    </row>
    <row r="596" spans="2:9">
      <c r="B596" s="111">
        <v>6</v>
      </c>
      <c r="C596" s="111">
        <v>734</v>
      </c>
      <c r="D596" s="111" t="s">
        <v>381</v>
      </c>
      <c r="E596" s="111" t="s">
        <v>382</v>
      </c>
      <c r="F596" s="265">
        <v>42025</v>
      </c>
      <c r="G596" s="265">
        <v>42090</v>
      </c>
      <c r="H596" s="266">
        <v>9152.5400000000009</v>
      </c>
    </row>
    <row r="597" spans="2:9">
      <c r="B597" s="111">
        <v>6</v>
      </c>
      <c r="C597" s="111">
        <v>749</v>
      </c>
      <c r="D597" s="111" t="s">
        <v>460</v>
      </c>
      <c r="E597" s="111" t="s">
        <v>448</v>
      </c>
      <c r="F597" s="265">
        <v>42033</v>
      </c>
      <c r="G597" s="265">
        <v>42068</v>
      </c>
      <c r="H597" s="266">
        <v>1129.24</v>
      </c>
    </row>
    <row r="598" spans="2:9">
      <c r="B598" s="111">
        <v>6</v>
      </c>
      <c r="C598" s="111">
        <v>747</v>
      </c>
      <c r="D598" s="111" t="s">
        <v>454</v>
      </c>
      <c r="E598" s="111" t="s">
        <v>448</v>
      </c>
      <c r="F598" s="265">
        <v>42033</v>
      </c>
      <c r="G598" s="265">
        <v>42068</v>
      </c>
      <c r="H598" s="266">
        <v>5372.36</v>
      </c>
    </row>
    <row r="599" spans="2:9">
      <c r="B599" s="111">
        <v>6</v>
      </c>
      <c r="C599" s="111">
        <v>745</v>
      </c>
      <c r="D599" s="111" t="s">
        <v>468</v>
      </c>
      <c r="E599" s="111" t="s">
        <v>382</v>
      </c>
      <c r="F599" s="265">
        <v>42033</v>
      </c>
      <c r="G599" s="265">
        <v>42066</v>
      </c>
      <c r="H599" s="266">
        <v>578.39</v>
      </c>
    </row>
    <row r="600" spans="2:9">
      <c r="B600" s="111">
        <v>6</v>
      </c>
      <c r="C600" s="111">
        <v>746</v>
      </c>
      <c r="D600" s="111" t="s">
        <v>381</v>
      </c>
      <c r="E600" s="111" t="s">
        <v>382</v>
      </c>
      <c r="F600" s="265">
        <v>42033</v>
      </c>
      <c r="G600" s="265">
        <v>42066</v>
      </c>
      <c r="H600" s="266">
        <v>578.39</v>
      </c>
    </row>
    <row r="601" spans="2:9">
      <c r="B601" s="111">
        <v>6</v>
      </c>
      <c r="C601" s="111">
        <v>748</v>
      </c>
      <c r="D601" s="111" t="s">
        <v>460</v>
      </c>
      <c r="E601" s="111" t="s">
        <v>448</v>
      </c>
      <c r="F601" s="265">
        <v>42033</v>
      </c>
      <c r="G601" s="265">
        <v>42069</v>
      </c>
      <c r="H601" s="266">
        <v>400</v>
      </c>
    </row>
    <row r="602" spans="2:9">
      <c r="B602" s="111">
        <v>6</v>
      </c>
      <c r="C602" s="111">
        <v>755</v>
      </c>
      <c r="D602" s="111" t="s">
        <v>381</v>
      </c>
      <c r="E602" s="111" t="s">
        <v>382</v>
      </c>
      <c r="F602" s="265">
        <v>42037</v>
      </c>
      <c r="G602" s="265">
        <v>42084</v>
      </c>
      <c r="H602" s="266">
        <v>1735.18</v>
      </c>
    </row>
    <row r="603" spans="2:9">
      <c r="B603" s="111">
        <v>6</v>
      </c>
      <c r="C603" s="111">
        <v>762</v>
      </c>
      <c r="D603" s="111" t="s">
        <v>454</v>
      </c>
      <c r="E603" s="111" t="s">
        <v>448</v>
      </c>
      <c r="F603" s="265">
        <v>42040</v>
      </c>
      <c r="G603" s="265">
        <v>42074</v>
      </c>
      <c r="H603" s="272">
        <v>3563.3</v>
      </c>
      <c r="I603" s="29" t="s">
        <v>487</v>
      </c>
    </row>
    <row r="604" spans="2:9">
      <c r="B604" s="111">
        <v>6</v>
      </c>
      <c r="C604" s="111">
        <v>763</v>
      </c>
      <c r="D604" s="111" t="s">
        <v>447</v>
      </c>
      <c r="E604" s="111" t="s">
        <v>448</v>
      </c>
      <c r="F604" s="265">
        <v>42040</v>
      </c>
      <c r="G604" s="265">
        <v>42072</v>
      </c>
      <c r="H604" s="266">
        <v>2124.6</v>
      </c>
    </row>
    <row r="605" spans="2:9">
      <c r="B605" s="111">
        <v>6</v>
      </c>
      <c r="C605" s="111">
        <v>764</v>
      </c>
      <c r="D605" s="111" t="s">
        <v>447</v>
      </c>
      <c r="E605" s="111" t="s">
        <v>448</v>
      </c>
      <c r="F605" s="265">
        <v>42040</v>
      </c>
      <c r="G605" s="265">
        <v>42072</v>
      </c>
      <c r="H605" s="266">
        <v>18062.740000000002</v>
      </c>
    </row>
    <row r="606" spans="2:9">
      <c r="B606" s="111">
        <v>6</v>
      </c>
      <c r="C606" s="111">
        <v>765</v>
      </c>
      <c r="D606" s="111" t="s">
        <v>454</v>
      </c>
      <c r="E606" s="111" t="s">
        <v>448</v>
      </c>
      <c r="F606" s="265">
        <v>42041</v>
      </c>
      <c r="G606" s="265">
        <v>42074</v>
      </c>
      <c r="H606" s="272">
        <v>55971.22</v>
      </c>
      <c r="I606" s="29" t="s">
        <v>487</v>
      </c>
    </row>
    <row r="607" spans="2:9">
      <c r="B607" s="111">
        <v>6</v>
      </c>
      <c r="C607" s="111">
        <v>767</v>
      </c>
      <c r="D607" s="111" t="s">
        <v>381</v>
      </c>
      <c r="E607" s="111" t="s">
        <v>382</v>
      </c>
      <c r="F607" s="265">
        <v>42042</v>
      </c>
      <c r="G607" s="265">
        <v>42074</v>
      </c>
      <c r="H607" s="266">
        <v>3414.41</v>
      </c>
    </row>
    <row r="608" spans="2:9">
      <c r="B608" s="111">
        <v>6</v>
      </c>
      <c r="C608" s="111">
        <v>773</v>
      </c>
      <c r="D608" s="111" t="s">
        <v>454</v>
      </c>
      <c r="E608" s="111" t="s">
        <v>448</v>
      </c>
      <c r="F608" s="265">
        <v>42053</v>
      </c>
      <c r="G608" s="265">
        <v>42080</v>
      </c>
      <c r="H608" s="272">
        <v>822.3</v>
      </c>
      <c r="I608" s="29" t="s">
        <v>487</v>
      </c>
    </row>
    <row r="609" spans="2:9">
      <c r="B609" s="111">
        <v>6</v>
      </c>
      <c r="C609" s="111">
        <v>774</v>
      </c>
      <c r="D609" s="111" t="s">
        <v>454</v>
      </c>
      <c r="E609" s="111" t="s">
        <v>448</v>
      </c>
      <c r="F609" s="265">
        <v>42053</v>
      </c>
      <c r="G609" s="265">
        <v>42080</v>
      </c>
      <c r="H609" s="272">
        <v>1096.4000000000001</v>
      </c>
      <c r="I609" s="29" t="s">
        <v>487</v>
      </c>
    </row>
    <row r="610" spans="2:9">
      <c r="B610" s="111">
        <v>6</v>
      </c>
      <c r="C610" s="111">
        <v>775</v>
      </c>
      <c r="D610" s="111" t="s">
        <v>381</v>
      </c>
      <c r="E610" s="111" t="s">
        <v>382</v>
      </c>
      <c r="F610" s="265">
        <v>42054</v>
      </c>
      <c r="G610" s="265">
        <v>42073</v>
      </c>
      <c r="H610" s="266">
        <v>7014.41</v>
      </c>
    </row>
    <row r="611" spans="2:9">
      <c r="B611" s="111">
        <v>6</v>
      </c>
      <c r="C611" s="111">
        <v>776</v>
      </c>
      <c r="D611" s="111" t="s">
        <v>381</v>
      </c>
      <c r="E611" s="111" t="s">
        <v>382</v>
      </c>
      <c r="F611" s="265">
        <v>42055</v>
      </c>
      <c r="G611" s="265">
        <v>42090</v>
      </c>
      <c r="H611" s="266">
        <v>7355.93</v>
      </c>
    </row>
    <row r="612" spans="2:9">
      <c r="B612" s="111">
        <v>6</v>
      </c>
      <c r="C612" s="111">
        <v>781</v>
      </c>
      <c r="D612" s="111" t="s">
        <v>401</v>
      </c>
      <c r="E612" s="111" t="s">
        <v>380</v>
      </c>
      <c r="F612" s="265">
        <v>42058</v>
      </c>
      <c r="G612" s="265">
        <v>42066</v>
      </c>
      <c r="H612" s="266">
        <v>4152.54</v>
      </c>
    </row>
    <row r="613" spans="2:9">
      <c r="B613" s="111">
        <v>6</v>
      </c>
      <c r="C613" s="111">
        <v>779</v>
      </c>
      <c r="D613" s="111" t="s">
        <v>447</v>
      </c>
      <c r="E613" s="111" t="s">
        <v>448</v>
      </c>
      <c r="F613" s="265">
        <v>42058</v>
      </c>
      <c r="G613" s="265">
        <v>42088</v>
      </c>
      <c r="H613" s="266">
        <v>4337.1000000000004</v>
      </c>
    </row>
    <row r="614" spans="2:9">
      <c r="B614" s="111">
        <v>6</v>
      </c>
      <c r="C614" s="111">
        <v>780</v>
      </c>
      <c r="D614" s="111" t="s">
        <v>447</v>
      </c>
      <c r="E614" s="111" t="s">
        <v>448</v>
      </c>
      <c r="F614" s="265">
        <v>42058</v>
      </c>
      <c r="G614" s="265">
        <v>42088</v>
      </c>
      <c r="H614" s="266">
        <v>8145.81</v>
      </c>
    </row>
    <row r="615" spans="2:9">
      <c r="B615" s="111">
        <v>6</v>
      </c>
      <c r="C615" s="111">
        <v>783</v>
      </c>
      <c r="D615" s="111" t="s">
        <v>447</v>
      </c>
      <c r="E615" s="111" t="s">
        <v>448</v>
      </c>
      <c r="F615" s="265">
        <v>42060</v>
      </c>
      <c r="G615" s="265">
        <v>42090</v>
      </c>
      <c r="H615" s="266">
        <v>4847.5</v>
      </c>
    </row>
    <row r="616" spans="2:9">
      <c r="B616" s="111">
        <v>6</v>
      </c>
      <c r="C616" s="111">
        <v>782</v>
      </c>
      <c r="D616" s="111" t="s">
        <v>447</v>
      </c>
      <c r="E616" s="111" t="s">
        <v>448</v>
      </c>
      <c r="F616" s="265">
        <v>42060</v>
      </c>
      <c r="G616" s="265">
        <v>42090</v>
      </c>
      <c r="H616" s="266">
        <v>248.3</v>
      </c>
    </row>
    <row r="617" spans="2:9">
      <c r="B617" s="111">
        <v>6</v>
      </c>
      <c r="C617" s="111">
        <v>784</v>
      </c>
      <c r="D617" s="111" t="s">
        <v>447</v>
      </c>
      <c r="E617" s="111" t="s">
        <v>448</v>
      </c>
      <c r="F617" s="265">
        <v>42060</v>
      </c>
      <c r="G617" s="265">
        <v>42090</v>
      </c>
      <c r="H617" s="266">
        <v>6237.6</v>
      </c>
    </row>
    <row r="618" spans="2:9">
      <c r="B618" s="111">
        <v>6</v>
      </c>
      <c r="C618" s="111">
        <v>785</v>
      </c>
      <c r="D618" s="111" t="s">
        <v>453</v>
      </c>
      <c r="E618" s="111" t="s">
        <v>448</v>
      </c>
      <c r="F618" s="265">
        <v>42061</v>
      </c>
      <c r="G618" s="265">
        <v>42074</v>
      </c>
      <c r="H618" s="266">
        <v>1677.97</v>
      </c>
    </row>
    <row r="619" spans="2:9">
      <c r="B619" s="111">
        <v>6</v>
      </c>
      <c r="C619" s="111">
        <v>786</v>
      </c>
      <c r="D619" s="111" t="s">
        <v>381</v>
      </c>
      <c r="E619" s="111" t="s">
        <v>382</v>
      </c>
      <c r="F619" s="265">
        <v>42061</v>
      </c>
      <c r="G619" s="265">
        <v>42082</v>
      </c>
      <c r="H619" s="266">
        <v>2117.37</v>
      </c>
    </row>
    <row r="620" spans="2:9">
      <c r="B620" s="111">
        <v>6</v>
      </c>
      <c r="C620" s="111">
        <v>787</v>
      </c>
      <c r="D620" s="111" t="s">
        <v>454</v>
      </c>
      <c r="E620" s="111" t="s">
        <v>448</v>
      </c>
      <c r="F620" s="265">
        <v>42062</v>
      </c>
      <c r="G620" s="265">
        <v>42094</v>
      </c>
      <c r="H620" s="272">
        <v>548.20000000000005</v>
      </c>
      <c r="I620" s="29" t="s">
        <v>487</v>
      </c>
    </row>
    <row r="621" spans="2:9">
      <c r="B621" s="111">
        <v>6</v>
      </c>
      <c r="C621" s="111">
        <v>788</v>
      </c>
      <c r="D621" s="111" t="s">
        <v>454</v>
      </c>
      <c r="E621" s="111" t="s">
        <v>448</v>
      </c>
      <c r="F621" s="265">
        <v>42062</v>
      </c>
      <c r="G621" s="265">
        <v>42094</v>
      </c>
      <c r="H621" s="272">
        <v>54326.62</v>
      </c>
      <c r="I621" s="29" t="s">
        <v>487</v>
      </c>
    </row>
    <row r="622" spans="2:9">
      <c r="B622" s="111">
        <v>6</v>
      </c>
      <c r="C622" s="111">
        <v>790</v>
      </c>
      <c r="D622" s="111" t="s">
        <v>453</v>
      </c>
      <c r="E622" s="111" t="s">
        <v>448</v>
      </c>
      <c r="F622" s="265">
        <v>42066</v>
      </c>
      <c r="G622" s="265">
        <v>42080</v>
      </c>
      <c r="H622" s="266">
        <v>1618.64</v>
      </c>
    </row>
    <row r="623" spans="2:9">
      <c r="B623" s="111">
        <v>6</v>
      </c>
      <c r="C623" s="111">
        <v>800</v>
      </c>
      <c r="D623" s="111" t="s">
        <v>453</v>
      </c>
      <c r="E623" s="111" t="s">
        <v>448</v>
      </c>
      <c r="F623" s="265">
        <v>42072</v>
      </c>
      <c r="G623" s="265">
        <v>42084</v>
      </c>
      <c r="H623" s="266">
        <v>1074.58</v>
      </c>
    </row>
    <row r="624" spans="2:9">
      <c r="B624" s="111">
        <v>6</v>
      </c>
      <c r="C624" s="111">
        <v>799</v>
      </c>
      <c r="D624" s="111" t="s">
        <v>453</v>
      </c>
      <c r="E624" s="111" t="s">
        <v>448</v>
      </c>
      <c r="F624" s="265">
        <v>42072</v>
      </c>
      <c r="G624" s="265">
        <v>42084</v>
      </c>
      <c r="H624" s="266">
        <v>381.36</v>
      </c>
    </row>
    <row r="625" spans="2:17">
      <c r="B625" s="111">
        <v>6</v>
      </c>
      <c r="C625" s="111">
        <v>810</v>
      </c>
      <c r="D625" s="111" t="s">
        <v>453</v>
      </c>
      <c r="E625" s="111" t="s">
        <v>448</v>
      </c>
      <c r="F625" s="265">
        <v>42081</v>
      </c>
      <c r="G625" s="265">
        <v>42089</v>
      </c>
      <c r="H625" s="266">
        <v>5604.58</v>
      </c>
    </row>
    <row r="626" spans="2:17">
      <c r="B626" s="111">
        <v>6</v>
      </c>
      <c r="C626" s="111">
        <v>812</v>
      </c>
      <c r="D626" s="111" t="s">
        <v>453</v>
      </c>
      <c r="E626" s="111" t="s">
        <v>448</v>
      </c>
      <c r="F626" s="265">
        <v>42082</v>
      </c>
      <c r="G626" s="265">
        <v>42093</v>
      </c>
      <c r="H626" s="266">
        <v>1127.1199999999999</v>
      </c>
    </row>
    <row r="627" spans="2:17">
      <c r="H627" s="147">
        <f>SUM(H590:H626)</f>
        <v>254917.70999999996</v>
      </c>
    </row>
    <row r="628" spans="2:17">
      <c r="H628" s="147"/>
    </row>
    <row r="629" spans="2:17">
      <c r="H629" s="147"/>
    </row>
    <row r="630" spans="2:17">
      <c r="D630" s="264" t="s">
        <v>454</v>
      </c>
      <c r="E630" s="264">
        <f>H603+H608+H609+H620+H621+H606</f>
        <v>116328.04000000001</v>
      </c>
      <c r="G630" s="273" t="s">
        <v>44</v>
      </c>
      <c r="H630" s="267">
        <f>H627-E630</f>
        <v>138589.66999999995</v>
      </c>
    </row>
    <row r="631" spans="2:17">
      <c r="H631" s="147"/>
    </row>
    <row r="632" spans="2:17">
      <c r="H632" s="147"/>
    </row>
    <row r="633" spans="2:17">
      <c r="F633" s="4" t="s">
        <v>383</v>
      </c>
      <c r="G633" s="275">
        <v>5.0000000000000001E-3</v>
      </c>
      <c r="H633" s="17">
        <f>H630*G633</f>
        <v>692.94834999999978</v>
      </c>
    </row>
    <row r="634" spans="2:17">
      <c r="F634" s="4" t="s">
        <v>232</v>
      </c>
      <c r="G634" s="4"/>
      <c r="H634" s="276">
        <v>750</v>
      </c>
    </row>
    <row r="635" spans="2:17">
      <c r="F635" s="4"/>
      <c r="G635" s="4"/>
      <c r="H635" s="17"/>
    </row>
    <row r="636" spans="2:17">
      <c r="F636" s="4"/>
      <c r="G636" s="4"/>
      <c r="H636" s="17"/>
    </row>
    <row r="637" spans="2:17">
      <c r="B637" s="59"/>
      <c r="C637" s="59"/>
      <c r="D637" s="59" t="s">
        <v>486</v>
      </c>
      <c r="E637" s="59"/>
      <c r="F637" s="59"/>
      <c r="G637" s="59"/>
      <c r="H637" s="59"/>
    </row>
    <row r="638" spans="2:17">
      <c r="B638" s="264" t="s">
        <v>385</v>
      </c>
      <c r="C638" s="264" t="s">
        <v>479</v>
      </c>
      <c r="D638" s="264" t="s">
        <v>371</v>
      </c>
      <c r="E638" s="264" t="s">
        <v>480</v>
      </c>
      <c r="F638" s="264" t="s">
        <v>386</v>
      </c>
      <c r="G638" s="264" t="s">
        <v>481</v>
      </c>
      <c r="H638" s="264" t="s">
        <v>14</v>
      </c>
    </row>
    <row r="639" spans="2:17">
      <c r="B639" s="111">
        <v>6</v>
      </c>
      <c r="C639" s="111">
        <v>837</v>
      </c>
      <c r="D639" s="111" t="s">
        <v>381</v>
      </c>
      <c r="E639" s="111" t="s">
        <v>382</v>
      </c>
      <c r="F639" s="240">
        <v>42098</v>
      </c>
      <c r="G639" s="13"/>
      <c r="H639" s="12">
        <v>1131.3599999999999</v>
      </c>
      <c r="I639" s="17"/>
      <c r="J639" s="17"/>
      <c r="K639" s="17"/>
      <c r="L639" s="17"/>
      <c r="M639" s="17"/>
      <c r="N639" s="29">
        <v>0</v>
      </c>
      <c r="O639" s="29">
        <v>203.64</v>
      </c>
      <c r="P639" s="29">
        <v>1335</v>
      </c>
      <c r="Q639" s="29">
        <v>0</v>
      </c>
    </row>
    <row r="640" spans="2:17">
      <c r="B640" s="111">
        <v>6</v>
      </c>
      <c r="C640" s="111">
        <v>838</v>
      </c>
      <c r="D640" s="111" t="s">
        <v>462</v>
      </c>
      <c r="E640" s="111" t="s">
        <v>452</v>
      </c>
      <c r="F640" s="240">
        <v>42098</v>
      </c>
      <c r="G640" s="240">
        <v>42105</v>
      </c>
      <c r="H640" s="12">
        <v>355.93</v>
      </c>
      <c r="I640" s="17"/>
      <c r="J640" s="17"/>
      <c r="K640" s="17"/>
      <c r="L640" s="17"/>
      <c r="M640" s="17"/>
      <c r="N640" s="29">
        <v>0</v>
      </c>
      <c r="O640" s="29">
        <v>64.069999999999993</v>
      </c>
      <c r="P640" s="29">
        <v>420</v>
      </c>
      <c r="Q640" s="29">
        <v>0</v>
      </c>
    </row>
    <row r="641" spans="2:17">
      <c r="B641" s="111">
        <v>6</v>
      </c>
      <c r="C641" s="111">
        <v>839</v>
      </c>
      <c r="D641" s="111" t="s">
        <v>462</v>
      </c>
      <c r="E641" s="111" t="s">
        <v>452</v>
      </c>
      <c r="F641" s="240">
        <v>42098</v>
      </c>
      <c r="G641" s="240">
        <v>42105</v>
      </c>
      <c r="H641" s="12">
        <v>1143.2</v>
      </c>
      <c r="I641" s="17"/>
      <c r="J641" s="17"/>
      <c r="K641" s="17"/>
      <c r="L641" s="17"/>
      <c r="M641" s="17"/>
      <c r="N641" s="29">
        <v>836</v>
      </c>
      <c r="O641" s="29">
        <v>55.3</v>
      </c>
      <c r="P641" s="29">
        <v>1198.5</v>
      </c>
      <c r="Q641" s="29">
        <v>0</v>
      </c>
    </row>
    <row r="642" spans="2:17" s="33" customFormat="1" ht="11.25">
      <c r="B642" s="270">
        <v>6</v>
      </c>
      <c r="C642" s="270">
        <v>843</v>
      </c>
      <c r="D642" s="270" t="s">
        <v>454</v>
      </c>
      <c r="E642" s="270" t="s">
        <v>448</v>
      </c>
      <c r="F642" s="254">
        <v>42098</v>
      </c>
      <c r="G642" s="253"/>
      <c r="H642" s="255">
        <v>37770.980000000003</v>
      </c>
      <c r="I642" s="277" t="s">
        <v>73</v>
      </c>
      <c r="J642" s="277"/>
      <c r="K642" s="277"/>
      <c r="L642" s="277"/>
      <c r="M642" s="277"/>
      <c r="N642" s="33">
        <v>0</v>
      </c>
      <c r="O642" s="33">
        <v>6798.78</v>
      </c>
      <c r="P642" s="33">
        <v>44569.760000000002</v>
      </c>
      <c r="Q642" s="33">
        <v>0</v>
      </c>
    </row>
    <row r="643" spans="2:17">
      <c r="B643" s="111">
        <v>6</v>
      </c>
      <c r="C643" s="111">
        <v>845</v>
      </c>
      <c r="D643" s="111" t="s">
        <v>458</v>
      </c>
      <c r="E643" s="111" t="s">
        <v>448</v>
      </c>
      <c r="F643" s="240">
        <v>42100</v>
      </c>
      <c r="G643" s="13"/>
      <c r="H643" s="12">
        <v>9762.7099999999991</v>
      </c>
      <c r="I643" s="17"/>
      <c r="J643" s="17"/>
      <c r="K643" s="17"/>
      <c r="L643" s="17"/>
      <c r="M643" s="17"/>
      <c r="N643" s="29">
        <v>0</v>
      </c>
      <c r="O643" s="29">
        <v>1757.29</v>
      </c>
      <c r="P643" s="29">
        <v>11520</v>
      </c>
      <c r="Q643" s="29">
        <v>0</v>
      </c>
    </row>
    <row r="644" spans="2:17" s="33" customFormat="1" ht="11.25">
      <c r="B644" s="270">
        <v>6</v>
      </c>
      <c r="C644" s="270">
        <v>844</v>
      </c>
      <c r="D644" s="270" t="s">
        <v>454</v>
      </c>
      <c r="E644" s="270" t="s">
        <v>448</v>
      </c>
      <c r="F644" s="254">
        <v>42098</v>
      </c>
      <c r="G644" s="253"/>
      <c r="H644" s="255">
        <v>13156.8</v>
      </c>
      <c r="I644" s="277" t="s">
        <v>73</v>
      </c>
      <c r="J644" s="277"/>
      <c r="K644" s="277"/>
      <c r="L644" s="277"/>
      <c r="M644" s="277"/>
      <c r="N644" s="33">
        <v>0</v>
      </c>
      <c r="O644" s="33">
        <v>2368.2199999999998</v>
      </c>
      <c r="P644" s="33">
        <v>15525.02</v>
      </c>
      <c r="Q644" s="33">
        <v>0</v>
      </c>
    </row>
    <row r="645" spans="2:17">
      <c r="B645" s="111">
        <v>6</v>
      </c>
      <c r="C645" s="111">
        <v>846</v>
      </c>
      <c r="D645" s="111" t="s">
        <v>379</v>
      </c>
      <c r="E645" s="111" t="s">
        <v>380</v>
      </c>
      <c r="F645" s="240">
        <v>42101</v>
      </c>
      <c r="G645" s="13"/>
      <c r="H645" s="12">
        <v>8644.07</v>
      </c>
      <c r="I645" s="17"/>
      <c r="J645" s="17"/>
      <c r="K645" s="17"/>
      <c r="L645" s="17"/>
      <c r="M645" s="17"/>
      <c r="N645" s="29">
        <v>0</v>
      </c>
      <c r="O645" s="29">
        <v>1555.93</v>
      </c>
      <c r="P645" s="29">
        <v>10200</v>
      </c>
      <c r="Q645" s="29">
        <v>0</v>
      </c>
    </row>
    <row r="646" spans="2:17">
      <c r="B646" s="111">
        <v>6</v>
      </c>
      <c r="C646" s="111">
        <v>850</v>
      </c>
      <c r="D646" s="111" t="s">
        <v>447</v>
      </c>
      <c r="E646" s="111" t="s">
        <v>448</v>
      </c>
      <c r="F646" s="240">
        <v>42102</v>
      </c>
      <c r="G646" s="13"/>
      <c r="H646" s="12">
        <v>324</v>
      </c>
      <c r="I646" s="17"/>
      <c r="J646" s="17"/>
      <c r="K646" s="17"/>
      <c r="L646" s="17"/>
      <c r="M646" s="17"/>
      <c r="N646" s="29">
        <v>0</v>
      </c>
      <c r="O646" s="29">
        <v>58.32</v>
      </c>
      <c r="P646" s="29">
        <v>382.32</v>
      </c>
      <c r="Q646" s="29">
        <v>0</v>
      </c>
    </row>
    <row r="647" spans="2:17">
      <c r="B647" s="111">
        <v>6</v>
      </c>
      <c r="C647" s="111">
        <v>849</v>
      </c>
      <c r="D647" s="111" t="s">
        <v>490</v>
      </c>
      <c r="E647" s="111" t="s">
        <v>452</v>
      </c>
      <c r="F647" s="240">
        <v>42102</v>
      </c>
      <c r="G647" s="240">
        <v>42122</v>
      </c>
      <c r="H647" s="12">
        <v>5347.46</v>
      </c>
      <c r="I647" s="17"/>
      <c r="J647" s="17"/>
      <c r="K647" s="17"/>
      <c r="L647" s="17"/>
      <c r="M647" s="17"/>
      <c r="N647" s="29">
        <v>0</v>
      </c>
      <c r="O647" s="29">
        <v>962.54</v>
      </c>
      <c r="P647" s="29">
        <v>6310</v>
      </c>
      <c r="Q647" s="29">
        <v>0</v>
      </c>
    </row>
    <row r="648" spans="2:17">
      <c r="B648" s="111">
        <v>6</v>
      </c>
      <c r="C648" s="111">
        <v>852</v>
      </c>
      <c r="D648" s="111" t="s">
        <v>447</v>
      </c>
      <c r="E648" s="111" t="s">
        <v>448</v>
      </c>
      <c r="F648" s="240">
        <v>42102</v>
      </c>
      <c r="G648" s="13"/>
      <c r="H648" s="12">
        <v>604.20000000000005</v>
      </c>
      <c r="I648" s="17"/>
      <c r="J648" s="17"/>
      <c r="K648" s="17"/>
      <c r="L648" s="17"/>
      <c r="M648" s="17"/>
      <c r="N648" s="29">
        <v>0</v>
      </c>
      <c r="O648" s="29">
        <v>108.76</v>
      </c>
      <c r="P648" s="29">
        <v>712.96</v>
      </c>
      <c r="Q648" s="29">
        <v>0</v>
      </c>
    </row>
    <row r="649" spans="2:17">
      <c r="B649" s="111">
        <v>6</v>
      </c>
      <c r="C649" s="111">
        <v>853</v>
      </c>
      <c r="D649" s="111" t="s">
        <v>447</v>
      </c>
      <c r="E649" s="111" t="s">
        <v>448</v>
      </c>
      <c r="F649" s="240">
        <v>42102</v>
      </c>
      <c r="G649" s="13"/>
      <c r="H649" s="12">
        <v>540</v>
      </c>
      <c r="I649" s="17"/>
      <c r="J649" s="17"/>
      <c r="K649" s="17"/>
      <c r="L649" s="17"/>
      <c r="M649" s="17"/>
      <c r="N649" s="29">
        <v>0</v>
      </c>
      <c r="O649" s="29">
        <v>97.2</v>
      </c>
      <c r="P649" s="29">
        <v>637.20000000000005</v>
      </c>
      <c r="Q649" s="29">
        <v>0</v>
      </c>
    </row>
    <row r="650" spans="2:17">
      <c r="B650" s="111">
        <v>6</v>
      </c>
      <c r="C650" s="111">
        <v>854</v>
      </c>
      <c r="D650" s="111" t="s">
        <v>381</v>
      </c>
      <c r="E650" s="111" t="s">
        <v>382</v>
      </c>
      <c r="F650" s="240">
        <v>42102</v>
      </c>
      <c r="G650" s="13"/>
      <c r="H650" s="12">
        <v>1220.3399999999999</v>
      </c>
      <c r="I650" s="17"/>
      <c r="J650" s="17"/>
      <c r="K650" s="17"/>
      <c r="L650" s="17"/>
      <c r="M650" s="17"/>
      <c r="N650" s="29">
        <v>0</v>
      </c>
      <c r="O650" s="29">
        <v>219.66</v>
      </c>
      <c r="P650" s="29">
        <v>1440</v>
      </c>
      <c r="Q650" s="29">
        <v>0</v>
      </c>
    </row>
    <row r="651" spans="2:17">
      <c r="B651" s="111">
        <v>6</v>
      </c>
      <c r="C651" s="111">
        <v>848</v>
      </c>
      <c r="D651" s="111" t="s">
        <v>490</v>
      </c>
      <c r="E651" s="111" t="s">
        <v>452</v>
      </c>
      <c r="F651" s="240">
        <v>42102</v>
      </c>
      <c r="G651" s="240">
        <v>42116</v>
      </c>
      <c r="H651" s="12">
        <v>147.46</v>
      </c>
      <c r="I651" s="17"/>
      <c r="J651" s="17"/>
      <c r="K651" s="17"/>
      <c r="L651" s="17"/>
      <c r="M651" s="17"/>
      <c r="N651" s="29">
        <v>0</v>
      </c>
      <c r="O651" s="29">
        <v>26.54</v>
      </c>
      <c r="P651" s="29">
        <v>174</v>
      </c>
      <c r="Q651" s="29">
        <v>0</v>
      </c>
    </row>
    <row r="652" spans="2:17">
      <c r="B652" s="111">
        <v>6</v>
      </c>
      <c r="C652" s="111">
        <v>851</v>
      </c>
      <c r="D652" s="111" t="s">
        <v>447</v>
      </c>
      <c r="E652" s="111" t="s">
        <v>448</v>
      </c>
      <c r="F652" s="240">
        <v>42102</v>
      </c>
      <c r="G652" s="13"/>
      <c r="H652" s="12">
        <v>4396.5</v>
      </c>
      <c r="I652" s="17"/>
      <c r="J652" s="17"/>
      <c r="K652" s="17"/>
      <c r="L652" s="17"/>
      <c r="M652" s="17"/>
      <c r="N652" s="29">
        <v>0</v>
      </c>
      <c r="O652" s="29">
        <v>791.37</v>
      </c>
      <c r="P652" s="29">
        <v>5187.87</v>
      </c>
      <c r="Q652" s="29">
        <v>0</v>
      </c>
    </row>
    <row r="653" spans="2:17">
      <c r="B653" s="111">
        <v>6</v>
      </c>
      <c r="C653" s="111">
        <v>872</v>
      </c>
      <c r="D653" s="111" t="s">
        <v>462</v>
      </c>
      <c r="E653" s="111" t="s">
        <v>452</v>
      </c>
      <c r="F653" s="240">
        <v>42110</v>
      </c>
      <c r="G653" s="240">
        <v>42124</v>
      </c>
      <c r="H653" s="12">
        <v>58.47</v>
      </c>
      <c r="I653" s="17"/>
      <c r="J653" s="17"/>
      <c r="K653" s="17"/>
      <c r="L653" s="17"/>
      <c r="M653" s="17"/>
      <c r="N653" s="29">
        <v>0</v>
      </c>
      <c r="O653" s="29">
        <v>10.53</v>
      </c>
      <c r="P653" s="29">
        <v>69</v>
      </c>
      <c r="Q653" s="29">
        <v>0</v>
      </c>
    </row>
    <row r="654" spans="2:17">
      <c r="B654" s="111">
        <v>6</v>
      </c>
      <c r="C654" s="111">
        <v>857</v>
      </c>
      <c r="D654" s="111" t="s">
        <v>381</v>
      </c>
      <c r="E654" s="111" t="s">
        <v>382</v>
      </c>
      <c r="F654" s="240">
        <v>42103</v>
      </c>
      <c r="G654" s="13"/>
      <c r="H654" s="12">
        <v>8983.0499999999993</v>
      </c>
      <c r="I654" s="17"/>
      <c r="J654" s="17"/>
      <c r="K654" s="17"/>
      <c r="L654" s="17"/>
      <c r="M654" s="17"/>
      <c r="N654" s="29">
        <v>0</v>
      </c>
      <c r="O654" s="29">
        <v>1616.95</v>
      </c>
      <c r="P654" s="29">
        <v>10600</v>
      </c>
      <c r="Q654" s="29">
        <v>0</v>
      </c>
    </row>
    <row r="655" spans="2:17" s="33" customFormat="1" ht="11.25">
      <c r="B655" s="270">
        <v>6</v>
      </c>
      <c r="C655" s="270">
        <v>858</v>
      </c>
      <c r="D655" s="270" t="s">
        <v>454</v>
      </c>
      <c r="E655" s="270" t="s">
        <v>448</v>
      </c>
      <c r="F655" s="254">
        <v>42104</v>
      </c>
      <c r="G655" s="253"/>
      <c r="H655" s="255">
        <v>6523.58</v>
      </c>
      <c r="I655" s="277" t="s">
        <v>73</v>
      </c>
      <c r="J655" s="277"/>
      <c r="K655" s="277"/>
      <c r="L655" s="277"/>
      <c r="M655" s="277"/>
      <c r="N655" s="33">
        <v>0</v>
      </c>
      <c r="O655" s="33">
        <v>1174.24</v>
      </c>
      <c r="P655" s="33">
        <v>7697.82</v>
      </c>
      <c r="Q655" s="33">
        <v>0</v>
      </c>
    </row>
    <row r="656" spans="2:17">
      <c r="B656" s="111">
        <v>6</v>
      </c>
      <c r="C656" s="111">
        <v>859</v>
      </c>
      <c r="D656" s="111" t="s">
        <v>379</v>
      </c>
      <c r="E656" s="111" t="s">
        <v>380</v>
      </c>
      <c r="F656" s="240">
        <v>42107</v>
      </c>
      <c r="G656" s="13"/>
      <c r="H656" s="12">
        <v>5593.22</v>
      </c>
      <c r="I656" s="17"/>
      <c r="J656" s="17"/>
      <c r="K656" s="17"/>
      <c r="L656" s="17"/>
      <c r="M656" s="17"/>
      <c r="N656" s="29">
        <v>0</v>
      </c>
      <c r="O656" s="29">
        <v>1006.78</v>
      </c>
      <c r="P656" s="29">
        <v>6600</v>
      </c>
      <c r="Q656" s="29">
        <v>0</v>
      </c>
    </row>
    <row r="657" spans="2:17">
      <c r="B657" s="111">
        <v>6</v>
      </c>
      <c r="C657" s="111">
        <v>860</v>
      </c>
      <c r="D657" s="111" t="s">
        <v>381</v>
      </c>
      <c r="E657" s="111" t="s">
        <v>382</v>
      </c>
      <c r="F657" s="240">
        <v>42107</v>
      </c>
      <c r="G657" s="240">
        <v>42122</v>
      </c>
      <c r="H657" s="12">
        <v>1266.0999999999999</v>
      </c>
      <c r="I657" s="17"/>
      <c r="J657" s="17"/>
      <c r="K657" s="17"/>
      <c r="L657" s="17"/>
      <c r="M657" s="17"/>
      <c r="N657" s="29">
        <v>0</v>
      </c>
      <c r="O657" s="29">
        <v>227.9</v>
      </c>
      <c r="P657" s="29">
        <v>1494</v>
      </c>
      <c r="Q657" s="29">
        <v>0</v>
      </c>
    </row>
    <row r="658" spans="2:17">
      <c r="B658" s="111">
        <v>6</v>
      </c>
      <c r="C658" s="111">
        <v>866</v>
      </c>
      <c r="D658" s="111" t="s">
        <v>490</v>
      </c>
      <c r="E658" s="111" t="s">
        <v>452</v>
      </c>
      <c r="F658" s="240">
        <v>42108</v>
      </c>
      <c r="G658" s="240">
        <v>42116</v>
      </c>
      <c r="H658" s="12">
        <v>7016.95</v>
      </c>
      <c r="I658" s="17"/>
      <c r="J658" s="17"/>
      <c r="K658" s="17"/>
      <c r="L658" s="17"/>
      <c r="M658" s="17"/>
      <c r="N658" s="29">
        <v>0</v>
      </c>
      <c r="O658" s="29">
        <v>1263.05</v>
      </c>
      <c r="P658" s="29">
        <v>8280</v>
      </c>
      <c r="Q658" s="29">
        <v>0</v>
      </c>
    </row>
    <row r="659" spans="2:17">
      <c r="B659" s="111">
        <v>6</v>
      </c>
      <c r="C659" s="111">
        <v>861</v>
      </c>
      <c r="D659" s="111" t="s">
        <v>447</v>
      </c>
      <c r="E659" s="111" t="s">
        <v>448</v>
      </c>
      <c r="F659" s="240">
        <v>42108</v>
      </c>
      <c r="G659" s="13"/>
      <c r="H659" s="12">
        <v>4962.1899999999996</v>
      </c>
      <c r="I659" s="17"/>
      <c r="J659" s="17"/>
      <c r="K659" s="17"/>
      <c r="L659" s="17"/>
      <c r="M659" s="17"/>
      <c r="N659" s="29">
        <v>0</v>
      </c>
      <c r="O659" s="29">
        <v>893.19</v>
      </c>
      <c r="P659" s="29">
        <v>5855.38</v>
      </c>
      <c r="Q659" s="29">
        <v>0</v>
      </c>
    </row>
    <row r="660" spans="2:17">
      <c r="B660" s="111">
        <v>6</v>
      </c>
      <c r="C660" s="111">
        <v>862</v>
      </c>
      <c r="D660" s="111" t="s">
        <v>379</v>
      </c>
      <c r="E660" s="111" t="s">
        <v>380</v>
      </c>
      <c r="F660" s="240">
        <v>42108</v>
      </c>
      <c r="G660" s="13"/>
      <c r="H660" s="12">
        <v>3101.69</v>
      </c>
      <c r="I660" s="17"/>
      <c r="J660" s="17"/>
      <c r="K660" s="17"/>
      <c r="L660" s="17"/>
      <c r="M660" s="17"/>
      <c r="N660" s="29">
        <v>0</v>
      </c>
      <c r="O660" s="29">
        <v>558.30999999999995</v>
      </c>
      <c r="P660" s="29">
        <v>3660</v>
      </c>
      <c r="Q660" s="29">
        <v>0</v>
      </c>
    </row>
    <row r="661" spans="2:17">
      <c r="B661" s="111">
        <v>6</v>
      </c>
      <c r="C661" s="111">
        <v>863</v>
      </c>
      <c r="D661" s="111" t="s">
        <v>379</v>
      </c>
      <c r="E661" s="111" t="s">
        <v>380</v>
      </c>
      <c r="F661" s="240">
        <v>42108</v>
      </c>
      <c r="G661" s="13"/>
      <c r="H661" s="12">
        <v>8008.47</v>
      </c>
      <c r="I661" s="17"/>
      <c r="J661" s="17"/>
      <c r="K661" s="17"/>
      <c r="L661" s="17"/>
      <c r="M661" s="17"/>
      <c r="N661" s="29">
        <v>0</v>
      </c>
      <c r="O661" s="29">
        <v>1441.53</v>
      </c>
      <c r="P661" s="29">
        <v>9450</v>
      </c>
      <c r="Q661" s="29">
        <v>0</v>
      </c>
    </row>
    <row r="662" spans="2:17">
      <c r="B662" s="111">
        <v>6</v>
      </c>
      <c r="C662" s="111">
        <v>864</v>
      </c>
      <c r="D662" s="111" t="s">
        <v>379</v>
      </c>
      <c r="E662" s="111" t="s">
        <v>380</v>
      </c>
      <c r="F662" s="240">
        <v>42108</v>
      </c>
      <c r="G662" s="13"/>
      <c r="H662" s="12">
        <v>7336.44</v>
      </c>
      <c r="I662" s="17"/>
      <c r="J662" s="17"/>
      <c r="K662" s="17"/>
      <c r="L662" s="17"/>
      <c r="M662" s="17"/>
      <c r="N662" s="29">
        <v>0</v>
      </c>
      <c r="O662" s="29">
        <v>1320.56</v>
      </c>
      <c r="P662" s="29">
        <v>8657</v>
      </c>
      <c r="Q662" s="29">
        <v>0</v>
      </c>
    </row>
    <row r="663" spans="2:17">
      <c r="B663" s="111">
        <v>6</v>
      </c>
      <c r="C663" s="111">
        <v>865</v>
      </c>
      <c r="D663" s="111" t="s">
        <v>379</v>
      </c>
      <c r="E663" s="111" t="s">
        <v>380</v>
      </c>
      <c r="F663" s="240">
        <v>42108</v>
      </c>
      <c r="G663" s="13"/>
      <c r="H663" s="12">
        <v>7644.07</v>
      </c>
      <c r="I663" s="17"/>
      <c r="J663" s="17"/>
      <c r="K663" s="17"/>
      <c r="L663" s="17"/>
      <c r="M663" s="17"/>
      <c r="N663" s="29">
        <v>0</v>
      </c>
      <c r="O663" s="29">
        <v>1375.93</v>
      </c>
      <c r="P663" s="29">
        <v>9020</v>
      </c>
      <c r="Q663" s="29">
        <v>0</v>
      </c>
    </row>
    <row r="664" spans="2:17" s="33" customFormat="1" ht="11.25">
      <c r="B664" s="270">
        <v>6</v>
      </c>
      <c r="C664" s="270">
        <v>869</v>
      </c>
      <c r="D664" s="270" t="s">
        <v>454</v>
      </c>
      <c r="E664" s="270" t="s">
        <v>448</v>
      </c>
      <c r="F664" s="254">
        <v>42109</v>
      </c>
      <c r="G664" s="253"/>
      <c r="H664" s="255">
        <v>35084.800000000003</v>
      </c>
      <c r="I664" s="277" t="s">
        <v>73</v>
      </c>
      <c r="J664" s="277"/>
      <c r="K664" s="277"/>
      <c r="L664" s="277"/>
      <c r="M664" s="277"/>
      <c r="N664" s="33">
        <v>0</v>
      </c>
      <c r="O664" s="33">
        <v>6315.26</v>
      </c>
      <c r="P664" s="33">
        <v>41400.06</v>
      </c>
      <c r="Q664" s="33">
        <v>0</v>
      </c>
    </row>
    <row r="665" spans="2:17" s="33" customFormat="1" ht="11.25">
      <c r="B665" s="270">
        <v>6</v>
      </c>
      <c r="C665" s="270">
        <v>870</v>
      </c>
      <c r="D665" s="270" t="s">
        <v>454</v>
      </c>
      <c r="E665" s="270" t="s">
        <v>448</v>
      </c>
      <c r="F665" s="254">
        <v>42109</v>
      </c>
      <c r="G665" s="253"/>
      <c r="H665" s="255">
        <v>16446</v>
      </c>
      <c r="I665" s="277" t="s">
        <v>73</v>
      </c>
      <c r="J665" s="277"/>
      <c r="K665" s="277"/>
      <c r="L665" s="277"/>
      <c r="M665" s="277"/>
      <c r="N665" s="33">
        <v>0</v>
      </c>
      <c r="O665" s="33">
        <v>2960.28</v>
      </c>
      <c r="P665" s="33">
        <v>19406.28</v>
      </c>
      <c r="Q665" s="33">
        <v>0</v>
      </c>
    </row>
    <row r="666" spans="2:17" s="33" customFormat="1" ht="11.25">
      <c r="B666" s="270">
        <v>6</v>
      </c>
      <c r="C666" s="270">
        <v>871</v>
      </c>
      <c r="D666" s="270" t="s">
        <v>454</v>
      </c>
      <c r="E666" s="270" t="s">
        <v>448</v>
      </c>
      <c r="F666" s="254">
        <v>42110</v>
      </c>
      <c r="G666" s="253"/>
      <c r="H666" s="255">
        <v>5482</v>
      </c>
      <c r="I666" s="277" t="s">
        <v>73</v>
      </c>
      <c r="J666" s="277"/>
      <c r="K666" s="277"/>
      <c r="L666" s="277"/>
      <c r="M666" s="277"/>
      <c r="N666" s="33">
        <v>0</v>
      </c>
      <c r="O666" s="33">
        <v>986.76</v>
      </c>
      <c r="P666" s="33">
        <v>6468.76</v>
      </c>
      <c r="Q666" s="33">
        <v>0</v>
      </c>
    </row>
    <row r="667" spans="2:17">
      <c r="B667" s="111">
        <v>6</v>
      </c>
      <c r="C667" s="111">
        <v>873</v>
      </c>
      <c r="D667" s="111" t="s">
        <v>381</v>
      </c>
      <c r="E667" s="111" t="s">
        <v>382</v>
      </c>
      <c r="F667" s="240">
        <v>42111</v>
      </c>
      <c r="G667" s="13"/>
      <c r="H667" s="12">
        <v>2436.44</v>
      </c>
      <c r="I667" s="17"/>
      <c r="J667" s="17"/>
      <c r="K667" s="17"/>
      <c r="L667" s="17"/>
      <c r="M667" s="17"/>
      <c r="N667" s="29">
        <v>0</v>
      </c>
      <c r="O667" s="29">
        <v>438.56</v>
      </c>
      <c r="P667" s="29">
        <v>2875</v>
      </c>
      <c r="Q667" s="29">
        <v>0</v>
      </c>
    </row>
    <row r="668" spans="2:17">
      <c r="B668" s="111">
        <v>6</v>
      </c>
      <c r="C668" s="111">
        <v>878</v>
      </c>
      <c r="D668" s="111" t="s">
        <v>379</v>
      </c>
      <c r="E668" s="111" t="s">
        <v>380</v>
      </c>
      <c r="F668" s="240">
        <v>42112</v>
      </c>
      <c r="G668" s="13"/>
      <c r="H668" s="12">
        <v>1855.93</v>
      </c>
      <c r="I668" s="17"/>
      <c r="J668" s="17"/>
      <c r="K668" s="17"/>
      <c r="L668" s="17"/>
      <c r="M668" s="17"/>
      <c r="N668" s="29">
        <v>0</v>
      </c>
      <c r="O668" s="29">
        <v>334.07</v>
      </c>
      <c r="P668" s="29">
        <v>2190</v>
      </c>
      <c r="Q668" s="29">
        <v>0</v>
      </c>
    </row>
    <row r="669" spans="2:17">
      <c r="B669" s="111">
        <v>6</v>
      </c>
      <c r="C669" s="111">
        <v>882</v>
      </c>
      <c r="D669" s="111" t="s">
        <v>447</v>
      </c>
      <c r="E669" s="111" t="s">
        <v>448</v>
      </c>
      <c r="F669" s="240">
        <v>42114</v>
      </c>
      <c r="G669" s="13"/>
      <c r="H669" s="12">
        <v>3098.16</v>
      </c>
      <c r="I669" s="17"/>
      <c r="J669" s="17"/>
      <c r="K669" s="17"/>
      <c r="L669" s="17"/>
      <c r="M669" s="17"/>
      <c r="N669" s="29">
        <v>0</v>
      </c>
      <c r="O669" s="29">
        <v>557.66999999999996</v>
      </c>
      <c r="P669" s="29">
        <v>3655.83</v>
      </c>
      <c r="Q669" s="29">
        <v>0</v>
      </c>
    </row>
    <row r="670" spans="2:17">
      <c r="B670" s="111">
        <v>6</v>
      </c>
      <c r="C670" s="111">
        <v>879</v>
      </c>
      <c r="D670" s="111" t="s">
        <v>447</v>
      </c>
      <c r="E670" s="111" t="s">
        <v>448</v>
      </c>
      <c r="F670" s="240">
        <v>42114</v>
      </c>
      <c r="G670" s="13"/>
      <c r="H670" s="12">
        <v>115.3</v>
      </c>
      <c r="I670" s="17"/>
      <c r="J670" s="17"/>
      <c r="K670" s="17"/>
      <c r="L670" s="17"/>
      <c r="M670" s="17"/>
      <c r="N670" s="29">
        <v>0</v>
      </c>
      <c r="O670" s="29">
        <v>20.75</v>
      </c>
      <c r="P670" s="29">
        <v>136.05000000000001</v>
      </c>
      <c r="Q670" s="29">
        <v>0</v>
      </c>
    </row>
    <row r="671" spans="2:17">
      <c r="B671" s="111">
        <v>6</v>
      </c>
      <c r="C671" s="111">
        <v>881</v>
      </c>
      <c r="D671" s="111" t="s">
        <v>447</v>
      </c>
      <c r="E671" s="111" t="s">
        <v>448</v>
      </c>
      <c r="F671" s="240">
        <v>42114</v>
      </c>
      <c r="G671" s="13"/>
      <c r="H671" s="12">
        <v>1108.43</v>
      </c>
      <c r="I671" s="17"/>
      <c r="J671" s="17"/>
      <c r="K671" s="17"/>
      <c r="L671" s="17"/>
      <c r="M671" s="17"/>
      <c r="N671" s="29">
        <v>0</v>
      </c>
      <c r="O671" s="29">
        <v>199.52</v>
      </c>
      <c r="P671" s="29">
        <v>1307.95</v>
      </c>
      <c r="Q671" s="29">
        <v>0</v>
      </c>
    </row>
    <row r="672" spans="2:17">
      <c r="B672" s="111">
        <v>6</v>
      </c>
      <c r="C672" s="111">
        <v>883</v>
      </c>
      <c r="D672" s="111" t="s">
        <v>467</v>
      </c>
      <c r="E672" s="111" t="s">
        <v>448</v>
      </c>
      <c r="F672" s="240">
        <v>42115</v>
      </c>
      <c r="G672" s="13"/>
      <c r="H672" s="12">
        <v>1190.17</v>
      </c>
      <c r="I672" s="17"/>
      <c r="J672" s="17"/>
      <c r="K672" s="17"/>
      <c r="L672" s="17"/>
      <c r="M672" s="17"/>
      <c r="N672" s="29">
        <v>0</v>
      </c>
      <c r="O672" s="29">
        <v>214.23</v>
      </c>
      <c r="P672" s="29">
        <v>1404.4</v>
      </c>
      <c r="Q672" s="29">
        <v>0</v>
      </c>
    </row>
    <row r="673" spans="2:17" s="33" customFormat="1" ht="11.25">
      <c r="B673" s="270">
        <v>6</v>
      </c>
      <c r="C673" s="270">
        <v>884</v>
      </c>
      <c r="D673" s="270" t="s">
        <v>454</v>
      </c>
      <c r="E673" s="270" t="s">
        <v>448</v>
      </c>
      <c r="F673" s="254">
        <v>42116</v>
      </c>
      <c r="G673" s="253"/>
      <c r="H673" s="255">
        <v>2040</v>
      </c>
      <c r="I673" s="277" t="s">
        <v>73</v>
      </c>
      <c r="J673" s="277"/>
      <c r="K673" s="277"/>
      <c r="L673" s="277"/>
      <c r="M673" s="277"/>
      <c r="N673" s="33">
        <v>0</v>
      </c>
      <c r="O673" s="33">
        <v>367.2</v>
      </c>
      <c r="P673" s="33">
        <v>2407.1999999999998</v>
      </c>
      <c r="Q673" s="33">
        <v>0</v>
      </c>
    </row>
    <row r="674" spans="2:17" s="33" customFormat="1" ht="11.25">
      <c r="B674" s="270">
        <v>6</v>
      </c>
      <c r="C674" s="270">
        <v>885</v>
      </c>
      <c r="D674" s="270" t="s">
        <v>454</v>
      </c>
      <c r="E674" s="270" t="s">
        <v>448</v>
      </c>
      <c r="F674" s="254">
        <v>42116</v>
      </c>
      <c r="G674" s="253"/>
      <c r="H674" s="255">
        <v>1151.22</v>
      </c>
      <c r="I674" s="277" t="s">
        <v>73</v>
      </c>
      <c r="J674" s="277"/>
      <c r="K674" s="277"/>
      <c r="L674" s="277"/>
      <c r="M674" s="277"/>
      <c r="N674" s="33">
        <v>0</v>
      </c>
      <c r="O674" s="33">
        <v>207.22</v>
      </c>
      <c r="P674" s="33">
        <v>1358.44</v>
      </c>
      <c r="Q674" s="33">
        <v>0</v>
      </c>
    </row>
    <row r="675" spans="2:17">
      <c r="B675" s="111">
        <v>6</v>
      </c>
      <c r="C675" s="111">
        <v>886</v>
      </c>
      <c r="D675" s="111" t="s">
        <v>490</v>
      </c>
      <c r="E675" s="111" t="s">
        <v>452</v>
      </c>
      <c r="F675" s="240">
        <v>42117</v>
      </c>
      <c r="G675" s="240">
        <v>42124</v>
      </c>
      <c r="H675" s="12">
        <v>6059.32</v>
      </c>
      <c r="I675" s="17"/>
      <c r="J675" s="17"/>
      <c r="K675" s="17"/>
      <c r="L675" s="17"/>
      <c r="M675" s="17"/>
      <c r="N675" s="29">
        <v>0</v>
      </c>
      <c r="O675" s="29">
        <v>1090.68</v>
      </c>
      <c r="P675" s="29">
        <v>7150</v>
      </c>
      <c r="Q675" s="29">
        <v>0</v>
      </c>
    </row>
    <row r="676" spans="2:17">
      <c r="B676" s="111">
        <v>6</v>
      </c>
      <c r="C676" s="111">
        <v>888</v>
      </c>
      <c r="D676" s="111" t="s">
        <v>490</v>
      </c>
      <c r="E676" s="111" t="s">
        <v>452</v>
      </c>
      <c r="F676" s="240">
        <v>42117</v>
      </c>
      <c r="G676" s="240">
        <v>42124</v>
      </c>
      <c r="H676" s="12">
        <v>4521.1899999999996</v>
      </c>
      <c r="I676" s="17"/>
      <c r="J676" s="17"/>
      <c r="K676" s="17"/>
      <c r="L676" s="17"/>
      <c r="M676" s="17"/>
      <c r="N676" s="29">
        <v>0</v>
      </c>
      <c r="O676" s="29">
        <v>813.81</v>
      </c>
      <c r="P676" s="29">
        <v>5335</v>
      </c>
      <c r="Q676" s="29">
        <v>0</v>
      </c>
    </row>
    <row r="677" spans="2:17">
      <c r="B677" s="111">
        <v>6</v>
      </c>
      <c r="C677" s="111">
        <v>889</v>
      </c>
      <c r="D677" s="111" t="s">
        <v>381</v>
      </c>
      <c r="E677" s="111" t="s">
        <v>382</v>
      </c>
      <c r="F677" s="240">
        <v>42117</v>
      </c>
      <c r="G677" s="13"/>
      <c r="H677" s="12">
        <v>8368.64</v>
      </c>
      <c r="I677" s="17"/>
      <c r="J677" s="17"/>
      <c r="K677" s="17"/>
      <c r="L677" s="17"/>
      <c r="M677" s="17"/>
      <c r="N677" s="29">
        <v>0</v>
      </c>
      <c r="O677" s="29">
        <v>1506.36</v>
      </c>
      <c r="P677" s="29">
        <v>9875</v>
      </c>
      <c r="Q677" s="29">
        <v>0</v>
      </c>
    </row>
    <row r="678" spans="2:17">
      <c r="B678" s="111">
        <v>6</v>
      </c>
      <c r="C678" s="111">
        <v>887</v>
      </c>
      <c r="D678" s="111" t="s">
        <v>490</v>
      </c>
      <c r="E678" s="111" t="s">
        <v>452</v>
      </c>
      <c r="F678" s="240">
        <v>42117</v>
      </c>
      <c r="G678" s="240">
        <v>42124</v>
      </c>
      <c r="H678" s="12">
        <v>3805.08</v>
      </c>
      <c r="I678" s="17"/>
      <c r="J678" s="17"/>
      <c r="K678" s="17"/>
      <c r="L678" s="17"/>
      <c r="M678" s="17"/>
      <c r="N678" s="29">
        <v>3420</v>
      </c>
      <c r="O678" s="29">
        <v>684.92</v>
      </c>
      <c r="P678" s="29">
        <v>7910</v>
      </c>
      <c r="Q678" s="29">
        <v>0</v>
      </c>
    </row>
    <row r="679" spans="2:17">
      <c r="B679" s="111">
        <v>6</v>
      </c>
      <c r="C679" s="111">
        <v>892</v>
      </c>
      <c r="D679" s="111" t="s">
        <v>467</v>
      </c>
      <c r="E679" s="111" t="s">
        <v>448</v>
      </c>
      <c r="F679" s="240">
        <v>42118</v>
      </c>
      <c r="G679" s="13"/>
      <c r="H679" s="12">
        <v>8686.44</v>
      </c>
      <c r="I679" s="17"/>
      <c r="J679" s="17"/>
      <c r="K679" s="17"/>
      <c r="L679" s="17"/>
      <c r="M679" s="17"/>
      <c r="N679" s="29">
        <v>0</v>
      </c>
      <c r="O679" s="29">
        <v>1563.56</v>
      </c>
      <c r="P679" s="29">
        <v>10250</v>
      </c>
      <c r="Q679" s="29">
        <v>0</v>
      </c>
    </row>
    <row r="680" spans="2:17">
      <c r="B680" s="111">
        <v>6</v>
      </c>
      <c r="C680" s="111">
        <v>893</v>
      </c>
      <c r="D680" s="111" t="s">
        <v>462</v>
      </c>
      <c r="E680" s="111" t="s">
        <v>452</v>
      </c>
      <c r="F680" s="240">
        <v>42119</v>
      </c>
      <c r="G680" s="13"/>
      <c r="H680" s="12">
        <v>1065.25</v>
      </c>
      <c r="I680" s="17"/>
      <c r="J680" s="17"/>
      <c r="K680" s="17"/>
      <c r="L680" s="17"/>
      <c r="M680" s="17"/>
      <c r="N680" s="29">
        <v>0</v>
      </c>
      <c r="O680" s="29">
        <v>191.75</v>
      </c>
      <c r="P680" s="29">
        <v>1257</v>
      </c>
      <c r="Q680" s="29">
        <v>0</v>
      </c>
    </row>
    <row r="681" spans="2:17" s="33" customFormat="1" ht="11.25">
      <c r="B681" s="270">
        <v>6</v>
      </c>
      <c r="C681" s="270">
        <v>891</v>
      </c>
      <c r="D681" s="270" t="s">
        <v>454</v>
      </c>
      <c r="E681" s="270" t="s">
        <v>448</v>
      </c>
      <c r="F681" s="254">
        <v>42118</v>
      </c>
      <c r="G681" s="253"/>
      <c r="H681" s="255">
        <v>15842.98</v>
      </c>
      <c r="I681" s="277" t="s">
        <v>73</v>
      </c>
      <c r="J681" s="277"/>
      <c r="K681" s="277"/>
      <c r="L681" s="277"/>
      <c r="M681" s="277"/>
      <c r="N681" s="33">
        <v>0</v>
      </c>
      <c r="O681" s="33">
        <v>2851.74</v>
      </c>
      <c r="P681" s="33">
        <v>18694.72</v>
      </c>
      <c r="Q681" s="33">
        <v>0</v>
      </c>
    </row>
    <row r="682" spans="2:17">
      <c r="B682" s="111">
        <v>6</v>
      </c>
      <c r="C682" s="111">
        <v>894</v>
      </c>
      <c r="D682" s="111" t="s">
        <v>447</v>
      </c>
      <c r="E682" s="111" t="s">
        <v>448</v>
      </c>
      <c r="F682" s="240">
        <v>42121</v>
      </c>
      <c r="G682" s="13"/>
      <c r="H682" s="12">
        <v>4117.82</v>
      </c>
      <c r="I682" s="17"/>
      <c r="J682" s="17"/>
      <c r="K682" s="17"/>
      <c r="L682" s="17"/>
      <c r="M682" s="17"/>
      <c r="N682" s="29">
        <v>0</v>
      </c>
      <c r="O682" s="29">
        <v>741.21</v>
      </c>
      <c r="P682" s="29">
        <v>4859.03</v>
      </c>
      <c r="Q682" s="29">
        <v>0</v>
      </c>
    </row>
    <row r="683" spans="2:17">
      <c r="B683" s="111">
        <v>6</v>
      </c>
      <c r="C683" s="111">
        <v>895</v>
      </c>
      <c r="D683" s="111" t="s">
        <v>381</v>
      </c>
      <c r="E683" s="111" t="s">
        <v>382</v>
      </c>
      <c r="F683" s="240">
        <v>42122</v>
      </c>
      <c r="G683" s="13"/>
      <c r="H683" s="12">
        <v>900</v>
      </c>
      <c r="I683" s="17"/>
      <c r="J683" s="17"/>
      <c r="K683" s="17"/>
      <c r="L683" s="17"/>
      <c r="M683" s="17"/>
      <c r="N683" s="29">
        <v>900</v>
      </c>
      <c r="O683" s="29">
        <v>0</v>
      </c>
      <c r="P683" s="29">
        <v>900</v>
      </c>
      <c r="Q683" s="29">
        <v>0</v>
      </c>
    </row>
    <row r="684" spans="2:17">
      <c r="B684" s="111">
        <v>6</v>
      </c>
      <c r="C684" s="111">
        <v>896</v>
      </c>
      <c r="D684" s="111" t="s">
        <v>381</v>
      </c>
      <c r="E684" s="111" t="s">
        <v>382</v>
      </c>
      <c r="F684" s="240">
        <v>42122</v>
      </c>
      <c r="G684" s="13"/>
      <c r="H684" s="12">
        <v>4800</v>
      </c>
      <c r="I684" s="17"/>
      <c r="J684" s="17"/>
      <c r="K684" s="17"/>
      <c r="L684" s="17"/>
      <c r="M684" s="17"/>
      <c r="N684" s="29">
        <v>4800</v>
      </c>
      <c r="O684" s="29">
        <v>0</v>
      </c>
      <c r="P684" s="29">
        <v>4800</v>
      </c>
      <c r="Q684" s="29">
        <v>0</v>
      </c>
    </row>
    <row r="685" spans="2:17" s="33" customFormat="1" ht="11.25">
      <c r="B685" s="270">
        <v>6</v>
      </c>
      <c r="C685" s="270">
        <v>897</v>
      </c>
      <c r="D685" s="270" t="s">
        <v>454</v>
      </c>
      <c r="E685" s="270" t="s">
        <v>448</v>
      </c>
      <c r="F685" s="254">
        <v>42122</v>
      </c>
      <c r="G685" s="253"/>
      <c r="H685" s="255">
        <v>9264.58</v>
      </c>
      <c r="I685" s="277" t="s">
        <v>73</v>
      </c>
      <c r="J685" s="277"/>
      <c r="K685" s="277"/>
      <c r="L685" s="277"/>
      <c r="M685" s="277"/>
      <c r="N685" s="33">
        <v>0</v>
      </c>
      <c r="O685" s="33">
        <v>1667.62</v>
      </c>
      <c r="P685" s="33">
        <v>10932.2</v>
      </c>
      <c r="Q685" s="33">
        <v>0</v>
      </c>
    </row>
    <row r="686" spans="2:17" s="33" customFormat="1" ht="11.25">
      <c r="B686" s="270">
        <v>6</v>
      </c>
      <c r="C686" s="270">
        <v>898</v>
      </c>
      <c r="D686" s="270" t="s">
        <v>454</v>
      </c>
      <c r="E686" s="270" t="s">
        <v>448</v>
      </c>
      <c r="F686" s="254">
        <v>42122</v>
      </c>
      <c r="G686" s="253"/>
      <c r="H686" s="255">
        <v>34646.239999999998</v>
      </c>
      <c r="I686" s="277" t="s">
        <v>73</v>
      </c>
      <c r="J686" s="277"/>
      <c r="K686" s="277"/>
      <c r="L686" s="277"/>
      <c r="M686" s="277"/>
      <c r="N686" s="33">
        <v>0</v>
      </c>
      <c r="O686" s="33">
        <v>6236.32</v>
      </c>
      <c r="P686" s="33">
        <v>40882.559999999998</v>
      </c>
      <c r="Q686" s="33">
        <v>0</v>
      </c>
    </row>
    <row r="687" spans="2:17">
      <c r="B687" s="111">
        <v>6</v>
      </c>
      <c r="C687" s="111">
        <v>899</v>
      </c>
      <c r="D687" s="111" t="s">
        <v>447</v>
      </c>
      <c r="E687" s="111" t="s">
        <v>448</v>
      </c>
      <c r="F687" s="240">
        <v>42122</v>
      </c>
      <c r="G687" s="13"/>
      <c r="H687" s="12">
        <v>1132</v>
      </c>
      <c r="I687" s="17"/>
      <c r="J687" s="17"/>
      <c r="K687" s="17"/>
      <c r="L687" s="17"/>
      <c r="M687" s="17"/>
      <c r="N687" s="29">
        <v>0</v>
      </c>
      <c r="O687" s="29">
        <v>203.76</v>
      </c>
      <c r="P687" s="29">
        <v>1335.76</v>
      </c>
      <c r="Q687" s="29">
        <v>0</v>
      </c>
    </row>
    <row r="688" spans="2:17">
      <c r="B688" s="111">
        <v>6</v>
      </c>
      <c r="C688" s="111">
        <v>900</v>
      </c>
      <c r="D688" s="111" t="s">
        <v>490</v>
      </c>
      <c r="E688" s="111" t="s">
        <v>452</v>
      </c>
      <c r="F688" s="240">
        <v>42123</v>
      </c>
      <c r="G688" s="13"/>
      <c r="H688" s="12">
        <v>2372.88</v>
      </c>
      <c r="I688" s="17"/>
      <c r="J688" s="17"/>
      <c r="K688" s="17"/>
      <c r="L688" s="17"/>
      <c r="M688" s="17"/>
      <c r="N688" s="29">
        <v>0</v>
      </c>
      <c r="O688" s="29">
        <v>427.12</v>
      </c>
      <c r="P688" s="29">
        <v>2800</v>
      </c>
      <c r="Q688" s="29">
        <v>0</v>
      </c>
    </row>
    <row r="689" spans="2:17">
      <c r="B689" s="111">
        <v>6</v>
      </c>
      <c r="C689" s="111">
        <v>901</v>
      </c>
      <c r="D689" s="111" t="s">
        <v>447</v>
      </c>
      <c r="E689" s="111" t="s">
        <v>448</v>
      </c>
      <c r="F689" s="240">
        <v>42124</v>
      </c>
      <c r="G689" s="13"/>
      <c r="H689" s="12">
        <v>2379.9499999999998</v>
      </c>
      <c r="I689" s="17"/>
      <c r="J689" s="17"/>
      <c r="K689" s="17"/>
      <c r="L689" s="17"/>
      <c r="M689" s="17"/>
      <c r="N689" s="29">
        <v>0</v>
      </c>
      <c r="O689" s="29">
        <v>428.39</v>
      </c>
      <c r="P689" s="29">
        <v>2808.34</v>
      </c>
      <c r="Q689" s="29">
        <v>0</v>
      </c>
    </row>
    <row r="690" spans="2:17">
      <c r="B690" s="111">
        <v>6</v>
      </c>
      <c r="C690" s="111">
        <v>904</v>
      </c>
      <c r="D690" s="111" t="s">
        <v>381</v>
      </c>
      <c r="E690" s="111" t="s">
        <v>382</v>
      </c>
      <c r="F690" s="240">
        <v>42124</v>
      </c>
      <c r="G690" s="13"/>
      <c r="H690" s="12">
        <v>9661.02</v>
      </c>
      <c r="I690" s="17"/>
      <c r="J690" s="17"/>
      <c r="K690" s="17"/>
      <c r="L690" s="17"/>
      <c r="M690" s="17"/>
      <c r="N690" s="29">
        <v>0</v>
      </c>
      <c r="O690" s="29">
        <v>1738.98</v>
      </c>
      <c r="P690" s="29">
        <v>11400</v>
      </c>
      <c r="Q690" s="29">
        <v>0</v>
      </c>
    </row>
    <row r="691" spans="2:17">
      <c r="B691" s="111">
        <v>6</v>
      </c>
      <c r="C691" s="111">
        <v>903</v>
      </c>
      <c r="D691" s="111" t="s">
        <v>381</v>
      </c>
      <c r="E691" s="111" t="s">
        <v>382</v>
      </c>
      <c r="F691" s="240">
        <v>42124</v>
      </c>
      <c r="G691" s="13"/>
      <c r="H691" s="12">
        <v>9661.02</v>
      </c>
      <c r="I691" s="17"/>
      <c r="J691" s="17"/>
      <c r="K691" s="17"/>
      <c r="L691" s="17"/>
      <c r="M691" s="17"/>
      <c r="N691" s="29">
        <v>0</v>
      </c>
      <c r="O691" s="29">
        <v>1738.98</v>
      </c>
      <c r="P691" s="29">
        <v>11400</v>
      </c>
      <c r="Q691" s="29">
        <v>0</v>
      </c>
    </row>
    <row r="692" spans="2:17">
      <c r="F692" s="4"/>
      <c r="G692" s="4"/>
      <c r="H692" s="17">
        <f>SUM(H639:H691)</f>
        <v>342332.10000000009</v>
      </c>
    </row>
    <row r="693" spans="2:17">
      <c r="F693" s="4"/>
      <c r="G693" s="4"/>
      <c r="H693" s="17"/>
    </row>
    <row r="694" spans="2:17">
      <c r="D694" s="264" t="s">
        <v>454</v>
      </c>
      <c r="E694" s="267">
        <f>H642+H644+H655+H664+H665+H666+H673+H674+H681+H685+H686</f>
        <v>177409.18</v>
      </c>
      <c r="G694" s="273" t="s">
        <v>44</v>
      </c>
      <c r="H694" s="267">
        <f>H692-E694</f>
        <v>164922.9200000001</v>
      </c>
    </row>
    <row r="695" spans="2:17">
      <c r="F695" s="4"/>
      <c r="G695" s="4"/>
      <c r="H695" s="17"/>
    </row>
    <row r="698" spans="2:17">
      <c r="B698" s="59"/>
      <c r="C698" s="138" t="s">
        <v>489</v>
      </c>
      <c r="D698" s="59"/>
      <c r="E698" s="59"/>
      <c r="F698" s="59"/>
      <c r="G698" s="59"/>
      <c r="H698" s="60"/>
    </row>
    <row r="699" spans="2:17">
      <c r="B699" s="59"/>
      <c r="C699" s="59"/>
      <c r="D699" s="59"/>
      <c r="E699" s="59"/>
      <c r="F699" s="59"/>
      <c r="G699" s="59"/>
      <c r="H699" s="60"/>
    </row>
    <row r="700" spans="2:17">
      <c r="B700" s="264" t="s">
        <v>369</v>
      </c>
      <c r="C700" s="264" t="s">
        <v>370</v>
      </c>
      <c r="D700" s="264" t="s">
        <v>371</v>
      </c>
      <c r="E700" s="264" t="s">
        <v>372</v>
      </c>
      <c r="F700" s="264" t="s">
        <v>373</v>
      </c>
      <c r="G700" s="264" t="s">
        <v>470</v>
      </c>
      <c r="H700" s="267" t="s">
        <v>375</v>
      </c>
    </row>
    <row r="701" spans="2:17">
      <c r="B701" s="111">
        <v>1</v>
      </c>
      <c r="C701" s="111">
        <v>288761</v>
      </c>
      <c r="D701" s="111" t="s">
        <v>447</v>
      </c>
      <c r="E701" s="111" t="s">
        <v>448</v>
      </c>
      <c r="F701" s="265">
        <v>41470</v>
      </c>
      <c r="G701" s="265">
        <v>42122</v>
      </c>
      <c r="H701" s="111">
        <v>1313</v>
      </c>
      <c r="N701" s="29">
        <v>0</v>
      </c>
      <c r="O701" s="29">
        <v>236.34</v>
      </c>
      <c r="P701" s="29">
        <v>1549.34</v>
      </c>
      <c r="Q701" s="29">
        <v>1549.34</v>
      </c>
    </row>
    <row r="702" spans="2:17">
      <c r="B702" s="111">
        <v>6</v>
      </c>
      <c r="C702" s="111">
        <v>738</v>
      </c>
      <c r="D702" s="111" t="s">
        <v>456</v>
      </c>
      <c r="E702" s="111" t="s">
        <v>457</v>
      </c>
      <c r="F702" s="265">
        <v>42030</v>
      </c>
      <c r="G702" s="265">
        <v>42124</v>
      </c>
      <c r="H702" s="111">
        <v>135.59</v>
      </c>
      <c r="N702" s="29">
        <v>0</v>
      </c>
      <c r="O702" s="29">
        <v>24.41</v>
      </c>
      <c r="P702" s="29">
        <v>160</v>
      </c>
      <c r="Q702" s="29">
        <v>160</v>
      </c>
    </row>
    <row r="703" spans="2:17">
      <c r="B703" s="111">
        <v>6</v>
      </c>
      <c r="C703" s="111">
        <v>766</v>
      </c>
      <c r="D703" s="111" t="s">
        <v>381</v>
      </c>
      <c r="E703" s="111" t="s">
        <v>382</v>
      </c>
      <c r="F703" s="265">
        <v>42042</v>
      </c>
      <c r="G703" s="265">
        <v>42102</v>
      </c>
      <c r="H703" s="111">
        <v>3050.85</v>
      </c>
      <c r="N703" s="29">
        <v>0</v>
      </c>
      <c r="O703" s="29">
        <v>549.15</v>
      </c>
      <c r="P703" s="29">
        <v>3600</v>
      </c>
      <c r="Q703" s="29">
        <v>0</v>
      </c>
    </row>
    <row r="704" spans="2:17">
      <c r="B704" s="111">
        <v>6</v>
      </c>
      <c r="C704" s="111">
        <v>768</v>
      </c>
      <c r="D704" s="111" t="s">
        <v>381</v>
      </c>
      <c r="E704" s="111" t="s">
        <v>382</v>
      </c>
      <c r="F704" s="265">
        <v>42046</v>
      </c>
      <c r="G704" s="265">
        <v>42102</v>
      </c>
      <c r="H704" s="111">
        <v>5898.3</v>
      </c>
      <c r="N704" s="29">
        <v>0</v>
      </c>
      <c r="O704" s="29">
        <v>1061.7</v>
      </c>
      <c r="P704" s="29">
        <v>6960</v>
      </c>
      <c r="Q704" s="29">
        <v>0</v>
      </c>
    </row>
    <row r="705" spans="2:17">
      <c r="B705" s="111">
        <v>6</v>
      </c>
      <c r="C705" s="111">
        <v>791</v>
      </c>
      <c r="D705" s="111" t="s">
        <v>379</v>
      </c>
      <c r="E705" s="111" t="s">
        <v>380</v>
      </c>
      <c r="F705" s="265">
        <v>42066</v>
      </c>
      <c r="G705" s="265">
        <v>42101</v>
      </c>
      <c r="H705" s="111">
        <v>4712.54</v>
      </c>
      <c r="N705" s="29">
        <v>0</v>
      </c>
      <c r="O705" s="29">
        <v>848.26</v>
      </c>
      <c r="P705" s="29">
        <v>5560.8</v>
      </c>
      <c r="Q705" s="29">
        <v>0</v>
      </c>
    </row>
    <row r="706" spans="2:17" s="33" customFormat="1" ht="9">
      <c r="B706" s="270">
        <v>6</v>
      </c>
      <c r="C706" s="270">
        <v>793</v>
      </c>
      <c r="D706" s="270" t="s">
        <v>454</v>
      </c>
      <c r="E706" s="270" t="s">
        <v>448</v>
      </c>
      <c r="F706" s="271">
        <v>42067</v>
      </c>
      <c r="G706" s="271">
        <v>42101</v>
      </c>
      <c r="H706" s="270">
        <v>5200</v>
      </c>
      <c r="I706" s="33" t="s">
        <v>73</v>
      </c>
      <c r="N706" s="33">
        <v>0</v>
      </c>
      <c r="O706" s="33">
        <v>936</v>
      </c>
      <c r="P706" s="33">
        <v>6136</v>
      </c>
      <c r="Q706" s="33">
        <v>0</v>
      </c>
    </row>
    <row r="707" spans="2:17">
      <c r="B707" s="111">
        <v>6</v>
      </c>
      <c r="C707" s="111">
        <v>794</v>
      </c>
      <c r="D707" s="111" t="s">
        <v>447</v>
      </c>
      <c r="E707" s="111" t="s">
        <v>448</v>
      </c>
      <c r="F707" s="265">
        <v>42068</v>
      </c>
      <c r="G707" s="265">
        <v>42101</v>
      </c>
      <c r="H707" s="111">
        <v>5473.52</v>
      </c>
      <c r="N707" s="29">
        <v>0</v>
      </c>
      <c r="O707" s="29">
        <v>985.23</v>
      </c>
      <c r="P707" s="29">
        <v>6458.75</v>
      </c>
      <c r="Q707" s="29">
        <v>0</v>
      </c>
    </row>
    <row r="708" spans="2:17">
      <c r="B708" s="111">
        <v>6</v>
      </c>
      <c r="C708" s="111">
        <v>795</v>
      </c>
      <c r="D708" s="111" t="s">
        <v>447</v>
      </c>
      <c r="E708" s="111" t="s">
        <v>448</v>
      </c>
      <c r="F708" s="265">
        <v>42068</v>
      </c>
      <c r="G708" s="265">
        <v>42101</v>
      </c>
      <c r="H708" s="111">
        <v>160</v>
      </c>
      <c r="N708" s="29">
        <v>0</v>
      </c>
      <c r="O708" s="29">
        <v>28.8</v>
      </c>
      <c r="P708" s="29">
        <v>188.8</v>
      </c>
      <c r="Q708" s="29">
        <v>0</v>
      </c>
    </row>
    <row r="709" spans="2:17">
      <c r="B709" s="111">
        <v>6</v>
      </c>
      <c r="C709" s="111">
        <v>796</v>
      </c>
      <c r="D709" s="111" t="s">
        <v>447</v>
      </c>
      <c r="E709" s="111" t="s">
        <v>448</v>
      </c>
      <c r="F709" s="265">
        <v>42068</v>
      </c>
      <c r="G709" s="265">
        <v>42101</v>
      </c>
      <c r="H709" s="111">
        <v>1273.68</v>
      </c>
      <c r="N709" s="29">
        <v>0</v>
      </c>
      <c r="O709" s="29">
        <v>229.26</v>
      </c>
      <c r="P709" s="29">
        <v>1502.94</v>
      </c>
      <c r="Q709" s="29">
        <v>0</v>
      </c>
    </row>
    <row r="710" spans="2:17">
      <c r="B710" s="111">
        <v>6</v>
      </c>
      <c r="C710" s="111">
        <v>797</v>
      </c>
      <c r="D710" s="111" t="s">
        <v>467</v>
      </c>
      <c r="E710" s="111" t="s">
        <v>448</v>
      </c>
      <c r="F710" s="265">
        <v>42072</v>
      </c>
      <c r="G710" s="265">
        <v>42101</v>
      </c>
      <c r="H710" s="111">
        <v>2869.49</v>
      </c>
      <c r="N710" s="29">
        <v>0</v>
      </c>
      <c r="O710" s="29">
        <v>516.51</v>
      </c>
      <c r="P710" s="29">
        <v>3386</v>
      </c>
      <c r="Q710" s="29">
        <v>0</v>
      </c>
    </row>
    <row r="711" spans="2:17" s="33" customFormat="1" ht="9">
      <c r="B711" s="270">
        <v>6</v>
      </c>
      <c r="C711" s="270">
        <v>802</v>
      </c>
      <c r="D711" s="270" t="s">
        <v>454</v>
      </c>
      <c r="E711" s="270" t="s">
        <v>448</v>
      </c>
      <c r="F711" s="271">
        <v>42075</v>
      </c>
      <c r="G711" s="271">
        <v>42109</v>
      </c>
      <c r="H711" s="270">
        <v>25491.3</v>
      </c>
      <c r="I711" s="33" t="s">
        <v>73</v>
      </c>
      <c r="N711" s="33">
        <v>0</v>
      </c>
      <c r="O711" s="33">
        <v>4588.43</v>
      </c>
      <c r="P711" s="33">
        <v>30079.73</v>
      </c>
      <c r="Q711" s="33">
        <v>0</v>
      </c>
    </row>
    <row r="712" spans="2:17" s="33" customFormat="1" ht="9">
      <c r="B712" s="270">
        <v>6</v>
      </c>
      <c r="C712" s="270">
        <v>801</v>
      </c>
      <c r="D712" s="270" t="s">
        <v>454</v>
      </c>
      <c r="E712" s="270" t="s">
        <v>448</v>
      </c>
      <c r="F712" s="271">
        <v>42075</v>
      </c>
      <c r="G712" s="271">
        <v>42109</v>
      </c>
      <c r="H712" s="270">
        <v>24120.799999999999</v>
      </c>
      <c r="I712" s="33" t="s">
        <v>73</v>
      </c>
      <c r="N712" s="33">
        <v>0</v>
      </c>
      <c r="O712" s="33">
        <v>4341.74</v>
      </c>
      <c r="P712" s="33">
        <v>28462.54</v>
      </c>
      <c r="Q712" s="33">
        <v>0</v>
      </c>
    </row>
    <row r="713" spans="2:17" s="33" customFormat="1" ht="9">
      <c r="B713" s="270">
        <v>6</v>
      </c>
      <c r="C713" s="270">
        <v>804</v>
      </c>
      <c r="D713" s="270" t="s">
        <v>454</v>
      </c>
      <c r="E713" s="270" t="s">
        <v>448</v>
      </c>
      <c r="F713" s="271">
        <v>42075</v>
      </c>
      <c r="G713" s="271">
        <v>42109</v>
      </c>
      <c r="H713" s="270">
        <v>2850.64</v>
      </c>
      <c r="I713" s="33" t="s">
        <v>73</v>
      </c>
      <c r="N713" s="33">
        <v>0</v>
      </c>
      <c r="O713" s="33">
        <v>513.12</v>
      </c>
      <c r="P713" s="33">
        <v>3363.76</v>
      </c>
      <c r="Q713" s="33">
        <v>0</v>
      </c>
    </row>
    <row r="714" spans="2:17" s="33" customFormat="1" ht="9">
      <c r="B714" s="270">
        <v>6</v>
      </c>
      <c r="C714" s="270">
        <v>803</v>
      </c>
      <c r="D714" s="270" t="s">
        <v>454</v>
      </c>
      <c r="E714" s="270" t="s">
        <v>448</v>
      </c>
      <c r="F714" s="271">
        <v>42075</v>
      </c>
      <c r="G714" s="271">
        <v>42109</v>
      </c>
      <c r="H714" s="270">
        <v>15568.88</v>
      </c>
      <c r="I714" s="33" t="s">
        <v>73</v>
      </c>
      <c r="N714" s="33">
        <v>0</v>
      </c>
      <c r="O714" s="33">
        <v>2802.4</v>
      </c>
      <c r="P714" s="33">
        <v>18371.28</v>
      </c>
      <c r="Q714" s="33">
        <v>0</v>
      </c>
    </row>
    <row r="715" spans="2:17" s="33" customFormat="1" ht="9">
      <c r="B715" s="270">
        <v>6</v>
      </c>
      <c r="C715" s="270">
        <v>808</v>
      </c>
      <c r="D715" s="270" t="s">
        <v>454</v>
      </c>
      <c r="E715" s="270" t="s">
        <v>448</v>
      </c>
      <c r="F715" s="271">
        <v>42080</v>
      </c>
      <c r="G715" s="271">
        <v>42109</v>
      </c>
      <c r="H715" s="270">
        <v>1000</v>
      </c>
      <c r="I715" s="33" t="s">
        <v>73</v>
      </c>
      <c r="N715" s="33">
        <v>0</v>
      </c>
      <c r="O715" s="33">
        <v>180</v>
      </c>
      <c r="P715" s="33">
        <v>1180</v>
      </c>
      <c r="Q715" s="33">
        <v>0</v>
      </c>
    </row>
    <row r="716" spans="2:17">
      <c r="B716" s="111">
        <v>6</v>
      </c>
      <c r="C716" s="111">
        <v>807</v>
      </c>
      <c r="D716" s="111" t="s">
        <v>447</v>
      </c>
      <c r="E716" s="111" t="s">
        <v>448</v>
      </c>
      <c r="F716" s="265">
        <v>42080</v>
      </c>
      <c r="G716" s="265">
        <v>42116</v>
      </c>
      <c r="H716" s="111">
        <v>8927.57</v>
      </c>
      <c r="N716" s="29">
        <v>0</v>
      </c>
      <c r="O716" s="29">
        <v>1606.96</v>
      </c>
      <c r="P716" s="29">
        <v>10534.53</v>
      </c>
      <c r="Q716" s="29">
        <v>0</v>
      </c>
    </row>
    <row r="717" spans="2:17">
      <c r="B717" s="111">
        <v>6</v>
      </c>
      <c r="C717" s="111">
        <v>809</v>
      </c>
      <c r="D717" s="111" t="s">
        <v>454</v>
      </c>
      <c r="E717" s="111" t="s">
        <v>448</v>
      </c>
      <c r="F717" s="265">
        <v>42080</v>
      </c>
      <c r="G717" s="265">
        <v>42109</v>
      </c>
      <c r="H717" s="111">
        <v>822.3</v>
      </c>
      <c r="I717" s="29" t="s">
        <v>73</v>
      </c>
      <c r="N717" s="29">
        <v>0</v>
      </c>
      <c r="O717" s="29">
        <v>148.01</v>
      </c>
      <c r="P717" s="29">
        <v>970.31</v>
      </c>
      <c r="Q717" s="29">
        <v>0</v>
      </c>
    </row>
    <row r="718" spans="2:17">
      <c r="B718" s="111">
        <v>6</v>
      </c>
      <c r="C718" s="111">
        <v>811</v>
      </c>
      <c r="D718" s="111" t="s">
        <v>460</v>
      </c>
      <c r="E718" s="111" t="s">
        <v>448</v>
      </c>
      <c r="F718" s="265">
        <v>42081</v>
      </c>
      <c r="G718" s="265">
        <v>42114</v>
      </c>
      <c r="H718" s="111">
        <v>98.31</v>
      </c>
      <c r="N718" s="29">
        <v>0</v>
      </c>
      <c r="O718" s="29">
        <v>17.690000000000001</v>
      </c>
      <c r="P718" s="29">
        <v>116</v>
      </c>
      <c r="Q718" s="29">
        <v>0</v>
      </c>
    </row>
    <row r="719" spans="2:17" s="33" customFormat="1" ht="9">
      <c r="B719" s="270">
        <v>6</v>
      </c>
      <c r="C719" s="270">
        <v>815</v>
      </c>
      <c r="D719" s="270" t="s">
        <v>454</v>
      </c>
      <c r="E719" s="270" t="s">
        <v>448</v>
      </c>
      <c r="F719" s="271">
        <v>42083</v>
      </c>
      <c r="G719" s="271">
        <v>42118</v>
      </c>
      <c r="H719" s="270">
        <v>480</v>
      </c>
      <c r="I719" s="33" t="s">
        <v>73</v>
      </c>
      <c r="N719" s="33">
        <v>0</v>
      </c>
      <c r="O719" s="33">
        <v>86.4</v>
      </c>
      <c r="P719" s="33">
        <v>566.4</v>
      </c>
      <c r="Q719" s="33">
        <v>0</v>
      </c>
    </row>
    <row r="720" spans="2:17">
      <c r="B720" s="111">
        <v>6</v>
      </c>
      <c r="C720" s="111">
        <v>819</v>
      </c>
      <c r="D720" s="111" t="s">
        <v>401</v>
      </c>
      <c r="E720" s="111" t="s">
        <v>380</v>
      </c>
      <c r="F720" s="265">
        <v>42083</v>
      </c>
      <c r="G720" s="265">
        <v>42101</v>
      </c>
      <c r="H720" s="111">
        <v>296.61</v>
      </c>
      <c r="N720" s="29">
        <v>0</v>
      </c>
      <c r="O720" s="29">
        <v>53.39</v>
      </c>
      <c r="P720" s="29">
        <v>350</v>
      </c>
      <c r="Q720" s="29">
        <v>0</v>
      </c>
    </row>
    <row r="721" spans="2:17">
      <c r="B721" s="111">
        <v>6</v>
      </c>
      <c r="C721" s="111">
        <v>814</v>
      </c>
      <c r="D721" s="111" t="s">
        <v>460</v>
      </c>
      <c r="E721" s="111" t="s">
        <v>448</v>
      </c>
      <c r="F721" s="265">
        <v>42083</v>
      </c>
      <c r="G721" s="265">
        <v>42114</v>
      </c>
      <c r="H721" s="111">
        <v>1084.75</v>
      </c>
      <c r="N721" s="29">
        <v>0</v>
      </c>
      <c r="O721" s="29">
        <v>195.25</v>
      </c>
      <c r="P721" s="29">
        <v>1280</v>
      </c>
      <c r="Q721" s="29">
        <v>0</v>
      </c>
    </row>
    <row r="722" spans="2:17">
      <c r="B722" s="111">
        <v>6</v>
      </c>
      <c r="C722" s="111">
        <v>816</v>
      </c>
      <c r="D722" s="111" t="s">
        <v>460</v>
      </c>
      <c r="E722" s="111" t="s">
        <v>448</v>
      </c>
      <c r="F722" s="265">
        <v>42083</v>
      </c>
      <c r="G722" s="265">
        <v>42114</v>
      </c>
      <c r="H722" s="111">
        <v>1355.93</v>
      </c>
      <c r="N722" s="29">
        <v>0</v>
      </c>
      <c r="O722" s="29">
        <v>244.07</v>
      </c>
      <c r="P722" s="29">
        <v>1600</v>
      </c>
      <c r="Q722" s="29">
        <v>0</v>
      </c>
    </row>
    <row r="723" spans="2:17">
      <c r="B723" s="111">
        <v>6</v>
      </c>
      <c r="C723" s="111">
        <v>822</v>
      </c>
      <c r="D723" s="111" t="s">
        <v>447</v>
      </c>
      <c r="E723" s="111" t="s">
        <v>448</v>
      </c>
      <c r="F723" s="265">
        <v>42086</v>
      </c>
      <c r="G723" s="265">
        <v>42116</v>
      </c>
      <c r="H723" s="111">
        <v>1281.2</v>
      </c>
      <c r="N723" s="29">
        <v>0</v>
      </c>
      <c r="O723" s="29">
        <v>230.62</v>
      </c>
      <c r="P723" s="29">
        <v>1511.82</v>
      </c>
      <c r="Q723" s="29">
        <v>0</v>
      </c>
    </row>
    <row r="724" spans="2:17">
      <c r="B724" s="111">
        <v>6</v>
      </c>
      <c r="C724" s="111">
        <v>821</v>
      </c>
      <c r="D724" s="111" t="s">
        <v>447</v>
      </c>
      <c r="E724" s="111" t="s">
        <v>448</v>
      </c>
      <c r="F724" s="265">
        <v>42086</v>
      </c>
      <c r="G724" s="265">
        <v>42116</v>
      </c>
      <c r="H724" s="111">
        <v>3739.2</v>
      </c>
      <c r="N724" s="29">
        <v>0</v>
      </c>
      <c r="O724" s="29">
        <v>673.06</v>
      </c>
      <c r="P724" s="29">
        <v>4412.26</v>
      </c>
      <c r="Q724" s="29">
        <v>0</v>
      </c>
    </row>
    <row r="725" spans="2:17" s="33" customFormat="1" ht="9">
      <c r="B725" s="270">
        <v>6</v>
      </c>
      <c r="C725" s="270">
        <v>824</v>
      </c>
      <c r="D725" s="270" t="s">
        <v>454</v>
      </c>
      <c r="E725" s="270" t="s">
        <v>448</v>
      </c>
      <c r="F725" s="271">
        <v>42086</v>
      </c>
      <c r="G725" s="271">
        <v>42118</v>
      </c>
      <c r="H725" s="270">
        <v>10964</v>
      </c>
      <c r="I725" s="33" t="s">
        <v>73</v>
      </c>
      <c r="N725" s="33">
        <v>0</v>
      </c>
      <c r="O725" s="33">
        <v>1973.52</v>
      </c>
      <c r="P725" s="33">
        <v>12937.52</v>
      </c>
      <c r="Q725" s="33">
        <v>0</v>
      </c>
    </row>
    <row r="726" spans="2:17">
      <c r="B726" s="111">
        <v>6</v>
      </c>
      <c r="C726" s="111">
        <v>823</v>
      </c>
      <c r="D726" s="111" t="s">
        <v>447</v>
      </c>
      <c r="E726" s="111" t="s">
        <v>448</v>
      </c>
      <c r="F726" s="265">
        <v>42086</v>
      </c>
      <c r="G726" s="265">
        <v>42116</v>
      </c>
      <c r="H726" s="111">
        <v>317.75</v>
      </c>
      <c r="N726" s="29">
        <v>0</v>
      </c>
      <c r="O726" s="29">
        <v>57.2</v>
      </c>
      <c r="P726" s="29">
        <v>374.95</v>
      </c>
      <c r="Q726" s="29">
        <v>0</v>
      </c>
    </row>
    <row r="727" spans="2:17">
      <c r="B727" s="111">
        <v>6</v>
      </c>
      <c r="C727" s="111">
        <v>825</v>
      </c>
      <c r="D727" s="111" t="s">
        <v>381</v>
      </c>
      <c r="E727" s="111" t="s">
        <v>382</v>
      </c>
      <c r="F727" s="265">
        <v>42087</v>
      </c>
      <c r="G727" s="265">
        <v>42123</v>
      </c>
      <c r="H727" s="111">
        <v>9355.93</v>
      </c>
      <c r="N727" s="29">
        <v>0</v>
      </c>
      <c r="O727" s="29">
        <v>1684.07</v>
      </c>
      <c r="P727" s="29">
        <v>11040</v>
      </c>
      <c r="Q727" s="29">
        <v>0</v>
      </c>
    </row>
    <row r="728" spans="2:17">
      <c r="B728" s="111">
        <v>6</v>
      </c>
      <c r="C728" s="111">
        <v>827</v>
      </c>
      <c r="D728" s="111" t="s">
        <v>488</v>
      </c>
      <c r="E728" s="111" t="s">
        <v>450</v>
      </c>
      <c r="F728" s="265">
        <v>42088</v>
      </c>
      <c r="G728" s="265">
        <v>42105</v>
      </c>
      <c r="H728" s="111">
        <v>305.08</v>
      </c>
      <c r="N728" s="29">
        <v>0</v>
      </c>
      <c r="O728" s="29">
        <v>54.92</v>
      </c>
      <c r="P728" s="29">
        <v>360</v>
      </c>
      <c r="Q728" s="29">
        <v>0</v>
      </c>
    </row>
    <row r="729" spans="2:17" s="33" customFormat="1" ht="9">
      <c r="B729" s="270">
        <v>6</v>
      </c>
      <c r="C729" s="270">
        <v>835</v>
      </c>
      <c r="D729" s="270" t="s">
        <v>454</v>
      </c>
      <c r="E729" s="270" t="s">
        <v>448</v>
      </c>
      <c r="F729" s="271">
        <v>42094</v>
      </c>
      <c r="G729" s="271">
        <v>42121</v>
      </c>
      <c r="H729" s="270">
        <v>54600.72</v>
      </c>
      <c r="I729" s="33" t="s">
        <v>73</v>
      </c>
      <c r="N729" s="33">
        <v>0</v>
      </c>
      <c r="O729" s="33">
        <v>9828.1299999999992</v>
      </c>
      <c r="P729" s="33">
        <v>64428.85</v>
      </c>
      <c r="Q729" s="33">
        <v>0</v>
      </c>
    </row>
    <row r="730" spans="2:17">
      <c r="B730" s="111">
        <v>6</v>
      </c>
      <c r="C730" s="111">
        <v>829</v>
      </c>
      <c r="D730" s="111" t="s">
        <v>447</v>
      </c>
      <c r="E730" s="111" t="s">
        <v>448</v>
      </c>
      <c r="F730" s="265">
        <v>42093</v>
      </c>
      <c r="G730" s="265">
        <v>42123</v>
      </c>
      <c r="H730" s="111">
        <v>3203.82</v>
      </c>
      <c r="N730" s="29">
        <v>0</v>
      </c>
      <c r="O730" s="29">
        <v>576.69000000000005</v>
      </c>
      <c r="P730" s="29">
        <v>3780.51</v>
      </c>
      <c r="Q730" s="29">
        <v>0</v>
      </c>
    </row>
    <row r="731" spans="2:17">
      <c r="B731" s="111">
        <v>6</v>
      </c>
      <c r="C731" s="111">
        <v>831</v>
      </c>
      <c r="D731" s="111" t="s">
        <v>447</v>
      </c>
      <c r="E731" s="111" t="s">
        <v>448</v>
      </c>
      <c r="F731" s="265">
        <v>42094</v>
      </c>
      <c r="G731" s="265">
        <v>42124</v>
      </c>
      <c r="H731" s="111">
        <v>2106.6</v>
      </c>
      <c r="N731" s="29">
        <v>0</v>
      </c>
      <c r="O731" s="29">
        <v>379.19</v>
      </c>
      <c r="P731" s="29">
        <v>2485.79</v>
      </c>
      <c r="Q731" s="29">
        <v>0</v>
      </c>
    </row>
    <row r="732" spans="2:17">
      <c r="B732" s="111">
        <v>6</v>
      </c>
      <c r="C732" s="111">
        <v>832</v>
      </c>
      <c r="D732" s="111" t="s">
        <v>447</v>
      </c>
      <c r="E732" s="111" t="s">
        <v>448</v>
      </c>
      <c r="F732" s="265">
        <v>42094</v>
      </c>
      <c r="G732" s="265">
        <v>42124</v>
      </c>
      <c r="H732" s="111">
        <v>7793.81</v>
      </c>
      <c r="N732" s="29">
        <v>0</v>
      </c>
      <c r="O732" s="29">
        <v>1402.89</v>
      </c>
      <c r="P732" s="29">
        <v>9196.7000000000007</v>
      </c>
      <c r="Q732" s="29">
        <v>0</v>
      </c>
    </row>
    <row r="733" spans="2:17">
      <c r="B733" s="111">
        <v>6</v>
      </c>
      <c r="C733" s="111">
        <v>833</v>
      </c>
      <c r="D733" s="111" t="s">
        <v>454</v>
      </c>
      <c r="E733" s="111" t="s">
        <v>448</v>
      </c>
      <c r="F733" s="265">
        <v>42094</v>
      </c>
      <c r="G733" s="265">
        <v>42121</v>
      </c>
      <c r="H733" s="111">
        <v>500</v>
      </c>
      <c r="N733" s="29">
        <v>0</v>
      </c>
      <c r="O733" s="29">
        <v>90</v>
      </c>
      <c r="P733" s="29">
        <v>590</v>
      </c>
      <c r="Q733" s="29">
        <v>0</v>
      </c>
    </row>
    <row r="734" spans="2:17" s="33" customFormat="1" ht="9">
      <c r="B734" s="270">
        <v>6</v>
      </c>
      <c r="C734" s="270">
        <v>834</v>
      </c>
      <c r="D734" s="270" t="s">
        <v>454</v>
      </c>
      <c r="E734" s="270" t="s">
        <v>448</v>
      </c>
      <c r="F734" s="271">
        <v>42094</v>
      </c>
      <c r="G734" s="271">
        <v>42121</v>
      </c>
      <c r="H734" s="270">
        <v>500</v>
      </c>
      <c r="I734" s="33" t="s">
        <v>73</v>
      </c>
      <c r="N734" s="33">
        <v>0</v>
      </c>
      <c r="O734" s="33">
        <v>90</v>
      </c>
      <c r="P734" s="33">
        <v>590</v>
      </c>
      <c r="Q734" s="33">
        <v>0</v>
      </c>
    </row>
    <row r="735" spans="2:17" s="33" customFormat="1" ht="9">
      <c r="B735" s="270">
        <v>6</v>
      </c>
      <c r="C735" s="270">
        <v>836</v>
      </c>
      <c r="D735" s="270" t="s">
        <v>454</v>
      </c>
      <c r="E735" s="270" t="s">
        <v>448</v>
      </c>
      <c r="F735" s="271">
        <v>42094</v>
      </c>
      <c r="G735" s="271">
        <v>42121</v>
      </c>
      <c r="H735" s="270">
        <v>4000</v>
      </c>
      <c r="I735" s="33" t="s">
        <v>73</v>
      </c>
      <c r="N735" s="33">
        <v>0</v>
      </c>
      <c r="O735" s="33">
        <v>720</v>
      </c>
      <c r="P735" s="33">
        <v>4720</v>
      </c>
      <c r="Q735" s="33">
        <v>0</v>
      </c>
    </row>
    <row r="736" spans="2:17">
      <c r="B736" s="111">
        <v>6</v>
      </c>
      <c r="C736" s="111">
        <v>838</v>
      </c>
      <c r="D736" s="111" t="s">
        <v>462</v>
      </c>
      <c r="E736" s="111" t="s">
        <v>452</v>
      </c>
      <c r="F736" s="265">
        <v>42098</v>
      </c>
      <c r="G736" s="265">
        <v>42105</v>
      </c>
      <c r="H736" s="111">
        <v>355.93</v>
      </c>
      <c r="N736" s="29">
        <v>0</v>
      </c>
      <c r="O736" s="29">
        <v>64.069999999999993</v>
      </c>
      <c r="P736" s="29">
        <v>420</v>
      </c>
      <c r="Q736" s="29">
        <v>0</v>
      </c>
    </row>
    <row r="737" spans="2:17">
      <c r="B737" s="111">
        <v>6</v>
      </c>
      <c r="C737" s="111">
        <v>839</v>
      </c>
      <c r="D737" s="111" t="s">
        <v>462</v>
      </c>
      <c r="E737" s="111" t="s">
        <v>452</v>
      </c>
      <c r="F737" s="265">
        <v>42098</v>
      </c>
      <c r="G737" s="265">
        <v>42105</v>
      </c>
      <c r="H737" s="111">
        <v>1143.2</v>
      </c>
      <c r="N737" s="29">
        <v>836</v>
      </c>
      <c r="O737" s="29">
        <v>55.3</v>
      </c>
      <c r="P737" s="29">
        <v>1198.5</v>
      </c>
      <c r="Q737" s="29">
        <v>0</v>
      </c>
    </row>
    <row r="738" spans="2:17">
      <c r="B738" s="111">
        <v>6</v>
      </c>
      <c r="C738" s="111">
        <v>849</v>
      </c>
      <c r="D738" s="111" t="s">
        <v>490</v>
      </c>
      <c r="E738" s="111" t="s">
        <v>452</v>
      </c>
      <c r="F738" s="265">
        <v>42102</v>
      </c>
      <c r="G738" s="265">
        <v>42122</v>
      </c>
      <c r="H738" s="111">
        <v>5347.46</v>
      </c>
      <c r="N738" s="29">
        <v>0</v>
      </c>
      <c r="O738" s="29">
        <v>962.54</v>
      </c>
      <c r="P738" s="29">
        <v>6310</v>
      </c>
      <c r="Q738" s="29">
        <v>0</v>
      </c>
    </row>
    <row r="739" spans="2:17">
      <c r="B739" s="111">
        <v>6</v>
      </c>
      <c r="C739" s="111">
        <v>848</v>
      </c>
      <c r="D739" s="111" t="s">
        <v>490</v>
      </c>
      <c r="E739" s="111" t="s">
        <v>452</v>
      </c>
      <c r="F739" s="265">
        <v>42102</v>
      </c>
      <c r="G739" s="265">
        <v>42116</v>
      </c>
      <c r="H739" s="111">
        <v>147.46</v>
      </c>
      <c r="N739" s="29">
        <v>0</v>
      </c>
      <c r="O739" s="29">
        <v>26.54</v>
      </c>
      <c r="P739" s="29">
        <v>174</v>
      </c>
      <c r="Q739" s="29">
        <v>0</v>
      </c>
    </row>
    <row r="740" spans="2:17">
      <c r="B740" s="111">
        <v>6</v>
      </c>
      <c r="C740" s="111">
        <v>872</v>
      </c>
      <c r="D740" s="111" t="s">
        <v>462</v>
      </c>
      <c r="E740" s="111" t="s">
        <v>452</v>
      </c>
      <c r="F740" s="265">
        <v>42110</v>
      </c>
      <c r="G740" s="265">
        <v>42124</v>
      </c>
      <c r="H740" s="111">
        <v>58.47</v>
      </c>
      <c r="N740" s="29">
        <v>0</v>
      </c>
      <c r="O740" s="29">
        <v>10.53</v>
      </c>
      <c r="P740" s="29">
        <v>69</v>
      </c>
      <c r="Q740" s="29">
        <v>0</v>
      </c>
    </row>
    <row r="741" spans="2:17">
      <c r="B741" s="111">
        <v>6</v>
      </c>
      <c r="C741" s="111">
        <v>860</v>
      </c>
      <c r="D741" s="111" t="s">
        <v>381</v>
      </c>
      <c r="E741" s="111" t="s">
        <v>382</v>
      </c>
      <c r="F741" s="265">
        <v>42107</v>
      </c>
      <c r="G741" s="265">
        <v>42122</v>
      </c>
      <c r="H741" s="111">
        <v>1266.0999999999999</v>
      </c>
      <c r="N741" s="29">
        <v>0</v>
      </c>
      <c r="O741" s="29">
        <v>227.9</v>
      </c>
      <c r="P741" s="29">
        <v>1494</v>
      </c>
      <c r="Q741" s="29">
        <v>0</v>
      </c>
    </row>
    <row r="742" spans="2:17">
      <c r="B742" s="111">
        <v>6</v>
      </c>
      <c r="C742" s="111">
        <v>866</v>
      </c>
      <c r="D742" s="111" t="s">
        <v>490</v>
      </c>
      <c r="E742" s="111" t="s">
        <v>452</v>
      </c>
      <c r="F742" s="265">
        <v>42108</v>
      </c>
      <c r="G742" s="265">
        <v>42116</v>
      </c>
      <c r="H742" s="111">
        <v>7016.95</v>
      </c>
      <c r="N742" s="29">
        <v>0</v>
      </c>
      <c r="O742" s="29">
        <v>1263.05</v>
      </c>
      <c r="P742" s="29">
        <v>8280</v>
      </c>
      <c r="Q742" s="29">
        <v>0</v>
      </c>
    </row>
    <row r="743" spans="2:17">
      <c r="B743" s="111">
        <v>6</v>
      </c>
      <c r="C743" s="111">
        <v>886</v>
      </c>
      <c r="D743" s="111" t="s">
        <v>490</v>
      </c>
      <c r="E743" s="111" t="s">
        <v>452</v>
      </c>
      <c r="F743" s="265">
        <v>42117</v>
      </c>
      <c r="G743" s="265">
        <v>42124</v>
      </c>
      <c r="H743" s="111">
        <v>6059.32</v>
      </c>
      <c r="N743" s="29">
        <v>0</v>
      </c>
      <c r="O743" s="29">
        <v>1090.68</v>
      </c>
      <c r="P743" s="29">
        <v>7150</v>
      </c>
      <c r="Q743" s="29">
        <v>0</v>
      </c>
    </row>
    <row r="744" spans="2:17">
      <c r="B744" s="111">
        <v>6</v>
      </c>
      <c r="C744" s="111">
        <v>888</v>
      </c>
      <c r="D744" s="111" t="s">
        <v>490</v>
      </c>
      <c r="E744" s="111" t="s">
        <v>452</v>
      </c>
      <c r="F744" s="265">
        <v>42117</v>
      </c>
      <c r="G744" s="265">
        <v>42124</v>
      </c>
      <c r="H744" s="111">
        <v>4521.1899999999996</v>
      </c>
      <c r="N744" s="29">
        <v>0</v>
      </c>
      <c r="O744" s="29">
        <v>813.81</v>
      </c>
      <c r="P744" s="29">
        <v>5335</v>
      </c>
      <c r="Q744" s="29">
        <v>0</v>
      </c>
    </row>
    <row r="745" spans="2:17">
      <c r="B745" s="111">
        <v>6</v>
      </c>
      <c r="C745" s="111">
        <v>887</v>
      </c>
      <c r="D745" s="111" t="s">
        <v>490</v>
      </c>
      <c r="E745" s="111" t="s">
        <v>452</v>
      </c>
      <c r="F745" s="265">
        <v>42117</v>
      </c>
      <c r="G745" s="265">
        <v>42124</v>
      </c>
      <c r="H745" s="111">
        <v>7225.08</v>
      </c>
      <c r="N745" s="29">
        <v>3420</v>
      </c>
      <c r="O745" s="29">
        <v>684.92</v>
      </c>
      <c r="P745" s="29">
        <v>7910</v>
      </c>
      <c r="Q745" s="29">
        <v>0</v>
      </c>
    </row>
    <row r="746" spans="2:17">
      <c r="H746" s="29">
        <f>SUM(H701:H745)</f>
        <v>243993.33</v>
      </c>
    </row>
    <row r="748" spans="2:17">
      <c r="D748" s="264" t="s">
        <v>454</v>
      </c>
      <c r="E748" s="267">
        <f>H706+H711+H712+H713+H714+H715+H719+H725+H729+H734+H735</f>
        <v>144776.34</v>
      </c>
      <c r="G748" s="273" t="s">
        <v>44</v>
      </c>
      <c r="H748" s="267">
        <f>H746-E748</f>
        <v>99216.989999999991</v>
      </c>
    </row>
    <row r="751" spans="2:17">
      <c r="F751" s="4" t="s">
        <v>383</v>
      </c>
      <c r="G751" s="275">
        <v>5.0000000000000001E-3</v>
      </c>
      <c r="H751" s="17">
        <f>H748*G751</f>
        <v>496.08494999999999</v>
      </c>
    </row>
    <row r="752" spans="2:17">
      <c r="F752" s="4" t="s">
        <v>232</v>
      </c>
      <c r="G752" s="4"/>
      <c r="H752" s="276">
        <v>750</v>
      </c>
    </row>
    <row r="753" spans="8:8">
      <c r="H753" s="147">
        <f>SUM(H751:H752)</f>
        <v>1246.0849499999999</v>
      </c>
    </row>
  </sheetData>
  <pageMargins left="0.70833333333333304" right="0.35416666666666702" top="0.17013888888888901" bottom="0.17013888888888901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7"/>
  <sheetViews>
    <sheetView zoomScale="120" zoomScaleNormal="120" workbookViewId="0">
      <selection activeCell="I6" sqref="I6"/>
    </sheetView>
  </sheetViews>
  <sheetFormatPr baseColWidth="10" defaultColWidth="8.85546875" defaultRowHeight="15"/>
  <cols>
    <col min="1" max="4" width="9.140625" customWidth="1"/>
    <col min="5" max="5" width="9.28515625" customWidth="1"/>
    <col min="6" max="8" width="9.140625" customWidth="1"/>
    <col min="9" max="9" width="9.8554687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20142_25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25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278">
        <v>42036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">
        <v>491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750</v>
      </c>
    </row>
    <row r="11" spans="1:9">
      <c r="A11" s="120" t="s">
        <v>492</v>
      </c>
      <c r="B11" s="120"/>
      <c r="C11" s="120"/>
      <c r="D11" s="120"/>
      <c r="E11" s="120"/>
      <c r="F11" s="182">
        <v>0.5</v>
      </c>
      <c r="G11" s="182">
        <f>IF(I4=13,80,85)</f>
        <v>85</v>
      </c>
      <c r="H11" s="182" t="e">
        <f>+H20</f>
        <v>#REF!</v>
      </c>
      <c r="I11" s="181" t="e">
        <f>E24*0.6%</f>
        <v>#REF!</v>
      </c>
    </row>
    <row r="12" spans="1:9">
      <c r="A12" s="120" t="s">
        <v>285</v>
      </c>
      <c r="B12" s="120"/>
      <c r="C12" s="120"/>
      <c r="D12" s="120"/>
      <c r="E12" s="120"/>
      <c r="F12" s="120"/>
      <c r="G12" s="120"/>
      <c r="H12" s="120"/>
      <c r="I12" s="181">
        <v>0</v>
      </c>
    </row>
    <row r="13" spans="1:9">
      <c r="A13" s="120" t="s">
        <v>128</v>
      </c>
      <c r="B13" s="120"/>
      <c r="C13" s="120"/>
      <c r="D13" s="120"/>
      <c r="E13" s="120"/>
      <c r="F13" s="120"/>
      <c r="G13" s="120"/>
      <c r="H13" s="120"/>
      <c r="I13" s="120"/>
    </row>
    <row r="14" spans="1:9">
      <c r="A14" s="120"/>
      <c r="B14" s="81"/>
      <c r="C14" s="81"/>
      <c r="D14" s="81"/>
      <c r="E14" s="81"/>
      <c r="F14" s="81"/>
      <c r="G14" s="81"/>
      <c r="H14" s="81"/>
      <c r="I14" s="82"/>
    </row>
    <row r="15" spans="1:9">
      <c r="A15" s="120"/>
      <c r="B15" s="84" t="str">
        <f>IF(I4=13,"Remuneracion Extra"," ")</f>
        <v xml:space="preserve"> </v>
      </c>
      <c r="C15" s="120"/>
      <c r="D15" s="120"/>
      <c r="E15" s="120"/>
      <c r="F15" s="120"/>
      <c r="G15" s="120"/>
      <c r="H15" s="120"/>
      <c r="I15" s="183"/>
    </row>
    <row r="16" spans="1:9" ht="15.75">
      <c r="A16" s="184" t="s">
        <v>129</v>
      </c>
      <c r="B16" s="185"/>
      <c r="C16" s="185"/>
      <c r="D16" s="185"/>
      <c r="E16" s="185"/>
      <c r="F16" s="185"/>
      <c r="G16" s="185"/>
      <c r="H16" s="185"/>
      <c r="I16" s="186" t="e">
        <f>SUM(I10:I15)</f>
        <v>#REF!</v>
      </c>
    </row>
    <row r="17" spans="1:9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1" t="s">
        <v>130</v>
      </c>
      <c r="B18" s="121"/>
      <c r="C18" s="121"/>
      <c r="D18" s="121"/>
      <c r="E18" s="121"/>
      <c r="F18" s="121"/>
      <c r="G18" s="121"/>
      <c r="H18" s="121"/>
      <c r="I18" s="121"/>
    </row>
    <row r="19" spans="1:9">
      <c r="A19" s="121"/>
      <c r="B19" s="121" t="s">
        <v>131</v>
      </c>
      <c r="C19" s="121"/>
      <c r="D19" s="121"/>
      <c r="E19" s="187" t="e">
        <f>AVANCEVENDEDOR!#REF!</f>
        <v>#REF!</v>
      </c>
      <c r="F19" s="187"/>
      <c r="G19" s="121"/>
      <c r="H19" s="121"/>
      <c r="I19" s="121"/>
    </row>
    <row r="20" spans="1:9">
      <c r="A20" s="121"/>
      <c r="B20" s="121" t="s">
        <v>132</v>
      </c>
      <c r="C20" s="121"/>
      <c r="D20" s="121"/>
      <c r="E20" s="187" t="e">
        <f>AVANCEVENDEDOR!#REF!</f>
        <v>#REF!</v>
      </c>
      <c r="F20" s="187"/>
      <c r="G20" s="188" t="s">
        <v>133</v>
      </c>
      <c r="H20" s="187" t="e">
        <f>E20*100/E19</f>
        <v>#REF!</v>
      </c>
      <c r="I20" s="121"/>
    </row>
    <row r="21" spans="1:9">
      <c r="A21" s="121"/>
      <c r="B21" s="121"/>
      <c r="C21" s="121"/>
      <c r="D21" s="121"/>
      <c r="E21" s="121"/>
      <c r="F21" s="121"/>
      <c r="G21" s="188"/>
      <c r="H21" s="121"/>
      <c r="I21" s="121"/>
    </row>
    <row r="22" spans="1:9">
      <c r="A22" s="121"/>
      <c r="B22" s="121" t="s">
        <v>134</v>
      </c>
      <c r="C22" s="121"/>
      <c r="D22" s="121"/>
      <c r="E22" s="187" t="e">
        <f>AVANCEVENDEDOR!#REF!</f>
        <v>#REF!</v>
      </c>
      <c r="F22" s="187"/>
      <c r="G22" s="188"/>
      <c r="H22" s="121"/>
      <c r="I22" s="121"/>
    </row>
    <row r="23" spans="1:9">
      <c r="A23" s="121"/>
      <c r="B23" s="121" t="s">
        <v>135</v>
      </c>
      <c r="C23" s="121"/>
      <c r="D23" s="121"/>
      <c r="E23" s="187" t="e">
        <f>AVANCEVENDEDOR!#REF!</f>
        <v>#REF!</v>
      </c>
      <c r="F23" s="187"/>
      <c r="G23" s="188" t="s">
        <v>136</v>
      </c>
      <c r="H23" s="187" t="e">
        <f>E23*100/E22</f>
        <v>#REF!</v>
      </c>
      <c r="I23" s="121"/>
    </row>
    <row r="24" spans="1:9">
      <c r="A24" s="121"/>
      <c r="B24" s="121" t="s">
        <v>137</v>
      </c>
      <c r="C24" s="121"/>
      <c r="D24" s="121"/>
      <c r="E24" s="187" t="e">
        <f>AVANCEVENDEDOR!#REF!</f>
        <v>#REF!</v>
      </c>
      <c r="F24" s="187"/>
      <c r="G24" s="188"/>
      <c r="H24" s="121"/>
      <c r="I24" s="121"/>
    </row>
    <row r="25" spans="1:9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9">
      <c r="A26" s="121"/>
      <c r="B26" s="121" t="s">
        <v>280</v>
      </c>
      <c r="C26" s="121"/>
      <c r="D26" s="121"/>
      <c r="E26" s="187" t="e">
        <f>AVANCEVENDEDOR!#REF!</f>
        <v>#REF!</v>
      </c>
      <c r="F26" s="187"/>
      <c r="G26" s="121"/>
      <c r="H26" s="187"/>
      <c r="I26" s="121"/>
    </row>
    <row r="27" spans="1:9">
      <c r="A27" s="121"/>
      <c r="B27" s="121" t="s">
        <v>281</v>
      </c>
      <c r="C27" s="121"/>
      <c r="D27" s="121"/>
      <c r="E27" s="187" t="e">
        <f>AVANCEVENDEDOR!#REF!</f>
        <v>#REF!</v>
      </c>
      <c r="F27" s="187"/>
      <c r="G27" s="188" t="s">
        <v>140</v>
      </c>
      <c r="H27" s="187" t="e">
        <f>+E27*100/E26</f>
        <v>#REF!</v>
      </c>
      <c r="I27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9"/>
  <sheetViews>
    <sheetView zoomScale="120" zoomScaleNormal="120" workbookViewId="0">
      <selection activeCell="E19" sqref="E19"/>
    </sheetView>
  </sheetViews>
  <sheetFormatPr baseColWidth="10" defaultColWidth="8.85546875" defaultRowHeight="15"/>
  <cols>
    <col min="1" max="4" width="9.140625" customWidth="1"/>
    <col min="5" max="5" width="9.28515625" customWidth="1"/>
    <col min="6" max="8" width="9.140625" customWidth="1"/>
    <col min="9" max="9" width="9.8554687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20142_25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25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278">
        <v>42005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">
        <v>491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119</v>
      </c>
      <c r="B10" s="120"/>
      <c r="C10" s="120"/>
      <c r="D10" s="120"/>
      <c r="E10" s="120"/>
      <c r="F10" s="120"/>
      <c r="G10" s="120"/>
      <c r="H10" s="120"/>
      <c r="I10" s="181">
        <v>750</v>
      </c>
    </row>
    <row r="11" spans="1:9">
      <c r="A11" s="120" t="s">
        <v>492</v>
      </c>
      <c r="B11" s="120"/>
      <c r="C11" s="120"/>
      <c r="D11" s="120"/>
      <c r="E11" s="120"/>
      <c r="F11" s="182">
        <v>0.5</v>
      </c>
      <c r="G11" s="182">
        <f>IF(I4=13,80,85)</f>
        <v>85</v>
      </c>
      <c r="H11" s="182" t="e">
        <f>+H22</f>
        <v>#REF!</v>
      </c>
      <c r="I11" s="181">
        <f>E26*0.5%</f>
        <v>1141.2550000000001</v>
      </c>
    </row>
    <row r="12" spans="1:9">
      <c r="A12" s="120" t="s">
        <v>285</v>
      </c>
      <c r="B12" s="120"/>
      <c r="C12" s="120"/>
      <c r="D12" s="120"/>
      <c r="E12" s="120"/>
      <c r="F12" s="120"/>
      <c r="G12" s="120"/>
      <c r="H12" s="120"/>
      <c r="I12" s="181">
        <v>0</v>
      </c>
    </row>
    <row r="13" spans="1:9">
      <c r="A13" s="120" t="s">
        <v>128</v>
      </c>
      <c r="B13" s="120"/>
      <c r="C13" s="120"/>
      <c r="D13" s="120"/>
      <c r="E13" s="120"/>
      <c r="F13" s="120"/>
      <c r="G13" s="120"/>
      <c r="H13" s="120"/>
      <c r="I13" s="120"/>
    </row>
    <row r="14" spans="1:9">
      <c r="A14" s="120"/>
      <c r="B14" s="81"/>
      <c r="C14" s="81"/>
      <c r="D14" s="81"/>
      <c r="E14" s="81"/>
      <c r="F14" s="81"/>
      <c r="G14" s="81"/>
      <c r="H14" s="81"/>
      <c r="I14" s="82"/>
    </row>
    <row r="15" spans="1:9">
      <c r="A15" s="120"/>
      <c r="B15" s="84" t="str">
        <f>IF(I4=13,"Remuneracion Extra"," ")</f>
        <v xml:space="preserve"> </v>
      </c>
      <c r="C15" s="120"/>
      <c r="D15" s="120"/>
      <c r="E15" s="120"/>
      <c r="F15" s="120"/>
      <c r="G15" s="120"/>
      <c r="H15" s="120"/>
      <c r="I15" s="183"/>
    </row>
    <row r="16" spans="1:9" ht="15.75">
      <c r="A16" s="184" t="s">
        <v>129</v>
      </c>
      <c r="B16" s="185"/>
      <c r="C16" s="185"/>
      <c r="D16" s="185"/>
      <c r="E16" s="185"/>
      <c r="F16" s="185"/>
      <c r="G16" s="185"/>
      <c r="H16" s="185"/>
      <c r="I16" s="186">
        <f>SUM(I10:I15)</f>
        <v>1891.2550000000001</v>
      </c>
    </row>
    <row r="17" spans="1:9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1" t="s">
        <v>130</v>
      </c>
      <c r="B18" s="121"/>
      <c r="C18" s="121"/>
      <c r="D18" s="121"/>
      <c r="E18" s="121"/>
      <c r="F18" s="121"/>
      <c r="G18" s="121"/>
      <c r="H18" s="121"/>
      <c r="I18" s="121"/>
    </row>
    <row r="19" spans="1:9">
      <c r="A19" s="121"/>
      <c r="B19" s="121" t="s">
        <v>493</v>
      </c>
      <c r="C19" s="121"/>
      <c r="D19" s="121"/>
      <c r="E19" s="121">
        <f>'roberto sosa'!H347</f>
        <v>257349.21999999994</v>
      </c>
      <c r="F19" s="121"/>
      <c r="G19" s="121"/>
      <c r="H19" s="121"/>
      <c r="I19" s="121"/>
    </row>
    <row r="20" spans="1:9">
      <c r="A20" s="121"/>
      <c r="B20" s="121"/>
      <c r="C20" s="121"/>
      <c r="D20" s="121"/>
      <c r="E20" s="121"/>
      <c r="F20" s="121"/>
      <c r="G20" s="121"/>
      <c r="H20" s="121"/>
      <c r="I20" s="121"/>
    </row>
    <row r="21" spans="1:9">
      <c r="A21" s="121"/>
      <c r="B21" s="121" t="s">
        <v>131</v>
      </c>
      <c r="C21" s="121"/>
      <c r="D21" s="121"/>
      <c r="E21" s="187" t="e">
        <f>AVANCEVENDEDOR!#REF!</f>
        <v>#REF!</v>
      </c>
      <c r="F21" s="187"/>
      <c r="G21" s="121"/>
      <c r="H21" s="121"/>
      <c r="I21" s="121"/>
    </row>
    <row r="22" spans="1:9">
      <c r="A22" s="121"/>
      <c r="B22" s="121" t="s">
        <v>132</v>
      </c>
      <c r="C22" s="121"/>
      <c r="D22" s="121"/>
      <c r="E22" s="187" t="e">
        <f>AVANCEVENDEDOR!#REF!</f>
        <v>#REF!</v>
      </c>
      <c r="F22" s="187"/>
      <c r="G22" s="188" t="s">
        <v>133</v>
      </c>
      <c r="H22" s="187" t="e">
        <f>E22*100/E21</f>
        <v>#REF!</v>
      </c>
      <c r="I22" s="121"/>
    </row>
    <row r="23" spans="1:9">
      <c r="A23" s="121"/>
      <c r="B23" s="121"/>
      <c r="C23" s="121"/>
      <c r="D23" s="121"/>
      <c r="E23" s="121"/>
      <c r="F23" s="121"/>
      <c r="G23" s="188"/>
      <c r="H23" s="121"/>
      <c r="I23" s="121"/>
    </row>
    <row r="24" spans="1:9">
      <c r="A24" s="121"/>
      <c r="B24" s="121" t="s">
        <v>134</v>
      </c>
      <c r="C24" s="121"/>
      <c r="D24" s="121"/>
      <c r="E24" s="187" t="e">
        <f>AVANCEVENDEDOR!#REF!</f>
        <v>#REF!</v>
      </c>
      <c r="F24" s="187"/>
      <c r="G24" s="188"/>
      <c r="H24" s="121"/>
      <c r="I24" s="121"/>
    </row>
    <row r="25" spans="1:9">
      <c r="A25" s="121"/>
      <c r="B25" s="121" t="s">
        <v>135</v>
      </c>
      <c r="C25" s="121"/>
      <c r="D25" s="121"/>
      <c r="E25" s="187" t="e">
        <f>AVANCEVENDEDOR!#REF!</f>
        <v>#REF!</v>
      </c>
      <c r="F25" s="187"/>
      <c r="G25" s="188" t="s">
        <v>136</v>
      </c>
      <c r="H25" s="187" t="e">
        <f>E25*100/E24</f>
        <v>#REF!</v>
      </c>
      <c r="I25" s="121"/>
    </row>
    <row r="26" spans="1:9">
      <c r="A26" s="121"/>
      <c r="B26" s="121" t="s">
        <v>137</v>
      </c>
      <c r="C26" s="121"/>
      <c r="D26" s="121"/>
      <c r="E26" s="187">
        <v>228251</v>
      </c>
      <c r="F26" s="187"/>
      <c r="G26" s="188"/>
      <c r="H26" s="121"/>
      <c r="I26" s="121"/>
    </row>
    <row r="27" spans="1:9">
      <c r="A27" s="121"/>
      <c r="B27" s="121"/>
      <c r="C27" s="121"/>
      <c r="D27" s="121"/>
      <c r="E27" s="121"/>
      <c r="F27" s="121"/>
      <c r="G27" s="188"/>
      <c r="H27" s="121"/>
      <c r="I27" s="121"/>
    </row>
    <row r="28" spans="1:9">
      <c r="A28" s="121"/>
      <c r="B28" s="121" t="s">
        <v>280</v>
      </c>
      <c r="C28" s="121"/>
      <c r="D28" s="121"/>
      <c r="E28" s="279" t="e">
        <f>AVANCEVENDEDOR!#REF!</f>
        <v>#REF!</v>
      </c>
      <c r="F28" s="187"/>
      <c r="G28" s="121"/>
      <c r="H28" s="187"/>
      <c r="I28" s="121"/>
    </row>
    <row r="29" spans="1:9">
      <c r="A29" s="121"/>
      <c r="B29" s="121" t="s">
        <v>281</v>
      </c>
      <c r="C29" s="121"/>
      <c r="D29" s="121"/>
      <c r="E29" s="279" t="e">
        <f>AVANCEVENDEDOR!#REF!</f>
        <v>#REF!</v>
      </c>
      <c r="F29" s="187"/>
      <c r="G29" s="188" t="s">
        <v>140</v>
      </c>
      <c r="H29" s="187" t="e">
        <f>+E29*100/E28</f>
        <v>#REF!</v>
      </c>
      <c r="I29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AMK136"/>
  <sheetViews>
    <sheetView topLeftCell="A92" zoomScale="120" zoomScaleNormal="120" workbookViewId="0">
      <selection activeCell="B101" sqref="B101"/>
    </sheetView>
  </sheetViews>
  <sheetFormatPr baseColWidth="10" defaultColWidth="8.85546875" defaultRowHeight="15"/>
  <cols>
    <col min="1" max="1" width="11.42578125" style="29"/>
    <col min="2" max="2" width="6.85546875" style="29" customWidth="1"/>
    <col min="3" max="3" width="6.140625" style="29" customWidth="1"/>
    <col min="4" max="4" width="27.85546875" style="29" customWidth="1"/>
    <col min="5" max="5" width="12" style="29" customWidth="1"/>
    <col min="6" max="6" width="10.7109375" style="29" customWidth="1"/>
    <col min="7" max="7" width="0.140625" style="29" hidden="1" customWidth="1"/>
    <col min="8" max="8" width="11.42578125" style="29"/>
    <col min="9" max="10" width="11.42578125" style="29" hidden="1"/>
    <col min="11" max="11" width="9.140625" style="29" hidden="1" customWidth="1"/>
    <col min="12" max="12" width="11.42578125" style="29" hidden="1"/>
    <col min="13" max="13" width="6.28515625" style="29" customWidth="1"/>
    <col min="14" max="1025" width="11.42578125" style="29"/>
  </cols>
  <sheetData>
    <row r="2" spans="2:12">
      <c r="B2" s="29">
        <v>6</v>
      </c>
      <c r="C2" s="29">
        <v>755</v>
      </c>
      <c r="D2" s="29" t="s">
        <v>381</v>
      </c>
      <c r="E2" s="29" t="s">
        <v>382</v>
      </c>
      <c r="F2" s="263">
        <v>42037</v>
      </c>
      <c r="H2" s="29">
        <v>0</v>
      </c>
      <c r="I2" s="29">
        <v>1735.18</v>
      </c>
      <c r="J2" s="29">
        <v>0</v>
      </c>
      <c r="K2" s="29">
        <v>1735.18</v>
      </c>
      <c r="L2" s="29">
        <v>0</v>
      </c>
    </row>
    <row r="3" spans="2:12">
      <c r="B3" s="29">
        <v>6</v>
      </c>
      <c r="C3" s="29">
        <v>762</v>
      </c>
      <c r="D3" s="29" t="s">
        <v>454</v>
      </c>
      <c r="E3" s="29" t="s">
        <v>448</v>
      </c>
      <c r="F3" s="263">
        <v>42040</v>
      </c>
      <c r="H3" s="29">
        <v>3563.3</v>
      </c>
      <c r="I3" s="29">
        <v>0</v>
      </c>
      <c r="J3" s="29">
        <v>641.39</v>
      </c>
      <c r="K3" s="29">
        <v>4204.6899999999996</v>
      </c>
      <c r="L3" s="29">
        <v>0</v>
      </c>
    </row>
    <row r="4" spans="2:12">
      <c r="B4" s="29">
        <v>6</v>
      </c>
      <c r="C4" s="29">
        <v>763</v>
      </c>
      <c r="D4" s="29" t="s">
        <v>447</v>
      </c>
      <c r="E4" s="29" t="s">
        <v>448</v>
      </c>
      <c r="F4" s="263">
        <v>42040</v>
      </c>
      <c r="H4" s="29">
        <v>2124.6</v>
      </c>
      <c r="I4" s="29">
        <v>0</v>
      </c>
      <c r="J4" s="29">
        <v>382.43</v>
      </c>
      <c r="K4" s="29">
        <v>2507.0300000000002</v>
      </c>
      <c r="L4" s="29">
        <v>0</v>
      </c>
    </row>
    <row r="5" spans="2:12">
      <c r="B5" s="29">
        <v>6</v>
      </c>
      <c r="C5" s="29">
        <v>764</v>
      </c>
      <c r="D5" s="29" t="s">
        <v>447</v>
      </c>
      <c r="E5" s="29" t="s">
        <v>448</v>
      </c>
      <c r="F5" s="263">
        <v>42040</v>
      </c>
      <c r="H5" s="29">
        <v>18062.740000000002</v>
      </c>
      <c r="I5" s="29">
        <v>0</v>
      </c>
      <c r="J5" s="29">
        <v>3251.29</v>
      </c>
      <c r="K5" s="29">
        <v>21314.03</v>
      </c>
      <c r="L5" s="29">
        <v>0</v>
      </c>
    </row>
    <row r="6" spans="2:12">
      <c r="B6" s="29">
        <v>6</v>
      </c>
      <c r="C6" s="29">
        <v>765</v>
      </c>
      <c r="D6" s="29" t="s">
        <v>454</v>
      </c>
      <c r="E6" s="29" t="s">
        <v>448</v>
      </c>
      <c r="F6" s="263">
        <v>42041</v>
      </c>
      <c r="H6" s="29">
        <v>55971.22</v>
      </c>
      <c r="I6" s="29">
        <v>0</v>
      </c>
      <c r="J6" s="29">
        <v>10074.82</v>
      </c>
      <c r="K6" s="29">
        <v>66046.039999999994</v>
      </c>
      <c r="L6" s="29">
        <v>0</v>
      </c>
    </row>
    <row r="7" spans="2:12">
      <c r="B7" s="29">
        <v>6</v>
      </c>
      <c r="C7" s="29">
        <v>766</v>
      </c>
      <c r="D7" s="29" t="s">
        <v>381</v>
      </c>
      <c r="E7" s="29" t="s">
        <v>382</v>
      </c>
      <c r="F7" s="263">
        <v>42042</v>
      </c>
      <c r="H7" s="29">
        <v>3050.85</v>
      </c>
      <c r="I7" s="29">
        <v>0</v>
      </c>
      <c r="J7" s="29">
        <v>549.15</v>
      </c>
      <c r="K7" s="29">
        <v>3600</v>
      </c>
      <c r="L7" s="29">
        <v>0</v>
      </c>
    </row>
    <row r="8" spans="2:12">
      <c r="B8" s="29">
        <v>6</v>
      </c>
      <c r="C8" s="29">
        <v>767</v>
      </c>
      <c r="D8" s="29" t="s">
        <v>381</v>
      </c>
      <c r="E8" s="29" t="s">
        <v>382</v>
      </c>
      <c r="F8" s="263">
        <v>42042</v>
      </c>
      <c r="H8" s="29">
        <v>3414.41</v>
      </c>
      <c r="I8" s="29">
        <v>0</v>
      </c>
      <c r="J8" s="29">
        <v>614.59</v>
      </c>
      <c r="K8" s="29">
        <v>4029</v>
      </c>
      <c r="L8" s="29">
        <v>0</v>
      </c>
    </row>
    <row r="9" spans="2:12">
      <c r="B9" s="29">
        <v>6</v>
      </c>
      <c r="C9" s="29">
        <v>757</v>
      </c>
      <c r="D9" s="29" t="s">
        <v>381</v>
      </c>
      <c r="E9" s="29" t="s">
        <v>382</v>
      </c>
      <c r="F9" s="263">
        <v>42038</v>
      </c>
      <c r="G9" s="263">
        <v>42052</v>
      </c>
      <c r="H9" s="29">
        <v>5974.58</v>
      </c>
      <c r="I9" s="29">
        <v>0</v>
      </c>
      <c r="J9" s="29">
        <v>1075.42</v>
      </c>
      <c r="K9" s="29">
        <v>7050</v>
      </c>
      <c r="L9" s="29">
        <v>0</v>
      </c>
    </row>
    <row r="10" spans="2:12">
      <c r="B10" s="29">
        <v>6</v>
      </c>
      <c r="C10" s="29">
        <v>759</v>
      </c>
      <c r="D10" s="29" t="s">
        <v>381</v>
      </c>
      <c r="E10" s="29" t="s">
        <v>382</v>
      </c>
      <c r="F10" s="263">
        <v>42038</v>
      </c>
      <c r="G10" s="263">
        <v>42052</v>
      </c>
      <c r="H10" s="29">
        <v>5974.58</v>
      </c>
      <c r="I10" s="29">
        <v>0</v>
      </c>
      <c r="J10" s="29">
        <v>1075.42</v>
      </c>
      <c r="K10" s="29">
        <v>7050</v>
      </c>
      <c r="L10" s="29">
        <v>0</v>
      </c>
    </row>
    <row r="11" spans="2:12">
      <c r="B11" s="29">
        <v>6</v>
      </c>
      <c r="C11" s="29">
        <v>761</v>
      </c>
      <c r="D11" s="29" t="s">
        <v>381</v>
      </c>
      <c r="E11" s="29" t="s">
        <v>382</v>
      </c>
      <c r="F11" s="263">
        <v>42038</v>
      </c>
      <c r="G11" s="263">
        <v>42052</v>
      </c>
      <c r="H11" s="29">
        <v>7966.1</v>
      </c>
      <c r="I11" s="29">
        <v>0</v>
      </c>
      <c r="J11" s="29">
        <v>1433.9</v>
      </c>
      <c r="K11" s="29">
        <v>9400</v>
      </c>
      <c r="L11" s="29">
        <v>0</v>
      </c>
    </row>
    <row r="12" spans="2:12">
      <c r="B12" s="29">
        <v>6</v>
      </c>
      <c r="C12" s="29">
        <v>756</v>
      </c>
      <c r="D12" s="29" t="s">
        <v>381</v>
      </c>
      <c r="E12" s="29" t="s">
        <v>382</v>
      </c>
      <c r="F12" s="263">
        <v>42038</v>
      </c>
      <c r="G12" s="263">
        <v>42052</v>
      </c>
      <c r="H12" s="29">
        <v>7966.1</v>
      </c>
      <c r="I12" s="29">
        <v>0</v>
      </c>
      <c r="J12" s="29">
        <v>1433.9</v>
      </c>
      <c r="K12" s="29">
        <v>9400</v>
      </c>
      <c r="L12" s="29">
        <v>0</v>
      </c>
    </row>
    <row r="13" spans="2:12">
      <c r="B13" s="29">
        <v>6</v>
      </c>
      <c r="C13" s="29">
        <v>768</v>
      </c>
      <c r="D13" s="29" t="s">
        <v>381</v>
      </c>
      <c r="E13" s="29" t="s">
        <v>382</v>
      </c>
      <c r="F13" s="263">
        <v>42046</v>
      </c>
      <c r="H13" s="29">
        <v>5898.3</v>
      </c>
      <c r="I13" s="29">
        <v>0</v>
      </c>
      <c r="J13" s="29">
        <v>1061.7</v>
      </c>
      <c r="K13" s="29">
        <v>6960</v>
      </c>
      <c r="L13" s="29">
        <v>0</v>
      </c>
    </row>
    <row r="14" spans="2:12">
      <c r="B14" s="29">
        <v>6</v>
      </c>
      <c r="C14" s="29">
        <v>760</v>
      </c>
      <c r="D14" s="29" t="s">
        <v>381</v>
      </c>
      <c r="E14" s="29" t="s">
        <v>382</v>
      </c>
      <c r="F14" s="263">
        <v>42038</v>
      </c>
      <c r="G14" s="263">
        <v>42052</v>
      </c>
      <c r="H14" s="29">
        <v>7966.1</v>
      </c>
      <c r="I14" s="29">
        <v>0</v>
      </c>
      <c r="J14" s="29">
        <v>1433.9</v>
      </c>
      <c r="K14" s="29">
        <v>9400</v>
      </c>
      <c r="L14" s="29">
        <v>0</v>
      </c>
    </row>
    <row r="15" spans="2:12">
      <c r="B15" s="29">
        <v>6</v>
      </c>
      <c r="C15" s="29">
        <v>769</v>
      </c>
      <c r="D15" s="29" t="s">
        <v>381</v>
      </c>
      <c r="E15" s="29" t="s">
        <v>382</v>
      </c>
      <c r="F15" s="263">
        <v>42049</v>
      </c>
      <c r="H15" s="29">
        <v>9533.9</v>
      </c>
      <c r="I15" s="29">
        <v>0</v>
      </c>
      <c r="J15" s="29">
        <v>1716.1</v>
      </c>
      <c r="K15" s="29">
        <v>11250</v>
      </c>
      <c r="L15" s="29">
        <v>0</v>
      </c>
    </row>
    <row r="16" spans="2:12">
      <c r="B16" s="29">
        <v>6</v>
      </c>
      <c r="C16" s="29">
        <v>770</v>
      </c>
      <c r="D16" s="29" t="s">
        <v>381</v>
      </c>
      <c r="E16" s="29" t="s">
        <v>382</v>
      </c>
      <c r="F16" s="263">
        <v>42049</v>
      </c>
      <c r="H16" s="29">
        <v>0</v>
      </c>
      <c r="I16" s="29">
        <v>544</v>
      </c>
      <c r="J16" s="29">
        <v>0</v>
      </c>
      <c r="K16" s="29">
        <v>544</v>
      </c>
      <c r="L16" s="29">
        <v>0</v>
      </c>
    </row>
    <row r="17" spans="2:12">
      <c r="B17" s="29">
        <v>6</v>
      </c>
      <c r="C17" s="29">
        <v>771</v>
      </c>
      <c r="D17" s="29" t="s">
        <v>381</v>
      </c>
      <c r="E17" s="29" t="s">
        <v>382</v>
      </c>
      <c r="F17" s="263">
        <v>42049</v>
      </c>
      <c r="H17" s="29">
        <v>0</v>
      </c>
      <c r="I17" s="29">
        <v>544</v>
      </c>
      <c r="J17" s="29">
        <v>0</v>
      </c>
      <c r="K17" s="29">
        <v>544</v>
      </c>
      <c r="L17" s="29">
        <v>0</v>
      </c>
    </row>
    <row r="18" spans="2:12">
      <c r="B18" s="29">
        <v>6</v>
      </c>
      <c r="C18" s="29">
        <v>773</v>
      </c>
      <c r="D18" s="29" t="s">
        <v>454</v>
      </c>
      <c r="E18" s="29" t="s">
        <v>448</v>
      </c>
      <c r="F18" s="263">
        <v>42053</v>
      </c>
      <c r="H18" s="29">
        <v>822.3</v>
      </c>
      <c r="I18" s="29">
        <v>0</v>
      </c>
      <c r="J18" s="29">
        <v>148.01</v>
      </c>
      <c r="K18" s="29">
        <v>970.31</v>
      </c>
      <c r="L18" s="29">
        <v>0</v>
      </c>
    </row>
    <row r="19" spans="2:12">
      <c r="B19" s="29">
        <v>6</v>
      </c>
      <c r="C19" s="29">
        <v>774</v>
      </c>
      <c r="D19" s="29" t="s">
        <v>454</v>
      </c>
      <c r="E19" s="29" t="s">
        <v>448</v>
      </c>
      <c r="F19" s="263">
        <v>42053</v>
      </c>
      <c r="H19" s="29">
        <v>1096.4000000000001</v>
      </c>
      <c r="I19" s="29">
        <v>0</v>
      </c>
      <c r="J19" s="29">
        <v>197.35</v>
      </c>
      <c r="K19" s="29">
        <v>1293.75</v>
      </c>
      <c r="L19" s="29">
        <v>0</v>
      </c>
    </row>
    <row r="20" spans="2:12">
      <c r="B20" s="29">
        <v>6</v>
      </c>
      <c r="C20" s="29">
        <v>775</v>
      </c>
      <c r="D20" s="29" t="s">
        <v>381</v>
      </c>
      <c r="E20" s="29" t="s">
        <v>382</v>
      </c>
      <c r="F20" s="263">
        <v>42054</v>
      </c>
      <c r="H20" s="29">
        <v>7014.41</v>
      </c>
      <c r="I20" s="29">
        <v>0</v>
      </c>
      <c r="J20" s="29">
        <v>1262.5899999999999</v>
      </c>
      <c r="K20" s="29">
        <v>8277</v>
      </c>
      <c r="L20" s="29">
        <v>0</v>
      </c>
    </row>
    <row r="21" spans="2:12">
      <c r="B21" s="29">
        <v>6</v>
      </c>
      <c r="C21" s="29">
        <v>776</v>
      </c>
      <c r="D21" s="29" t="s">
        <v>381</v>
      </c>
      <c r="E21" s="29" t="s">
        <v>382</v>
      </c>
      <c r="F21" s="263">
        <v>42055</v>
      </c>
      <c r="H21" s="29">
        <v>7355.93</v>
      </c>
      <c r="I21" s="29">
        <v>0</v>
      </c>
      <c r="J21" s="29">
        <v>1324.07</v>
      </c>
      <c r="K21" s="29">
        <v>8680</v>
      </c>
      <c r="L21" s="29">
        <v>0</v>
      </c>
    </row>
    <row r="22" spans="2:12">
      <c r="B22" s="29">
        <v>6</v>
      </c>
      <c r="C22" s="29">
        <v>781</v>
      </c>
      <c r="D22" s="29" t="s">
        <v>401</v>
      </c>
      <c r="E22" s="29" t="s">
        <v>380</v>
      </c>
      <c r="F22" s="263">
        <v>42058</v>
      </c>
      <c r="G22" s="263">
        <v>42066</v>
      </c>
      <c r="H22" s="29">
        <v>4152.54</v>
      </c>
      <c r="I22" s="29">
        <v>0</v>
      </c>
      <c r="J22" s="29">
        <v>747.46</v>
      </c>
      <c r="K22" s="29">
        <v>4900</v>
      </c>
      <c r="L22" s="29">
        <v>0</v>
      </c>
    </row>
    <row r="23" spans="2:12">
      <c r="B23" s="29">
        <v>6</v>
      </c>
      <c r="C23" s="29">
        <v>779</v>
      </c>
      <c r="D23" s="29" t="s">
        <v>447</v>
      </c>
      <c r="E23" s="29" t="s">
        <v>448</v>
      </c>
      <c r="F23" s="263">
        <v>42058</v>
      </c>
      <c r="H23" s="29">
        <v>4337.1000000000004</v>
      </c>
      <c r="I23" s="29">
        <v>0</v>
      </c>
      <c r="J23" s="29">
        <v>780.68</v>
      </c>
      <c r="K23" s="29">
        <v>5117.78</v>
      </c>
      <c r="L23" s="29">
        <v>0</v>
      </c>
    </row>
    <row r="24" spans="2:12">
      <c r="B24" s="29">
        <v>6</v>
      </c>
      <c r="C24" s="29">
        <v>780</v>
      </c>
      <c r="D24" s="29" t="s">
        <v>447</v>
      </c>
      <c r="E24" s="29" t="s">
        <v>448</v>
      </c>
      <c r="F24" s="263">
        <v>42058</v>
      </c>
      <c r="H24" s="29">
        <v>8145.81</v>
      </c>
      <c r="I24" s="29">
        <v>0</v>
      </c>
      <c r="J24" s="29">
        <v>1466.25</v>
      </c>
      <c r="K24" s="29">
        <v>9612.06</v>
      </c>
      <c r="L24" s="29">
        <v>0</v>
      </c>
    </row>
    <row r="25" spans="2:12">
      <c r="B25" s="29">
        <v>6</v>
      </c>
      <c r="C25" s="29">
        <v>783</v>
      </c>
      <c r="D25" s="29" t="s">
        <v>447</v>
      </c>
      <c r="E25" s="29" t="s">
        <v>448</v>
      </c>
      <c r="F25" s="263">
        <v>42060</v>
      </c>
      <c r="H25" s="29">
        <v>4847.5</v>
      </c>
      <c r="I25" s="29">
        <v>0</v>
      </c>
      <c r="J25" s="29">
        <v>872.55</v>
      </c>
      <c r="K25" s="29">
        <v>5720.05</v>
      </c>
      <c r="L25" s="29">
        <v>0</v>
      </c>
    </row>
    <row r="26" spans="2:12">
      <c r="B26" s="29">
        <v>6</v>
      </c>
      <c r="C26" s="29">
        <v>782</v>
      </c>
      <c r="D26" s="29" t="s">
        <v>447</v>
      </c>
      <c r="E26" s="29" t="s">
        <v>448</v>
      </c>
      <c r="F26" s="263">
        <v>42060</v>
      </c>
      <c r="H26" s="29">
        <v>248.3</v>
      </c>
      <c r="I26" s="29">
        <v>0</v>
      </c>
      <c r="J26" s="29">
        <v>44.69</v>
      </c>
      <c r="K26" s="29">
        <v>292.99</v>
      </c>
      <c r="L26" s="29">
        <v>0</v>
      </c>
    </row>
    <row r="27" spans="2:12">
      <c r="B27" s="29">
        <v>6</v>
      </c>
      <c r="C27" s="29">
        <v>784</v>
      </c>
      <c r="D27" s="29" t="s">
        <v>447</v>
      </c>
      <c r="E27" s="29" t="s">
        <v>448</v>
      </c>
      <c r="F27" s="263">
        <v>42060</v>
      </c>
      <c r="H27" s="29">
        <v>6237.6</v>
      </c>
      <c r="I27" s="29">
        <v>0</v>
      </c>
      <c r="J27" s="29">
        <v>1122.77</v>
      </c>
      <c r="K27" s="29">
        <v>7360.37</v>
      </c>
      <c r="L27" s="29">
        <v>0</v>
      </c>
    </row>
    <row r="28" spans="2:12">
      <c r="B28" s="29">
        <v>6</v>
      </c>
      <c r="C28" s="29">
        <v>785</v>
      </c>
      <c r="D28" s="29" t="s">
        <v>453</v>
      </c>
      <c r="E28" s="29" t="s">
        <v>448</v>
      </c>
      <c r="F28" s="263">
        <v>42061</v>
      </c>
      <c r="H28" s="29">
        <v>1677.97</v>
      </c>
      <c r="I28" s="29">
        <v>0</v>
      </c>
      <c r="J28" s="29">
        <v>302.02999999999997</v>
      </c>
      <c r="K28" s="29">
        <v>1980</v>
      </c>
      <c r="L28" s="29">
        <v>0</v>
      </c>
    </row>
    <row r="29" spans="2:12">
      <c r="B29" s="29">
        <v>6</v>
      </c>
      <c r="C29" s="29">
        <v>786</v>
      </c>
      <c r="D29" s="29" t="s">
        <v>381</v>
      </c>
      <c r="E29" s="29" t="s">
        <v>382</v>
      </c>
      <c r="F29" s="263">
        <v>42061</v>
      </c>
      <c r="H29" s="29">
        <v>2117.37</v>
      </c>
      <c r="I29" s="29">
        <v>0</v>
      </c>
      <c r="J29" s="29">
        <v>381.13</v>
      </c>
      <c r="K29" s="29">
        <v>2498.5</v>
      </c>
      <c r="L29" s="29">
        <v>0</v>
      </c>
    </row>
    <row r="30" spans="2:12">
      <c r="B30" s="29">
        <v>6</v>
      </c>
      <c r="C30" s="29">
        <v>787</v>
      </c>
      <c r="D30" s="29" t="s">
        <v>454</v>
      </c>
      <c r="E30" s="29" t="s">
        <v>448</v>
      </c>
      <c r="F30" s="263">
        <v>42062</v>
      </c>
      <c r="H30" s="29">
        <v>548.20000000000005</v>
      </c>
      <c r="I30" s="29">
        <v>0</v>
      </c>
      <c r="J30" s="29">
        <v>98.68</v>
      </c>
      <c r="K30" s="29">
        <v>646.88</v>
      </c>
      <c r="L30" s="29">
        <v>0</v>
      </c>
    </row>
    <row r="31" spans="2:12">
      <c r="B31" s="29">
        <v>6</v>
      </c>
      <c r="C31" s="29">
        <v>788</v>
      </c>
      <c r="D31" s="29" t="s">
        <v>454</v>
      </c>
      <c r="E31" s="29" t="s">
        <v>448</v>
      </c>
      <c r="F31" s="263">
        <v>42062</v>
      </c>
      <c r="H31" s="29">
        <v>54326.62</v>
      </c>
      <c r="I31" s="29">
        <v>0</v>
      </c>
      <c r="J31" s="29">
        <v>9778.7900000000009</v>
      </c>
      <c r="K31" s="29">
        <v>64105.41</v>
      </c>
      <c r="L31" s="29">
        <v>0</v>
      </c>
    </row>
    <row r="32" spans="2:12">
      <c r="H32" s="29">
        <f>SUM(H2:H31)</f>
        <v>240394.83000000002</v>
      </c>
    </row>
    <row r="33" spans="1:13">
      <c r="H33" s="29">
        <f>H32-(H31+H30+H19+H18+H3+H6)</f>
        <v>124066.79000000001</v>
      </c>
    </row>
    <row r="35" spans="1:13">
      <c r="F35" s="29">
        <v>235028.35</v>
      </c>
    </row>
    <row r="36" spans="1:13">
      <c r="F36" s="29">
        <f>H32-F35</f>
        <v>5366.4800000000105</v>
      </c>
    </row>
    <row r="37" spans="1:13">
      <c r="A37" s="29" t="s">
        <v>546</v>
      </c>
      <c r="B37" s="29" t="s">
        <v>547</v>
      </c>
      <c r="C37" s="29" t="s">
        <v>548</v>
      </c>
      <c r="D37" s="29" t="s">
        <v>549</v>
      </c>
      <c r="E37" s="29" t="s">
        <v>550</v>
      </c>
      <c r="F37" s="29" t="s">
        <v>481</v>
      </c>
      <c r="G37" s="29" t="s">
        <v>551</v>
      </c>
      <c r="H37" s="29" t="s">
        <v>552</v>
      </c>
      <c r="I37" s="29" t="s">
        <v>553</v>
      </c>
      <c r="J37" s="29" t="s">
        <v>554</v>
      </c>
      <c r="K37" s="29" t="s">
        <v>555</v>
      </c>
      <c r="L37" s="29" t="s">
        <v>556</v>
      </c>
      <c r="M37" s="29" t="s">
        <v>557</v>
      </c>
    </row>
    <row r="38" spans="1:13">
      <c r="A38" s="29">
        <f t="shared" ref="A38:A69" si="0">VLOOKUP(C38,$C$2:$C$31,1,0)</f>
        <v>762</v>
      </c>
      <c r="B38" s="29">
        <v>6</v>
      </c>
      <c r="C38" s="29">
        <v>762</v>
      </c>
      <c r="D38" s="29" t="s">
        <v>454</v>
      </c>
      <c r="E38" s="29" t="s">
        <v>448</v>
      </c>
      <c r="F38" s="263">
        <v>42040</v>
      </c>
      <c r="H38" s="29">
        <v>3563.3</v>
      </c>
      <c r="I38" s="29">
        <v>0</v>
      </c>
      <c r="J38" s="29">
        <v>641.39</v>
      </c>
      <c r="K38" s="29">
        <v>4204.6899999999996</v>
      </c>
      <c r="L38" s="29">
        <v>0</v>
      </c>
      <c r="M38" s="29">
        <v>18</v>
      </c>
    </row>
    <row r="39" spans="1:13">
      <c r="A39" s="29">
        <f t="shared" si="0"/>
        <v>763</v>
      </c>
      <c r="B39" s="29">
        <v>6</v>
      </c>
      <c r="C39" s="29">
        <v>763</v>
      </c>
      <c r="D39" s="29" t="s">
        <v>447</v>
      </c>
      <c r="E39" s="29" t="s">
        <v>448</v>
      </c>
      <c r="F39" s="263">
        <v>42040</v>
      </c>
      <c r="H39" s="29">
        <v>2124.6</v>
      </c>
      <c r="I39" s="29">
        <v>0</v>
      </c>
      <c r="J39" s="29">
        <v>382.43</v>
      </c>
      <c r="K39" s="29">
        <v>2507.0300000000002</v>
      </c>
      <c r="L39" s="29">
        <v>0</v>
      </c>
      <c r="M39" s="29">
        <v>18</v>
      </c>
    </row>
    <row r="40" spans="1:13">
      <c r="A40" s="29">
        <f t="shared" si="0"/>
        <v>764</v>
      </c>
      <c r="B40" s="29">
        <v>6</v>
      </c>
      <c r="C40" s="29">
        <v>764</v>
      </c>
      <c r="D40" s="29" t="s">
        <v>447</v>
      </c>
      <c r="E40" s="29" t="s">
        <v>448</v>
      </c>
      <c r="F40" s="263">
        <v>42040</v>
      </c>
      <c r="H40" s="29">
        <v>18062.740000000002</v>
      </c>
      <c r="I40" s="29">
        <v>0</v>
      </c>
      <c r="J40" s="29">
        <v>3251.29</v>
      </c>
      <c r="K40" s="29">
        <v>21314.03</v>
      </c>
      <c r="L40" s="29">
        <v>0</v>
      </c>
      <c r="M40" s="29">
        <v>18</v>
      </c>
    </row>
    <row r="41" spans="1:13">
      <c r="A41" s="29">
        <f t="shared" si="0"/>
        <v>765</v>
      </c>
      <c r="B41" s="29">
        <v>6</v>
      </c>
      <c r="C41" s="29">
        <v>765</v>
      </c>
      <c r="D41" s="29" t="s">
        <v>454</v>
      </c>
      <c r="E41" s="29" t="s">
        <v>448</v>
      </c>
      <c r="F41" s="263">
        <v>42041</v>
      </c>
      <c r="H41" s="29">
        <v>55971.22</v>
      </c>
      <c r="I41" s="29">
        <v>0</v>
      </c>
      <c r="J41" s="29">
        <v>10074.82</v>
      </c>
      <c r="K41" s="29">
        <v>66046.039999999994</v>
      </c>
      <c r="L41" s="29">
        <v>0</v>
      </c>
      <c r="M41" s="29">
        <v>18</v>
      </c>
    </row>
    <row r="42" spans="1:13">
      <c r="A42" s="29">
        <f t="shared" si="0"/>
        <v>767</v>
      </c>
      <c r="B42" s="29">
        <v>6</v>
      </c>
      <c r="C42" s="29">
        <v>767</v>
      </c>
      <c r="D42" s="29" t="s">
        <v>381</v>
      </c>
      <c r="E42" s="29" t="s">
        <v>382</v>
      </c>
      <c r="F42" s="263">
        <v>42042</v>
      </c>
      <c r="H42" s="29">
        <v>3414.41</v>
      </c>
      <c r="I42" s="29">
        <v>0</v>
      </c>
      <c r="J42" s="29">
        <v>614.59</v>
      </c>
      <c r="K42" s="29">
        <v>4029</v>
      </c>
      <c r="L42" s="29">
        <v>0</v>
      </c>
      <c r="M42" s="29">
        <v>18</v>
      </c>
    </row>
    <row r="43" spans="1:13">
      <c r="A43" s="29">
        <f t="shared" si="0"/>
        <v>757</v>
      </c>
      <c r="B43" s="29">
        <v>6</v>
      </c>
      <c r="C43" s="29">
        <v>757</v>
      </c>
      <c r="D43" s="29" t="s">
        <v>381</v>
      </c>
      <c r="E43" s="29" t="s">
        <v>382</v>
      </c>
      <c r="F43" s="263">
        <v>42038</v>
      </c>
      <c r="G43" s="263">
        <v>42052</v>
      </c>
      <c r="H43" s="29">
        <v>5974.58</v>
      </c>
      <c r="I43" s="29">
        <v>0</v>
      </c>
      <c r="J43" s="29">
        <v>1075.42</v>
      </c>
      <c r="K43" s="29">
        <v>7050</v>
      </c>
      <c r="L43" s="29">
        <v>0</v>
      </c>
      <c r="M43" s="29">
        <v>18</v>
      </c>
    </row>
    <row r="44" spans="1:13">
      <c r="A44" s="29">
        <f t="shared" si="0"/>
        <v>759</v>
      </c>
      <c r="B44" s="29">
        <v>6</v>
      </c>
      <c r="C44" s="29">
        <v>759</v>
      </c>
      <c r="D44" s="29" t="s">
        <v>381</v>
      </c>
      <c r="E44" s="29" t="s">
        <v>382</v>
      </c>
      <c r="F44" s="263">
        <v>42038</v>
      </c>
      <c r="G44" s="263">
        <v>42052</v>
      </c>
      <c r="H44" s="29">
        <v>5974.58</v>
      </c>
      <c r="I44" s="29">
        <v>0</v>
      </c>
      <c r="J44" s="29">
        <v>1075.42</v>
      </c>
      <c r="K44" s="29">
        <v>7050</v>
      </c>
      <c r="L44" s="29">
        <v>0</v>
      </c>
      <c r="M44" s="29">
        <v>18</v>
      </c>
    </row>
    <row r="45" spans="1:13">
      <c r="A45" s="29">
        <f t="shared" si="0"/>
        <v>761</v>
      </c>
      <c r="B45" s="29">
        <v>6</v>
      </c>
      <c r="C45" s="29">
        <v>761</v>
      </c>
      <c r="D45" s="29" t="s">
        <v>381</v>
      </c>
      <c r="E45" s="29" t="s">
        <v>382</v>
      </c>
      <c r="F45" s="263">
        <v>42038</v>
      </c>
      <c r="G45" s="263">
        <v>42052</v>
      </c>
      <c r="H45" s="29">
        <v>7966.1</v>
      </c>
      <c r="I45" s="29">
        <v>0</v>
      </c>
      <c r="J45" s="29">
        <v>1433.9</v>
      </c>
      <c r="K45" s="29">
        <v>9400</v>
      </c>
      <c r="L45" s="29">
        <v>0</v>
      </c>
      <c r="M45" s="29">
        <v>18</v>
      </c>
    </row>
    <row r="46" spans="1:13">
      <c r="A46" s="29">
        <f t="shared" si="0"/>
        <v>756</v>
      </c>
      <c r="B46" s="29">
        <v>6</v>
      </c>
      <c r="C46" s="29">
        <v>756</v>
      </c>
      <c r="D46" s="29" t="s">
        <v>381</v>
      </c>
      <c r="E46" s="29" t="s">
        <v>382</v>
      </c>
      <c r="F46" s="263">
        <v>42038</v>
      </c>
      <c r="G46" s="263">
        <v>42052</v>
      </c>
      <c r="H46" s="29">
        <v>7966.1</v>
      </c>
      <c r="I46" s="29">
        <v>0</v>
      </c>
      <c r="J46" s="29">
        <v>1433.9</v>
      </c>
      <c r="K46" s="29">
        <v>9400</v>
      </c>
      <c r="L46" s="29">
        <v>0</v>
      </c>
      <c r="M46" s="29">
        <v>18</v>
      </c>
    </row>
    <row r="47" spans="1:13">
      <c r="A47" s="29">
        <f t="shared" si="0"/>
        <v>760</v>
      </c>
      <c r="B47" s="29">
        <v>6</v>
      </c>
      <c r="C47" s="29">
        <v>760</v>
      </c>
      <c r="D47" s="29" t="s">
        <v>381</v>
      </c>
      <c r="E47" s="29" t="s">
        <v>382</v>
      </c>
      <c r="F47" s="263">
        <v>42038</v>
      </c>
      <c r="G47" s="263">
        <v>42052</v>
      </c>
      <c r="H47" s="29">
        <v>7966.1</v>
      </c>
      <c r="I47" s="29">
        <v>0</v>
      </c>
      <c r="J47" s="29">
        <v>1433.9</v>
      </c>
      <c r="K47" s="29">
        <v>9400</v>
      </c>
      <c r="L47" s="29">
        <v>0</v>
      </c>
      <c r="M47" s="29">
        <v>18</v>
      </c>
    </row>
    <row r="48" spans="1:13">
      <c r="A48" s="29">
        <f t="shared" si="0"/>
        <v>769</v>
      </c>
      <c r="B48" s="29">
        <v>6</v>
      </c>
      <c r="C48" s="29">
        <v>769</v>
      </c>
      <c r="D48" s="29" t="s">
        <v>381</v>
      </c>
      <c r="E48" s="29" t="s">
        <v>382</v>
      </c>
      <c r="F48" s="263">
        <v>42049</v>
      </c>
      <c r="H48" s="29">
        <v>9533.9</v>
      </c>
      <c r="I48" s="29">
        <v>0</v>
      </c>
      <c r="J48" s="29">
        <v>1716.1</v>
      </c>
      <c r="K48" s="29">
        <v>11250</v>
      </c>
      <c r="L48" s="29">
        <v>0</v>
      </c>
      <c r="M48" s="29">
        <v>18</v>
      </c>
    </row>
    <row r="49" spans="1:13">
      <c r="A49" s="29">
        <f t="shared" si="0"/>
        <v>770</v>
      </c>
      <c r="B49" s="29">
        <v>6</v>
      </c>
      <c r="C49" s="29">
        <v>770</v>
      </c>
      <c r="D49" s="29" t="s">
        <v>381</v>
      </c>
      <c r="E49" s="29" t="s">
        <v>382</v>
      </c>
      <c r="F49" s="263">
        <v>42049</v>
      </c>
      <c r="H49" s="29">
        <v>0</v>
      </c>
      <c r="I49" s="29">
        <v>544</v>
      </c>
      <c r="J49" s="29">
        <v>0</v>
      </c>
      <c r="K49" s="29">
        <v>544</v>
      </c>
      <c r="L49" s="29">
        <v>0</v>
      </c>
      <c r="M49" s="29">
        <v>18</v>
      </c>
    </row>
    <row r="50" spans="1:13">
      <c r="A50" s="29">
        <f t="shared" si="0"/>
        <v>771</v>
      </c>
      <c r="B50" s="29">
        <v>6</v>
      </c>
      <c r="C50" s="29">
        <v>771</v>
      </c>
      <c r="D50" s="29" t="s">
        <v>381</v>
      </c>
      <c r="E50" s="29" t="s">
        <v>382</v>
      </c>
      <c r="F50" s="263">
        <v>42049</v>
      </c>
      <c r="H50" s="29">
        <v>0</v>
      </c>
      <c r="I50" s="29">
        <v>544</v>
      </c>
      <c r="J50" s="29">
        <v>0</v>
      </c>
      <c r="K50" s="29">
        <v>544</v>
      </c>
      <c r="L50" s="29">
        <v>0</v>
      </c>
      <c r="M50" s="29">
        <v>18</v>
      </c>
    </row>
    <row r="51" spans="1:13">
      <c r="A51" s="29">
        <f t="shared" si="0"/>
        <v>773</v>
      </c>
      <c r="B51" s="29">
        <v>6</v>
      </c>
      <c r="C51" s="29">
        <v>773</v>
      </c>
      <c r="D51" s="29" t="s">
        <v>454</v>
      </c>
      <c r="E51" s="29" t="s">
        <v>448</v>
      </c>
      <c r="F51" s="263">
        <v>42053</v>
      </c>
      <c r="H51" s="29">
        <v>822.3</v>
      </c>
      <c r="I51" s="29">
        <v>0</v>
      </c>
      <c r="J51" s="29">
        <v>148.01</v>
      </c>
      <c r="K51" s="29">
        <v>970.31</v>
      </c>
      <c r="L51" s="29">
        <v>0</v>
      </c>
      <c r="M51" s="29">
        <v>18</v>
      </c>
    </row>
    <row r="52" spans="1:13">
      <c r="A52" s="29">
        <f t="shared" si="0"/>
        <v>774</v>
      </c>
      <c r="B52" s="29">
        <v>6</v>
      </c>
      <c r="C52" s="29">
        <v>774</v>
      </c>
      <c r="D52" s="29" t="s">
        <v>454</v>
      </c>
      <c r="E52" s="29" t="s">
        <v>448</v>
      </c>
      <c r="F52" s="263">
        <v>42053</v>
      </c>
      <c r="H52" s="29">
        <v>1096.4000000000001</v>
      </c>
      <c r="I52" s="29">
        <v>0</v>
      </c>
      <c r="J52" s="29">
        <v>197.35</v>
      </c>
      <c r="K52" s="29">
        <v>1293.75</v>
      </c>
      <c r="L52" s="29">
        <v>0</v>
      </c>
      <c r="M52" s="29">
        <v>18</v>
      </c>
    </row>
    <row r="53" spans="1:13">
      <c r="A53" s="33" t="e">
        <f t="shared" si="0"/>
        <v>#N/A</v>
      </c>
      <c r="B53" s="33">
        <v>6</v>
      </c>
      <c r="C53" s="33">
        <v>777</v>
      </c>
      <c r="D53" s="33" t="s">
        <v>558</v>
      </c>
      <c r="E53" s="33" t="s">
        <v>450</v>
      </c>
      <c r="F53" s="280">
        <v>42055</v>
      </c>
      <c r="G53" s="33"/>
      <c r="H53" s="33">
        <v>4242.54</v>
      </c>
      <c r="I53" s="33">
        <v>0</v>
      </c>
      <c r="J53" s="33">
        <v>763.66</v>
      </c>
      <c r="K53" s="33">
        <v>5006.2</v>
      </c>
      <c r="L53" s="33">
        <v>0</v>
      </c>
      <c r="M53" s="33">
        <v>18</v>
      </c>
    </row>
    <row r="54" spans="1:13">
      <c r="A54" s="33" t="e">
        <f t="shared" si="0"/>
        <v>#N/A</v>
      </c>
      <c r="B54" s="33">
        <v>6</v>
      </c>
      <c r="C54" s="33">
        <v>778</v>
      </c>
      <c r="D54" s="33" t="s">
        <v>558</v>
      </c>
      <c r="E54" s="33" t="s">
        <v>450</v>
      </c>
      <c r="F54" s="280">
        <v>42056</v>
      </c>
      <c r="G54" s="280">
        <v>42068</v>
      </c>
      <c r="H54" s="33">
        <v>4511.1000000000004</v>
      </c>
      <c r="I54" s="33">
        <v>0</v>
      </c>
      <c r="J54" s="33">
        <v>812</v>
      </c>
      <c r="K54" s="33">
        <v>5323.1</v>
      </c>
      <c r="L54" s="33">
        <v>0</v>
      </c>
      <c r="M54" s="33">
        <v>18</v>
      </c>
    </row>
    <row r="55" spans="1:13">
      <c r="A55" s="29">
        <f t="shared" si="0"/>
        <v>779</v>
      </c>
      <c r="B55" s="29">
        <v>6</v>
      </c>
      <c r="C55" s="29">
        <v>779</v>
      </c>
      <c r="D55" s="29" t="s">
        <v>447</v>
      </c>
      <c r="E55" s="29" t="s">
        <v>448</v>
      </c>
      <c r="F55" s="263">
        <v>42058</v>
      </c>
      <c r="H55" s="29">
        <v>4337.1000000000004</v>
      </c>
      <c r="I55" s="29">
        <v>0</v>
      </c>
      <c r="J55" s="29">
        <v>780.68</v>
      </c>
      <c r="K55" s="29">
        <v>5117.78</v>
      </c>
      <c r="L55" s="29">
        <v>0</v>
      </c>
      <c r="M55" s="29">
        <v>18</v>
      </c>
    </row>
    <row r="56" spans="1:13">
      <c r="A56" s="29">
        <f t="shared" si="0"/>
        <v>780</v>
      </c>
      <c r="B56" s="29">
        <v>6</v>
      </c>
      <c r="C56" s="29">
        <v>780</v>
      </c>
      <c r="D56" s="29" t="s">
        <v>447</v>
      </c>
      <c r="E56" s="29" t="s">
        <v>448</v>
      </c>
      <c r="F56" s="263">
        <v>42058</v>
      </c>
      <c r="H56" s="29">
        <v>8145.81</v>
      </c>
      <c r="I56" s="29">
        <v>0</v>
      </c>
      <c r="J56" s="29">
        <v>1466.25</v>
      </c>
      <c r="K56" s="29">
        <v>9612.06</v>
      </c>
      <c r="L56" s="29">
        <v>0</v>
      </c>
      <c r="M56" s="29">
        <v>18</v>
      </c>
    </row>
    <row r="57" spans="1:13">
      <c r="A57" s="29">
        <f t="shared" si="0"/>
        <v>783</v>
      </c>
      <c r="B57" s="29">
        <v>6</v>
      </c>
      <c r="C57" s="29">
        <v>783</v>
      </c>
      <c r="D57" s="29" t="s">
        <v>447</v>
      </c>
      <c r="E57" s="29" t="s">
        <v>448</v>
      </c>
      <c r="F57" s="263">
        <v>42060</v>
      </c>
      <c r="H57" s="29">
        <v>4847.5</v>
      </c>
      <c r="I57" s="29">
        <v>0</v>
      </c>
      <c r="J57" s="29">
        <v>872.55</v>
      </c>
      <c r="K57" s="29">
        <v>5720.05</v>
      </c>
      <c r="L57" s="29">
        <v>0</v>
      </c>
      <c r="M57" s="29">
        <v>18</v>
      </c>
    </row>
    <row r="58" spans="1:13" s="33" customFormat="1" ht="9">
      <c r="A58" s="29">
        <f t="shared" si="0"/>
        <v>782</v>
      </c>
      <c r="B58" s="29">
        <v>6</v>
      </c>
      <c r="C58" s="29">
        <v>782</v>
      </c>
      <c r="D58" s="29" t="s">
        <v>447</v>
      </c>
      <c r="E58" s="29" t="s">
        <v>448</v>
      </c>
      <c r="F58" s="263">
        <v>42060</v>
      </c>
      <c r="G58" s="29"/>
      <c r="H58" s="29">
        <v>248.3</v>
      </c>
      <c r="I58" s="29">
        <v>0</v>
      </c>
      <c r="J58" s="29">
        <v>44.69</v>
      </c>
      <c r="K58" s="29">
        <v>292.99</v>
      </c>
      <c r="L58" s="29">
        <v>0</v>
      </c>
      <c r="M58" s="29">
        <v>18</v>
      </c>
    </row>
    <row r="59" spans="1:13">
      <c r="A59" s="29">
        <f t="shared" si="0"/>
        <v>784</v>
      </c>
      <c r="B59" s="29">
        <v>6</v>
      </c>
      <c r="C59" s="29">
        <v>784</v>
      </c>
      <c r="D59" s="29" t="s">
        <v>447</v>
      </c>
      <c r="E59" s="29" t="s">
        <v>448</v>
      </c>
      <c r="F59" s="263">
        <v>42060</v>
      </c>
      <c r="H59" s="29">
        <v>6237.6</v>
      </c>
      <c r="I59" s="29">
        <v>0</v>
      </c>
      <c r="J59" s="29">
        <v>1122.77</v>
      </c>
      <c r="K59" s="29">
        <v>7360.37</v>
      </c>
      <c r="L59" s="29">
        <v>0</v>
      </c>
      <c r="M59" s="29">
        <v>18</v>
      </c>
    </row>
    <row r="60" spans="1:13" s="33" customFormat="1" ht="9">
      <c r="A60" s="29">
        <f t="shared" si="0"/>
        <v>785</v>
      </c>
      <c r="B60" s="29">
        <v>6</v>
      </c>
      <c r="C60" s="29">
        <v>785</v>
      </c>
      <c r="D60" s="29" t="s">
        <v>453</v>
      </c>
      <c r="E60" s="29" t="s">
        <v>448</v>
      </c>
      <c r="F60" s="263">
        <v>42061</v>
      </c>
      <c r="G60" s="29"/>
      <c r="H60" s="29">
        <v>1677.97</v>
      </c>
      <c r="I60" s="29">
        <v>0</v>
      </c>
      <c r="J60" s="29">
        <v>302.02999999999997</v>
      </c>
      <c r="K60" s="29">
        <v>1980</v>
      </c>
      <c r="L60" s="29">
        <v>0</v>
      </c>
      <c r="M60" s="29">
        <v>18</v>
      </c>
    </row>
    <row r="61" spans="1:13">
      <c r="A61" s="29">
        <f t="shared" si="0"/>
        <v>787</v>
      </c>
      <c r="B61" s="29">
        <v>6</v>
      </c>
      <c r="C61" s="29">
        <v>787</v>
      </c>
      <c r="D61" s="29" t="s">
        <v>454</v>
      </c>
      <c r="E61" s="29" t="s">
        <v>448</v>
      </c>
      <c r="F61" s="263">
        <v>42062</v>
      </c>
      <c r="H61" s="29">
        <v>548.20000000000005</v>
      </c>
      <c r="I61" s="29">
        <v>0</v>
      </c>
      <c r="J61" s="29">
        <v>98.68</v>
      </c>
      <c r="K61" s="29">
        <v>646.88</v>
      </c>
      <c r="L61" s="29">
        <v>0</v>
      </c>
      <c r="M61" s="29">
        <v>18</v>
      </c>
    </row>
    <row r="62" spans="1:13">
      <c r="A62" s="29">
        <f t="shared" si="0"/>
        <v>788</v>
      </c>
      <c r="B62" s="29">
        <v>6</v>
      </c>
      <c r="C62" s="29">
        <v>788</v>
      </c>
      <c r="D62" s="29" t="s">
        <v>454</v>
      </c>
      <c r="E62" s="29" t="s">
        <v>448</v>
      </c>
      <c r="F62" s="263">
        <v>42062</v>
      </c>
      <c r="H62" s="29">
        <v>54326.62</v>
      </c>
      <c r="I62" s="29">
        <v>0</v>
      </c>
      <c r="J62" s="29">
        <v>9778.7900000000009</v>
      </c>
      <c r="K62" s="29">
        <v>64105.41</v>
      </c>
      <c r="L62" s="29">
        <v>0</v>
      </c>
      <c r="M62" s="29">
        <v>18</v>
      </c>
    </row>
    <row r="63" spans="1:13">
      <c r="A63" s="29">
        <f t="shared" si="0"/>
        <v>755</v>
      </c>
      <c r="B63" s="29">
        <v>6</v>
      </c>
      <c r="C63" s="29">
        <v>755</v>
      </c>
      <c r="D63" s="29" t="s">
        <v>381</v>
      </c>
      <c r="E63" s="29" t="s">
        <v>382</v>
      </c>
      <c r="F63" s="263">
        <v>42037</v>
      </c>
      <c r="H63" s="29">
        <v>0</v>
      </c>
      <c r="I63" s="29">
        <v>1735.18</v>
      </c>
      <c r="J63" s="29">
        <v>0</v>
      </c>
      <c r="K63" s="29">
        <v>1735.18</v>
      </c>
      <c r="L63" s="29">
        <v>0</v>
      </c>
      <c r="M63" s="29">
        <v>47</v>
      </c>
    </row>
    <row r="64" spans="1:13">
      <c r="A64" s="33">
        <f t="shared" si="0"/>
        <v>766</v>
      </c>
      <c r="B64" s="33">
        <v>6</v>
      </c>
      <c r="C64" s="33">
        <v>766</v>
      </c>
      <c r="D64" s="33" t="s">
        <v>381</v>
      </c>
      <c r="E64" s="33" t="s">
        <v>382</v>
      </c>
      <c r="F64" s="280">
        <v>42042</v>
      </c>
      <c r="G64" s="33"/>
      <c r="H64" s="33">
        <v>3050.85</v>
      </c>
      <c r="I64" s="33">
        <v>0</v>
      </c>
      <c r="J64" s="33">
        <v>549.15</v>
      </c>
      <c r="K64" s="33">
        <v>3600</v>
      </c>
      <c r="L64" s="33">
        <v>0</v>
      </c>
      <c r="M64" s="33">
        <v>51</v>
      </c>
    </row>
    <row r="65" spans="1:14">
      <c r="A65" s="33">
        <f t="shared" si="0"/>
        <v>768</v>
      </c>
      <c r="B65" s="33">
        <v>6</v>
      </c>
      <c r="C65" s="33">
        <v>768</v>
      </c>
      <c r="D65" s="33" t="s">
        <v>381</v>
      </c>
      <c r="E65" s="33" t="s">
        <v>382</v>
      </c>
      <c r="F65" s="280">
        <v>42046</v>
      </c>
      <c r="G65" s="33"/>
      <c r="H65" s="33">
        <v>5898.3</v>
      </c>
      <c r="I65" s="33">
        <v>0</v>
      </c>
      <c r="J65" s="33">
        <v>1061.7</v>
      </c>
      <c r="K65" s="33">
        <v>6960</v>
      </c>
      <c r="L65" s="33">
        <v>0</v>
      </c>
      <c r="M65" s="33">
        <v>51</v>
      </c>
    </row>
    <row r="66" spans="1:14">
      <c r="A66" s="33">
        <f t="shared" si="0"/>
        <v>775</v>
      </c>
      <c r="B66" s="33">
        <v>6</v>
      </c>
      <c r="C66" s="33">
        <v>775</v>
      </c>
      <c r="D66" s="33" t="s">
        <v>381</v>
      </c>
      <c r="E66" s="33" t="s">
        <v>382</v>
      </c>
      <c r="F66" s="280">
        <v>42054</v>
      </c>
      <c r="G66" s="33"/>
      <c r="H66" s="33">
        <v>7014.41</v>
      </c>
      <c r="I66" s="33">
        <v>0</v>
      </c>
      <c r="J66" s="33">
        <v>1262.5899999999999</v>
      </c>
      <c r="K66" s="33">
        <v>8277</v>
      </c>
      <c r="L66" s="33">
        <v>0</v>
      </c>
      <c r="M66" s="33">
        <v>51</v>
      </c>
    </row>
    <row r="67" spans="1:14">
      <c r="A67" s="33">
        <f t="shared" si="0"/>
        <v>776</v>
      </c>
      <c r="B67" s="33">
        <v>6</v>
      </c>
      <c r="C67" s="33">
        <v>776</v>
      </c>
      <c r="D67" s="33" t="s">
        <v>381</v>
      </c>
      <c r="E67" s="33" t="s">
        <v>382</v>
      </c>
      <c r="F67" s="280">
        <v>42055</v>
      </c>
      <c r="G67" s="33"/>
      <c r="H67" s="33">
        <v>7355.93</v>
      </c>
      <c r="I67" s="33">
        <v>0</v>
      </c>
      <c r="J67" s="33">
        <v>1324.07</v>
      </c>
      <c r="K67" s="33">
        <v>8680</v>
      </c>
      <c r="L67" s="33">
        <v>0</v>
      </c>
      <c r="M67" s="33">
        <v>51</v>
      </c>
    </row>
    <row r="68" spans="1:14">
      <c r="A68" s="33">
        <f t="shared" si="0"/>
        <v>786</v>
      </c>
      <c r="B68" s="33">
        <v>6</v>
      </c>
      <c r="C68" s="33">
        <v>786</v>
      </c>
      <c r="D68" s="33" t="s">
        <v>381</v>
      </c>
      <c r="E68" s="33" t="s">
        <v>382</v>
      </c>
      <c r="F68" s="280">
        <v>42061</v>
      </c>
      <c r="G68" s="33"/>
      <c r="H68" s="33">
        <v>2117.37</v>
      </c>
      <c r="I68" s="33">
        <v>0</v>
      </c>
      <c r="J68" s="33">
        <v>381.13</v>
      </c>
      <c r="K68" s="33">
        <v>2498.5</v>
      </c>
      <c r="L68" s="33">
        <v>0</v>
      </c>
      <c r="M68" s="33">
        <v>51</v>
      </c>
    </row>
    <row r="69" spans="1:14">
      <c r="A69" s="29">
        <f t="shared" si="0"/>
        <v>781</v>
      </c>
      <c r="B69" s="29">
        <v>6</v>
      </c>
      <c r="C69" s="29">
        <v>781</v>
      </c>
      <c r="D69" s="29" t="s">
        <v>401</v>
      </c>
      <c r="E69" s="29" t="s">
        <v>380</v>
      </c>
      <c r="F69" s="263">
        <v>42058</v>
      </c>
      <c r="G69" s="263">
        <v>42066</v>
      </c>
      <c r="H69" s="29">
        <v>4152.54</v>
      </c>
      <c r="I69" s="29">
        <v>0</v>
      </c>
      <c r="J69" s="29">
        <v>747.46</v>
      </c>
      <c r="K69" s="29">
        <v>4900</v>
      </c>
      <c r="L69" s="29">
        <v>0</v>
      </c>
      <c r="M69" s="29">
        <v>57</v>
      </c>
    </row>
    <row r="70" spans="1:14">
      <c r="H70" s="29">
        <f>SUM(H38:H69)</f>
        <v>249148.47000000003</v>
      </c>
    </row>
    <row r="74" spans="1:14">
      <c r="B74" s="29" t="s">
        <v>546</v>
      </c>
      <c r="C74" s="29" t="s">
        <v>547</v>
      </c>
      <c r="D74" s="29" t="s">
        <v>548</v>
      </c>
      <c r="E74" s="29" t="s">
        <v>549</v>
      </c>
      <c r="F74" s="29" t="s">
        <v>550</v>
      </c>
      <c r="G74" s="29" t="s">
        <v>481</v>
      </c>
      <c r="H74" s="29" t="s">
        <v>551</v>
      </c>
      <c r="I74" s="29" t="s">
        <v>552</v>
      </c>
      <c r="J74" s="29" t="s">
        <v>553</v>
      </c>
      <c r="K74" s="29" t="s">
        <v>554</v>
      </c>
      <c r="L74" s="29" t="s">
        <v>555</v>
      </c>
      <c r="M74" s="29" t="s">
        <v>556</v>
      </c>
      <c r="N74" s="29" t="s">
        <v>557</v>
      </c>
    </row>
    <row r="75" spans="1:14">
      <c r="B75" s="29">
        <v>6</v>
      </c>
      <c r="C75" s="29">
        <v>762</v>
      </c>
      <c r="D75" s="29" t="s">
        <v>454</v>
      </c>
      <c r="E75" s="29" t="s">
        <v>448</v>
      </c>
      <c r="F75" s="263">
        <v>42040</v>
      </c>
      <c r="H75" s="29">
        <v>3563.3</v>
      </c>
      <c r="I75" s="29">
        <v>0</v>
      </c>
      <c r="J75" s="29">
        <v>641.39</v>
      </c>
      <c r="K75" s="29">
        <v>4204.6899999999996</v>
      </c>
      <c r="L75" s="29">
        <v>0</v>
      </c>
      <c r="M75" s="29">
        <v>18</v>
      </c>
    </row>
    <row r="76" spans="1:14">
      <c r="B76" s="29">
        <v>6</v>
      </c>
      <c r="C76" s="29">
        <v>763</v>
      </c>
      <c r="D76" s="29" t="s">
        <v>447</v>
      </c>
      <c r="E76" s="29" t="s">
        <v>448</v>
      </c>
      <c r="F76" s="263">
        <v>42040</v>
      </c>
      <c r="H76" s="29">
        <v>2124.6</v>
      </c>
      <c r="I76" s="29">
        <v>0</v>
      </c>
      <c r="J76" s="29">
        <v>382.43</v>
      </c>
      <c r="K76" s="29">
        <v>2507.0300000000002</v>
      </c>
      <c r="L76" s="29">
        <v>0</v>
      </c>
      <c r="M76" s="29">
        <v>18</v>
      </c>
    </row>
    <row r="77" spans="1:14">
      <c r="B77" s="29">
        <v>6</v>
      </c>
      <c r="C77" s="29">
        <v>764</v>
      </c>
      <c r="D77" s="29" t="s">
        <v>447</v>
      </c>
      <c r="E77" s="29" t="s">
        <v>448</v>
      </c>
      <c r="F77" s="263">
        <v>42040</v>
      </c>
      <c r="H77" s="29">
        <v>18062.740000000002</v>
      </c>
      <c r="I77" s="29">
        <v>0</v>
      </c>
      <c r="J77" s="29">
        <v>3251.29</v>
      </c>
      <c r="K77" s="29">
        <v>21314.03</v>
      </c>
      <c r="L77" s="29">
        <v>0</v>
      </c>
      <c r="M77" s="29">
        <v>18</v>
      </c>
    </row>
    <row r="78" spans="1:14">
      <c r="B78" s="29">
        <v>6</v>
      </c>
      <c r="C78" s="29">
        <v>765</v>
      </c>
      <c r="D78" s="29" t="s">
        <v>454</v>
      </c>
      <c r="E78" s="29" t="s">
        <v>448</v>
      </c>
      <c r="F78" s="263">
        <v>42041</v>
      </c>
      <c r="H78" s="29">
        <v>55971.22</v>
      </c>
      <c r="I78" s="29">
        <v>0</v>
      </c>
      <c r="J78" s="29">
        <v>10074.82</v>
      </c>
      <c r="K78" s="29">
        <v>66046.039999999994</v>
      </c>
      <c r="L78" s="29">
        <v>0</v>
      </c>
      <c r="M78" s="29">
        <v>18</v>
      </c>
    </row>
    <row r="79" spans="1:14">
      <c r="B79" s="29">
        <v>6</v>
      </c>
      <c r="C79" s="29">
        <v>767</v>
      </c>
      <c r="D79" s="29" t="s">
        <v>381</v>
      </c>
      <c r="E79" s="29" t="s">
        <v>382</v>
      </c>
      <c r="F79" s="263">
        <v>42042</v>
      </c>
      <c r="H79" s="29">
        <v>3414.41</v>
      </c>
      <c r="I79" s="29">
        <v>0</v>
      </c>
      <c r="J79" s="29">
        <v>614.59</v>
      </c>
      <c r="K79" s="29">
        <v>4029</v>
      </c>
      <c r="L79" s="29">
        <v>0</v>
      </c>
      <c r="M79" s="29">
        <v>18</v>
      </c>
    </row>
    <row r="80" spans="1:14">
      <c r="B80" s="29">
        <v>6</v>
      </c>
      <c r="C80" s="29">
        <v>757</v>
      </c>
      <c r="D80" s="29" t="s">
        <v>381</v>
      </c>
      <c r="E80" s="29" t="s">
        <v>382</v>
      </c>
      <c r="F80" s="263">
        <v>42038</v>
      </c>
      <c r="G80" s="263">
        <v>42052</v>
      </c>
      <c r="H80" s="29">
        <v>5974.58</v>
      </c>
      <c r="I80" s="29">
        <v>0</v>
      </c>
      <c r="J80" s="29">
        <v>1075.42</v>
      </c>
      <c r="K80" s="29">
        <v>7050</v>
      </c>
      <c r="L80" s="29">
        <v>0</v>
      </c>
      <c r="M80" s="29">
        <v>18</v>
      </c>
    </row>
    <row r="81" spans="2:13">
      <c r="B81" s="29">
        <v>6</v>
      </c>
      <c r="C81" s="29">
        <v>759</v>
      </c>
      <c r="D81" s="29" t="s">
        <v>381</v>
      </c>
      <c r="E81" s="29" t="s">
        <v>382</v>
      </c>
      <c r="F81" s="263">
        <v>42038</v>
      </c>
      <c r="G81" s="263">
        <v>42052</v>
      </c>
      <c r="H81" s="29">
        <v>5974.58</v>
      </c>
      <c r="I81" s="29">
        <v>0</v>
      </c>
      <c r="J81" s="29">
        <v>1075.42</v>
      </c>
      <c r="K81" s="29">
        <v>7050</v>
      </c>
      <c r="L81" s="29">
        <v>0</v>
      </c>
      <c r="M81" s="29">
        <v>18</v>
      </c>
    </row>
    <row r="82" spans="2:13">
      <c r="B82" s="29">
        <v>6</v>
      </c>
      <c r="C82" s="29">
        <v>761</v>
      </c>
      <c r="D82" s="29" t="s">
        <v>381</v>
      </c>
      <c r="E82" s="29" t="s">
        <v>382</v>
      </c>
      <c r="F82" s="263">
        <v>42038</v>
      </c>
      <c r="G82" s="263">
        <v>42052</v>
      </c>
      <c r="H82" s="29">
        <v>7966.1</v>
      </c>
      <c r="I82" s="29">
        <v>0</v>
      </c>
      <c r="J82" s="29">
        <v>1433.9</v>
      </c>
      <c r="K82" s="29">
        <v>9400</v>
      </c>
      <c r="L82" s="29">
        <v>0</v>
      </c>
      <c r="M82" s="29">
        <v>18</v>
      </c>
    </row>
    <row r="83" spans="2:13">
      <c r="B83" s="29">
        <v>6</v>
      </c>
      <c r="C83" s="29">
        <v>756</v>
      </c>
      <c r="D83" s="29" t="s">
        <v>381</v>
      </c>
      <c r="E83" s="29" t="s">
        <v>382</v>
      </c>
      <c r="F83" s="263">
        <v>42038</v>
      </c>
      <c r="G83" s="263">
        <v>42052</v>
      </c>
      <c r="H83" s="29">
        <v>7966.1</v>
      </c>
      <c r="I83" s="29">
        <v>0</v>
      </c>
      <c r="J83" s="29">
        <v>1433.9</v>
      </c>
      <c r="K83" s="29">
        <v>9400</v>
      </c>
      <c r="L83" s="29">
        <v>0</v>
      </c>
      <c r="M83" s="29">
        <v>18</v>
      </c>
    </row>
    <row r="84" spans="2:13">
      <c r="B84" s="29">
        <v>6</v>
      </c>
      <c r="C84" s="29">
        <v>760</v>
      </c>
      <c r="D84" s="29" t="s">
        <v>381</v>
      </c>
      <c r="E84" s="29" t="s">
        <v>382</v>
      </c>
      <c r="F84" s="263">
        <v>42038</v>
      </c>
      <c r="G84" s="263">
        <v>42052</v>
      </c>
      <c r="H84" s="29">
        <v>7966.1</v>
      </c>
      <c r="I84" s="29">
        <v>0</v>
      </c>
      <c r="J84" s="29">
        <v>1433.9</v>
      </c>
      <c r="K84" s="29">
        <v>9400</v>
      </c>
      <c r="L84" s="29">
        <v>0</v>
      </c>
      <c r="M84" s="29">
        <v>18</v>
      </c>
    </row>
    <row r="85" spans="2:13">
      <c r="B85" s="29">
        <v>6</v>
      </c>
      <c r="C85" s="29">
        <v>769</v>
      </c>
      <c r="D85" s="29" t="s">
        <v>381</v>
      </c>
      <c r="E85" s="29" t="s">
        <v>382</v>
      </c>
      <c r="F85" s="263">
        <v>42049</v>
      </c>
      <c r="H85" s="29">
        <v>9533.9</v>
      </c>
      <c r="I85" s="29">
        <v>0</v>
      </c>
      <c r="J85" s="29">
        <v>1716.1</v>
      </c>
      <c r="K85" s="29">
        <v>11250</v>
      </c>
      <c r="L85" s="29">
        <v>0</v>
      </c>
      <c r="M85" s="29">
        <v>18</v>
      </c>
    </row>
    <row r="86" spans="2:13">
      <c r="B86" s="29">
        <v>6</v>
      </c>
      <c r="C86" s="29">
        <v>770</v>
      </c>
      <c r="D86" s="29" t="s">
        <v>381</v>
      </c>
      <c r="E86" s="29" t="s">
        <v>382</v>
      </c>
      <c r="F86" s="263">
        <v>42049</v>
      </c>
      <c r="H86" s="29">
        <v>0</v>
      </c>
      <c r="I86" s="29">
        <v>544</v>
      </c>
      <c r="J86" s="29">
        <v>0</v>
      </c>
      <c r="K86" s="29">
        <v>544</v>
      </c>
      <c r="L86" s="29">
        <v>0</v>
      </c>
      <c r="M86" s="29">
        <v>18</v>
      </c>
    </row>
    <row r="87" spans="2:13">
      <c r="B87" s="29">
        <v>6</v>
      </c>
      <c r="C87" s="29">
        <v>771</v>
      </c>
      <c r="D87" s="29" t="s">
        <v>381</v>
      </c>
      <c r="E87" s="29" t="s">
        <v>382</v>
      </c>
      <c r="F87" s="263">
        <v>42049</v>
      </c>
      <c r="H87" s="29">
        <v>0</v>
      </c>
      <c r="I87" s="29">
        <v>544</v>
      </c>
      <c r="J87" s="29">
        <v>0</v>
      </c>
      <c r="K87" s="29">
        <v>544</v>
      </c>
      <c r="L87" s="29">
        <v>0</v>
      </c>
      <c r="M87" s="29">
        <v>18</v>
      </c>
    </row>
    <row r="88" spans="2:13">
      <c r="B88" s="29">
        <v>6</v>
      </c>
      <c r="C88" s="29">
        <v>773</v>
      </c>
      <c r="D88" s="29" t="s">
        <v>454</v>
      </c>
      <c r="E88" s="29" t="s">
        <v>448</v>
      </c>
      <c r="F88" s="263">
        <v>42053</v>
      </c>
      <c r="H88" s="29">
        <v>822.3</v>
      </c>
      <c r="I88" s="29">
        <v>0</v>
      </c>
      <c r="J88" s="29">
        <v>148.01</v>
      </c>
      <c r="K88" s="29">
        <v>970.31</v>
      </c>
      <c r="L88" s="29">
        <v>0</v>
      </c>
      <c r="M88" s="29">
        <v>18</v>
      </c>
    </row>
    <row r="89" spans="2:13">
      <c r="B89" s="29">
        <v>6</v>
      </c>
      <c r="C89" s="29">
        <v>774</v>
      </c>
      <c r="D89" s="29" t="s">
        <v>454</v>
      </c>
      <c r="E89" s="29" t="s">
        <v>448</v>
      </c>
      <c r="F89" s="263">
        <v>42053</v>
      </c>
      <c r="H89" s="29">
        <v>1096.4000000000001</v>
      </c>
      <c r="I89" s="29">
        <v>0</v>
      </c>
      <c r="J89" s="29">
        <v>197.35</v>
      </c>
      <c r="K89" s="29">
        <v>1293.75</v>
      </c>
      <c r="L89" s="29">
        <v>0</v>
      </c>
      <c r="M89" s="29">
        <v>18</v>
      </c>
    </row>
    <row r="90" spans="2:13">
      <c r="B90" s="29">
        <v>6</v>
      </c>
      <c r="C90" s="29">
        <v>777</v>
      </c>
      <c r="D90" s="29" t="s">
        <v>558</v>
      </c>
      <c r="E90" s="29" t="s">
        <v>450</v>
      </c>
      <c r="F90" s="263">
        <v>42055</v>
      </c>
      <c r="H90" s="29">
        <v>4242.54</v>
      </c>
      <c r="I90" s="29">
        <v>0</v>
      </c>
      <c r="J90" s="29">
        <v>763.66</v>
      </c>
      <c r="K90" s="29">
        <v>5006.2</v>
      </c>
      <c r="L90" s="29">
        <v>0</v>
      </c>
      <c r="M90" s="29">
        <v>18</v>
      </c>
    </row>
    <row r="91" spans="2:13">
      <c r="B91" s="29">
        <v>6</v>
      </c>
      <c r="C91" s="29">
        <v>778</v>
      </c>
      <c r="D91" s="29" t="s">
        <v>558</v>
      </c>
      <c r="E91" s="29" t="s">
        <v>450</v>
      </c>
      <c r="F91" s="263">
        <v>42056</v>
      </c>
      <c r="G91" s="263">
        <v>42068</v>
      </c>
      <c r="H91" s="29">
        <v>4511.1000000000004</v>
      </c>
      <c r="I91" s="29">
        <v>0</v>
      </c>
      <c r="J91" s="29">
        <v>812</v>
      </c>
      <c r="K91" s="29">
        <v>5323.1</v>
      </c>
      <c r="L91" s="29">
        <v>0</v>
      </c>
      <c r="M91" s="29">
        <v>18</v>
      </c>
    </row>
    <row r="92" spans="2:13">
      <c r="B92" s="29">
        <v>6</v>
      </c>
      <c r="C92" s="29">
        <v>779</v>
      </c>
      <c r="D92" s="29" t="s">
        <v>447</v>
      </c>
      <c r="E92" s="29" t="s">
        <v>448</v>
      </c>
      <c r="F92" s="263">
        <v>42058</v>
      </c>
      <c r="H92" s="29">
        <v>4337.1000000000004</v>
      </c>
      <c r="I92" s="29">
        <v>0</v>
      </c>
      <c r="J92" s="29">
        <v>780.68</v>
      </c>
      <c r="K92" s="29">
        <v>5117.78</v>
      </c>
      <c r="L92" s="29">
        <v>0</v>
      </c>
      <c r="M92" s="29">
        <v>18</v>
      </c>
    </row>
    <row r="93" spans="2:13">
      <c r="B93" s="29">
        <v>6</v>
      </c>
      <c r="C93" s="29">
        <v>780</v>
      </c>
      <c r="D93" s="29" t="s">
        <v>447</v>
      </c>
      <c r="E93" s="29" t="s">
        <v>448</v>
      </c>
      <c r="F93" s="263">
        <v>42058</v>
      </c>
      <c r="H93" s="29">
        <v>8145.81</v>
      </c>
      <c r="I93" s="29">
        <v>0</v>
      </c>
      <c r="J93" s="29">
        <v>1466.25</v>
      </c>
      <c r="K93" s="29">
        <v>9612.06</v>
      </c>
      <c r="L93" s="29">
        <v>0</v>
      </c>
      <c r="M93" s="29">
        <v>18</v>
      </c>
    </row>
    <row r="94" spans="2:13">
      <c r="B94" s="29">
        <v>6</v>
      </c>
      <c r="C94" s="29">
        <v>783</v>
      </c>
      <c r="D94" s="29" t="s">
        <v>447</v>
      </c>
      <c r="E94" s="29" t="s">
        <v>448</v>
      </c>
      <c r="F94" s="263">
        <v>42060</v>
      </c>
      <c r="H94" s="29">
        <v>4847.5</v>
      </c>
      <c r="I94" s="29">
        <v>0</v>
      </c>
      <c r="J94" s="29">
        <v>872.55</v>
      </c>
      <c r="K94" s="29">
        <v>5720.05</v>
      </c>
      <c r="L94" s="29">
        <v>0</v>
      </c>
      <c r="M94" s="29">
        <v>18</v>
      </c>
    </row>
    <row r="95" spans="2:13">
      <c r="B95" s="29">
        <v>6</v>
      </c>
      <c r="C95" s="29">
        <v>782</v>
      </c>
      <c r="D95" s="29" t="s">
        <v>447</v>
      </c>
      <c r="E95" s="29" t="s">
        <v>448</v>
      </c>
      <c r="F95" s="263">
        <v>42060</v>
      </c>
      <c r="H95" s="29">
        <v>248.3</v>
      </c>
      <c r="I95" s="29">
        <v>0</v>
      </c>
      <c r="J95" s="29">
        <v>44.69</v>
      </c>
      <c r="K95" s="29">
        <v>292.99</v>
      </c>
      <c r="L95" s="29">
        <v>0</v>
      </c>
      <c r="M95" s="29">
        <v>18</v>
      </c>
    </row>
    <row r="96" spans="2:13">
      <c r="B96" s="29">
        <v>6</v>
      </c>
      <c r="C96" s="29">
        <v>784</v>
      </c>
      <c r="D96" s="29" t="s">
        <v>447</v>
      </c>
      <c r="E96" s="29" t="s">
        <v>448</v>
      </c>
      <c r="F96" s="263">
        <v>42060</v>
      </c>
      <c r="H96" s="29">
        <v>6237.6</v>
      </c>
      <c r="I96" s="29">
        <v>0</v>
      </c>
      <c r="J96" s="29">
        <v>1122.77</v>
      </c>
      <c r="K96" s="29">
        <v>7360.37</v>
      </c>
      <c r="L96" s="29">
        <v>0</v>
      </c>
      <c r="M96" s="29">
        <v>18</v>
      </c>
    </row>
    <row r="97" spans="2:14">
      <c r="B97" s="29">
        <v>6</v>
      </c>
      <c r="C97" s="29">
        <v>785</v>
      </c>
      <c r="D97" s="29" t="s">
        <v>453</v>
      </c>
      <c r="E97" s="29" t="s">
        <v>448</v>
      </c>
      <c r="F97" s="263">
        <v>42061</v>
      </c>
      <c r="H97" s="29">
        <v>1677.97</v>
      </c>
      <c r="I97" s="29">
        <v>0</v>
      </c>
      <c r="J97" s="29">
        <v>302.02999999999997</v>
      </c>
      <c r="K97" s="29">
        <v>1980</v>
      </c>
      <c r="L97" s="29">
        <v>0</v>
      </c>
      <c r="M97" s="29">
        <v>18</v>
      </c>
    </row>
    <row r="98" spans="2:14">
      <c r="B98" s="29">
        <v>6</v>
      </c>
      <c r="C98" s="29">
        <v>787</v>
      </c>
      <c r="D98" s="29" t="s">
        <v>454</v>
      </c>
      <c r="E98" s="29" t="s">
        <v>448</v>
      </c>
      <c r="F98" s="263">
        <v>42062</v>
      </c>
      <c r="H98" s="29">
        <v>548.20000000000005</v>
      </c>
      <c r="I98" s="29">
        <v>0</v>
      </c>
      <c r="J98" s="29">
        <v>98.68</v>
      </c>
      <c r="K98" s="29">
        <v>646.88</v>
      </c>
      <c r="L98" s="29">
        <v>0</v>
      </c>
      <c r="M98" s="29">
        <v>18</v>
      </c>
    </row>
    <row r="99" spans="2:14">
      <c r="B99" s="29">
        <v>6</v>
      </c>
      <c r="C99" s="29">
        <v>788</v>
      </c>
      <c r="D99" s="29" t="s">
        <v>454</v>
      </c>
      <c r="E99" s="29" t="s">
        <v>448</v>
      </c>
      <c r="F99" s="263">
        <v>42062</v>
      </c>
      <c r="H99" s="29">
        <v>54326.62</v>
      </c>
      <c r="I99" s="29">
        <v>0</v>
      </c>
      <c r="J99" s="29">
        <v>9778.7900000000009</v>
      </c>
      <c r="K99" s="29">
        <v>64105.41</v>
      </c>
      <c r="L99" s="29">
        <v>0</v>
      </c>
      <c r="M99" s="29">
        <v>18</v>
      </c>
    </row>
    <row r="101" spans="2:14">
      <c r="D101" s="59" t="s">
        <v>478</v>
      </c>
    </row>
    <row r="102" spans="2:14">
      <c r="B102" s="264" t="s">
        <v>385</v>
      </c>
      <c r="C102" s="264" t="s">
        <v>479</v>
      </c>
      <c r="D102" s="264" t="s">
        <v>371</v>
      </c>
      <c r="E102" s="264" t="s">
        <v>480</v>
      </c>
      <c r="F102" s="264" t="s">
        <v>386</v>
      </c>
      <c r="G102" s="264" t="s">
        <v>481</v>
      </c>
      <c r="H102" s="264" t="s">
        <v>14</v>
      </c>
      <c r="I102" s="264" t="s">
        <v>552</v>
      </c>
      <c r="J102" s="264" t="s">
        <v>553</v>
      </c>
      <c r="K102" s="264" t="s">
        <v>554</v>
      </c>
      <c r="L102" s="264" t="s">
        <v>555</v>
      </c>
      <c r="M102" s="264" t="s">
        <v>141</v>
      </c>
      <c r="N102" s="264" t="s">
        <v>557</v>
      </c>
    </row>
    <row r="103" spans="2:14">
      <c r="B103" s="111">
        <v>6</v>
      </c>
      <c r="C103" s="111">
        <v>762</v>
      </c>
      <c r="D103" s="111" t="s">
        <v>454</v>
      </c>
      <c r="E103" s="111" t="s">
        <v>448</v>
      </c>
      <c r="F103" s="265">
        <v>42040</v>
      </c>
      <c r="G103" s="111"/>
      <c r="H103" s="111">
        <v>3563.3</v>
      </c>
      <c r="I103" s="111">
        <v>0</v>
      </c>
      <c r="J103" s="111">
        <v>641.39</v>
      </c>
      <c r="K103" s="111">
        <v>4204.6899999999996</v>
      </c>
      <c r="L103" s="111">
        <v>0</v>
      </c>
      <c r="M103" s="111">
        <v>18</v>
      </c>
      <c r="N103" s="111" t="s">
        <v>559</v>
      </c>
    </row>
    <row r="104" spans="2:14">
      <c r="B104" s="111">
        <v>6</v>
      </c>
      <c r="C104" s="111">
        <v>763</v>
      </c>
      <c r="D104" s="111" t="s">
        <v>447</v>
      </c>
      <c r="E104" s="111" t="s">
        <v>448</v>
      </c>
      <c r="F104" s="265">
        <v>42040</v>
      </c>
      <c r="G104" s="111"/>
      <c r="H104" s="111">
        <v>2124.6</v>
      </c>
      <c r="I104" s="111">
        <v>0</v>
      </c>
      <c r="J104" s="111">
        <v>382.43</v>
      </c>
      <c r="K104" s="111">
        <v>2507.0300000000002</v>
      </c>
      <c r="L104" s="111">
        <v>0</v>
      </c>
      <c r="M104" s="111">
        <v>18</v>
      </c>
      <c r="N104" s="111" t="s">
        <v>559</v>
      </c>
    </row>
    <row r="105" spans="2:14">
      <c r="B105" s="111">
        <v>6</v>
      </c>
      <c r="C105" s="111">
        <v>764</v>
      </c>
      <c r="D105" s="111" t="s">
        <v>447</v>
      </c>
      <c r="E105" s="111" t="s">
        <v>448</v>
      </c>
      <c r="F105" s="265">
        <v>42040</v>
      </c>
      <c r="G105" s="111"/>
      <c r="H105" s="111">
        <v>18062.740000000002</v>
      </c>
      <c r="I105" s="111">
        <v>0</v>
      </c>
      <c r="J105" s="111">
        <v>3251.29</v>
      </c>
      <c r="K105" s="111">
        <v>21314.03</v>
      </c>
      <c r="L105" s="111">
        <v>0</v>
      </c>
      <c r="M105" s="111">
        <v>18</v>
      </c>
      <c r="N105" s="111" t="s">
        <v>559</v>
      </c>
    </row>
    <row r="106" spans="2:14">
      <c r="B106" s="111">
        <v>6</v>
      </c>
      <c r="C106" s="111">
        <v>765</v>
      </c>
      <c r="D106" s="111" t="s">
        <v>454</v>
      </c>
      <c r="E106" s="111" t="s">
        <v>448</v>
      </c>
      <c r="F106" s="265">
        <v>42041</v>
      </c>
      <c r="G106" s="111"/>
      <c r="H106" s="111">
        <v>55971.22</v>
      </c>
      <c r="I106" s="111">
        <v>0</v>
      </c>
      <c r="J106" s="111">
        <v>10074.82</v>
      </c>
      <c r="K106" s="111">
        <v>66046.039999999994</v>
      </c>
      <c r="L106" s="111">
        <v>0</v>
      </c>
      <c r="M106" s="111">
        <v>18</v>
      </c>
      <c r="N106" s="111" t="s">
        <v>559</v>
      </c>
    </row>
    <row r="107" spans="2:14">
      <c r="B107" s="111">
        <v>6</v>
      </c>
      <c r="C107" s="111">
        <v>767</v>
      </c>
      <c r="D107" s="111" t="s">
        <v>381</v>
      </c>
      <c r="E107" s="111" t="s">
        <v>382</v>
      </c>
      <c r="F107" s="265">
        <v>42042</v>
      </c>
      <c r="G107" s="111"/>
      <c r="H107" s="111">
        <v>3414.41</v>
      </c>
      <c r="I107" s="111">
        <v>0</v>
      </c>
      <c r="J107" s="111">
        <v>614.59</v>
      </c>
      <c r="K107" s="111">
        <v>4029</v>
      </c>
      <c r="L107" s="111">
        <v>0</v>
      </c>
      <c r="M107" s="111">
        <v>18</v>
      </c>
      <c r="N107" s="111" t="s">
        <v>559</v>
      </c>
    </row>
    <row r="108" spans="2:14">
      <c r="B108" s="111">
        <v>6</v>
      </c>
      <c r="C108" s="111">
        <v>757</v>
      </c>
      <c r="D108" s="111" t="s">
        <v>381</v>
      </c>
      <c r="E108" s="111" t="s">
        <v>382</v>
      </c>
      <c r="F108" s="265">
        <v>42038</v>
      </c>
      <c r="G108" s="265">
        <v>42052</v>
      </c>
      <c r="H108" s="111">
        <v>5974.58</v>
      </c>
      <c r="I108" s="111">
        <v>0</v>
      </c>
      <c r="J108" s="111">
        <v>1075.42</v>
      </c>
      <c r="K108" s="111">
        <v>7050</v>
      </c>
      <c r="L108" s="111">
        <v>0</v>
      </c>
      <c r="M108" s="111">
        <v>18</v>
      </c>
      <c r="N108" s="111" t="s">
        <v>559</v>
      </c>
    </row>
    <row r="109" spans="2:14">
      <c r="B109" s="111">
        <v>6</v>
      </c>
      <c r="C109" s="111">
        <v>759</v>
      </c>
      <c r="D109" s="111" t="s">
        <v>381</v>
      </c>
      <c r="E109" s="111" t="s">
        <v>382</v>
      </c>
      <c r="F109" s="265">
        <v>42038</v>
      </c>
      <c r="G109" s="265">
        <v>42052</v>
      </c>
      <c r="H109" s="111">
        <v>5974.58</v>
      </c>
      <c r="I109" s="111">
        <v>0</v>
      </c>
      <c r="J109" s="111">
        <v>1075.42</v>
      </c>
      <c r="K109" s="111">
        <v>7050</v>
      </c>
      <c r="L109" s="111">
        <v>0</v>
      </c>
      <c r="M109" s="111">
        <v>18</v>
      </c>
      <c r="N109" s="111" t="s">
        <v>559</v>
      </c>
    </row>
    <row r="110" spans="2:14">
      <c r="B110" s="111">
        <v>6</v>
      </c>
      <c r="C110" s="111">
        <v>761</v>
      </c>
      <c r="D110" s="111" t="s">
        <v>381</v>
      </c>
      <c r="E110" s="111" t="s">
        <v>382</v>
      </c>
      <c r="F110" s="265">
        <v>42038</v>
      </c>
      <c r="G110" s="265">
        <v>42052</v>
      </c>
      <c r="H110" s="111">
        <v>7966.1</v>
      </c>
      <c r="I110" s="111">
        <v>0</v>
      </c>
      <c r="J110" s="111">
        <v>1433.9</v>
      </c>
      <c r="K110" s="111">
        <v>9400</v>
      </c>
      <c r="L110" s="111">
        <v>0</v>
      </c>
      <c r="M110" s="111">
        <v>18</v>
      </c>
      <c r="N110" s="111" t="s">
        <v>559</v>
      </c>
    </row>
    <row r="111" spans="2:14">
      <c r="B111" s="111">
        <v>6</v>
      </c>
      <c r="C111" s="111">
        <v>756</v>
      </c>
      <c r="D111" s="111" t="s">
        <v>381</v>
      </c>
      <c r="E111" s="111" t="s">
        <v>382</v>
      </c>
      <c r="F111" s="265">
        <v>42038</v>
      </c>
      <c r="G111" s="265">
        <v>42052</v>
      </c>
      <c r="H111" s="111">
        <v>7966.1</v>
      </c>
      <c r="I111" s="111">
        <v>0</v>
      </c>
      <c r="J111" s="111">
        <v>1433.9</v>
      </c>
      <c r="K111" s="111">
        <v>9400</v>
      </c>
      <c r="L111" s="111">
        <v>0</v>
      </c>
      <c r="M111" s="111">
        <v>18</v>
      </c>
      <c r="N111" s="111" t="s">
        <v>559</v>
      </c>
    </row>
    <row r="112" spans="2:14">
      <c r="B112" s="111">
        <v>6</v>
      </c>
      <c r="C112" s="111">
        <v>760</v>
      </c>
      <c r="D112" s="111" t="s">
        <v>381</v>
      </c>
      <c r="E112" s="111" t="s">
        <v>382</v>
      </c>
      <c r="F112" s="265">
        <v>42038</v>
      </c>
      <c r="G112" s="265">
        <v>42052</v>
      </c>
      <c r="H112" s="111">
        <v>7966.1</v>
      </c>
      <c r="I112" s="111">
        <v>0</v>
      </c>
      <c r="J112" s="111">
        <v>1433.9</v>
      </c>
      <c r="K112" s="111">
        <v>9400</v>
      </c>
      <c r="L112" s="111">
        <v>0</v>
      </c>
      <c r="M112" s="111">
        <v>18</v>
      </c>
      <c r="N112" s="111" t="s">
        <v>559</v>
      </c>
    </row>
    <row r="113" spans="2:14">
      <c r="B113" s="111">
        <v>6</v>
      </c>
      <c r="C113" s="111">
        <v>769</v>
      </c>
      <c r="D113" s="111" t="s">
        <v>381</v>
      </c>
      <c r="E113" s="111" t="s">
        <v>382</v>
      </c>
      <c r="F113" s="265">
        <v>42049</v>
      </c>
      <c r="G113" s="111"/>
      <c r="H113" s="111">
        <v>9533.9</v>
      </c>
      <c r="I113" s="111">
        <v>0</v>
      </c>
      <c r="J113" s="111">
        <v>1716.1</v>
      </c>
      <c r="K113" s="111">
        <v>11250</v>
      </c>
      <c r="L113" s="111">
        <v>0</v>
      </c>
      <c r="M113" s="111">
        <v>18</v>
      </c>
      <c r="N113" s="111" t="s">
        <v>559</v>
      </c>
    </row>
    <row r="114" spans="2:14">
      <c r="B114" s="111">
        <v>6</v>
      </c>
      <c r="C114" s="111">
        <v>770</v>
      </c>
      <c r="D114" s="111" t="s">
        <v>381</v>
      </c>
      <c r="E114" s="111" t="s">
        <v>382</v>
      </c>
      <c r="F114" s="265">
        <v>42049</v>
      </c>
      <c r="G114" s="111"/>
      <c r="H114" s="111">
        <f>I114</f>
        <v>544</v>
      </c>
      <c r="I114" s="111">
        <v>544</v>
      </c>
      <c r="J114" s="111">
        <v>0</v>
      </c>
      <c r="K114" s="111">
        <v>544</v>
      </c>
      <c r="L114" s="111">
        <v>0</v>
      </c>
      <c r="M114" s="111">
        <v>18</v>
      </c>
      <c r="N114" s="111" t="s">
        <v>559</v>
      </c>
    </row>
    <row r="115" spans="2:14">
      <c r="B115" s="111">
        <v>6</v>
      </c>
      <c r="C115" s="111">
        <v>771</v>
      </c>
      <c r="D115" s="111" t="s">
        <v>381</v>
      </c>
      <c r="E115" s="111" t="s">
        <v>382</v>
      </c>
      <c r="F115" s="265">
        <v>42049</v>
      </c>
      <c r="G115" s="111"/>
      <c r="H115" s="111">
        <f>I115</f>
        <v>544</v>
      </c>
      <c r="I115" s="111">
        <v>544</v>
      </c>
      <c r="J115" s="111">
        <v>0</v>
      </c>
      <c r="K115" s="111">
        <v>544</v>
      </c>
      <c r="L115" s="111">
        <v>0</v>
      </c>
      <c r="M115" s="111">
        <v>18</v>
      </c>
      <c r="N115" s="111" t="s">
        <v>559</v>
      </c>
    </row>
    <row r="116" spans="2:14">
      <c r="B116" s="111">
        <v>6</v>
      </c>
      <c r="C116" s="111">
        <v>773</v>
      </c>
      <c r="D116" s="111" t="s">
        <v>454</v>
      </c>
      <c r="E116" s="111" t="s">
        <v>448</v>
      </c>
      <c r="F116" s="265">
        <v>42053</v>
      </c>
      <c r="G116" s="111"/>
      <c r="H116" s="111">
        <v>822.3</v>
      </c>
      <c r="I116" s="111">
        <v>0</v>
      </c>
      <c r="J116" s="111">
        <v>148.01</v>
      </c>
      <c r="K116" s="111">
        <v>970.31</v>
      </c>
      <c r="L116" s="111">
        <v>0</v>
      </c>
      <c r="M116" s="111">
        <v>18</v>
      </c>
      <c r="N116" s="111" t="s">
        <v>559</v>
      </c>
    </row>
    <row r="117" spans="2:14">
      <c r="B117" s="111">
        <v>6</v>
      </c>
      <c r="C117" s="111">
        <v>774</v>
      </c>
      <c r="D117" s="111" t="s">
        <v>454</v>
      </c>
      <c r="E117" s="111" t="s">
        <v>448</v>
      </c>
      <c r="F117" s="265">
        <v>42053</v>
      </c>
      <c r="G117" s="111"/>
      <c r="H117" s="111">
        <v>1096.4000000000001</v>
      </c>
      <c r="I117" s="111">
        <v>0</v>
      </c>
      <c r="J117" s="111">
        <v>197.35</v>
      </c>
      <c r="K117" s="111">
        <v>1293.75</v>
      </c>
      <c r="L117" s="111">
        <v>0</v>
      </c>
      <c r="M117" s="111">
        <v>18</v>
      </c>
      <c r="N117" s="111" t="s">
        <v>559</v>
      </c>
    </row>
    <row r="118" spans="2:14">
      <c r="B118" s="111">
        <v>6</v>
      </c>
      <c r="C118" s="111">
        <v>779</v>
      </c>
      <c r="D118" s="111" t="s">
        <v>447</v>
      </c>
      <c r="E118" s="111" t="s">
        <v>448</v>
      </c>
      <c r="F118" s="265">
        <v>42058</v>
      </c>
      <c r="G118" s="111"/>
      <c r="H118" s="111">
        <v>4337.1000000000004</v>
      </c>
      <c r="I118" s="111">
        <v>0</v>
      </c>
      <c r="J118" s="111">
        <v>780.68</v>
      </c>
      <c r="K118" s="111">
        <v>5117.78</v>
      </c>
      <c r="L118" s="111">
        <v>0</v>
      </c>
      <c r="M118" s="111">
        <v>18</v>
      </c>
      <c r="N118" s="111" t="s">
        <v>559</v>
      </c>
    </row>
    <row r="119" spans="2:14">
      <c r="B119" s="111">
        <v>6</v>
      </c>
      <c r="C119" s="111">
        <v>780</v>
      </c>
      <c r="D119" s="111" t="s">
        <v>447</v>
      </c>
      <c r="E119" s="111" t="s">
        <v>448</v>
      </c>
      <c r="F119" s="265">
        <v>42058</v>
      </c>
      <c r="G119" s="111"/>
      <c r="H119" s="111">
        <v>8145.81</v>
      </c>
      <c r="I119" s="111">
        <v>0</v>
      </c>
      <c r="J119" s="111">
        <v>1466.25</v>
      </c>
      <c r="K119" s="111">
        <v>9612.06</v>
      </c>
      <c r="L119" s="111">
        <v>0</v>
      </c>
      <c r="M119" s="111">
        <v>18</v>
      </c>
      <c r="N119" s="111" t="s">
        <v>559</v>
      </c>
    </row>
    <row r="120" spans="2:14">
      <c r="B120" s="111">
        <v>6</v>
      </c>
      <c r="C120" s="111">
        <v>783</v>
      </c>
      <c r="D120" s="111" t="s">
        <v>447</v>
      </c>
      <c r="E120" s="111" t="s">
        <v>448</v>
      </c>
      <c r="F120" s="265">
        <v>42060</v>
      </c>
      <c r="G120" s="111"/>
      <c r="H120" s="111">
        <v>4847.5</v>
      </c>
      <c r="I120" s="111">
        <v>0</v>
      </c>
      <c r="J120" s="111">
        <v>872.55</v>
      </c>
      <c r="K120" s="111">
        <v>5720.05</v>
      </c>
      <c r="L120" s="111">
        <v>0</v>
      </c>
      <c r="M120" s="111">
        <v>18</v>
      </c>
      <c r="N120" s="111" t="s">
        <v>559</v>
      </c>
    </row>
    <row r="121" spans="2:14">
      <c r="B121" s="111">
        <v>6</v>
      </c>
      <c r="C121" s="111">
        <v>782</v>
      </c>
      <c r="D121" s="111" t="s">
        <v>447</v>
      </c>
      <c r="E121" s="111" t="s">
        <v>448</v>
      </c>
      <c r="F121" s="265">
        <v>42060</v>
      </c>
      <c r="G121" s="111"/>
      <c r="H121" s="111">
        <v>248.3</v>
      </c>
      <c r="I121" s="111">
        <v>0</v>
      </c>
      <c r="J121" s="111">
        <v>44.69</v>
      </c>
      <c r="K121" s="111">
        <v>292.99</v>
      </c>
      <c r="L121" s="111">
        <v>0</v>
      </c>
      <c r="M121" s="111">
        <v>18</v>
      </c>
      <c r="N121" s="111" t="s">
        <v>559</v>
      </c>
    </row>
    <row r="122" spans="2:14">
      <c r="B122" s="111">
        <v>6</v>
      </c>
      <c r="C122" s="111">
        <v>784</v>
      </c>
      <c r="D122" s="111" t="s">
        <v>447</v>
      </c>
      <c r="E122" s="111" t="s">
        <v>448</v>
      </c>
      <c r="F122" s="265">
        <v>42060</v>
      </c>
      <c r="G122" s="111"/>
      <c r="H122" s="111">
        <v>6237.6</v>
      </c>
      <c r="I122" s="111">
        <v>0</v>
      </c>
      <c r="J122" s="111">
        <v>1122.77</v>
      </c>
      <c r="K122" s="111">
        <v>7360.37</v>
      </c>
      <c r="L122" s="111">
        <v>0</v>
      </c>
      <c r="M122" s="111">
        <v>18</v>
      </c>
      <c r="N122" s="111" t="s">
        <v>559</v>
      </c>
    </row>
    <row r="123" spans="2:14">
      <c r="B123" s="111">
        <v>6</v>
      </c>
      <c r="C123" s="111">
        <v>785</v>
      </c>
      <c r="D123" s="111" t="s">
        <v>453</v>
      </c>
      <c r="E123" s="111" t="s">
        <v>448</v>
      </c>
      <c r="F123" s="265">
        <v>42061</v>
      </c>
      <c r="G123" s="111"/>
      <c r="H123" s="111">
        <v>1677.97</v>
      </c>
      <c r="I123" s="111">
        <v>0</v>
      </c>
      <c r="J123" s="111">
        <v>302.02999999999997</v>
      </c>
      <c r="K123" s="111">
        <v>1980</v>
      </c>
      <c r="L123" s="111">
        <v>0</v>
      </c>
      <c r="M123" s="111">
        <v>18</v>
      </c>
      <c r="N123" s="111" t="s">
        <v>559</v>
      </c>
    </row>
    <row r="124" spans="2:14">
      <c r="B124" s="111">
        <v>6</v>
      </c>
      <c r="C124" s="111">
        <v>787</v>
      </c>
      <c r="D124" s="111" t="s">
        <v>454</v>
      </c>
      <c r="E124" s="111" t="s">
        <v>448</v>
      </c>
      <c r="F124" s="265">
        <v>42062</v>
      </c>
      <c r="G124" s="111"/>
      <c r="H124" s="111">
        <v>548.20000000000005</v>
      </c>
      <c r="I124" s="111">
        <v>0</v>
      </c>
      <c r="J124" s="111">
        <v>98.68</v>
      </c>
      <c r="K124" s="111">
        <v>646.88</v>
      </c>
      <c r="L124" s="111">
        <v>0</v>
      </c>
      <c r="M124" s="111">
        <v>18</v>
      </c>
      <c r="N124" s="111" t="s">
        <v>559</v>
      </c>
    </row>
    <row r="125" spans="2:14">
      <c r="B125" s="111">
        <v>6</v>
      </c>
      <c r="C125" s="111">
        <v>788</v>
      </c>
      <c r="D125" s="111" t="s">
        <v>454</v>
      </c>
      <c r="E125" s="111" t="s">
        <v>448</v>
      </c>
      <c r="F125" s="265">
        <v>42062</v>
      </c>
      <c r="G125" s="111"/>
      <c r="H125" s="111">
        <v>54326.62</v>
      </c>
      <c r="I125" s="111">
        <v>0</v>
      </c>
      <c r="J125" s="111">
        <v>9778.7900000000009</v>
      </c>
      <c r="K125" s="111">
        <v>64105.41</v>
      </c>
      <c r="L125" s="111">
        <v>0</v>
      </c>
      <c r="M125" s="111">
        <v>18</v>
      </c>
      <c r="N125" s="111" t="s">
        <v>559</v>
      </c>
    </row>
    <row r="126" spans="2:14">
      <c r="B126" s="111">
        <v>6</v>
      </c>
      <c r="C126" s="111">
        <v>755</v>
      </c>
      <c r="D126" s="111" t="s">
        <v>381</v>
      </c>
      <c r="E126" s="111" t="s">
        <v>382</v>
      </c>
      <c r="F126" s="265">
        <v>42037</v>
      </c>
      <c r="G126" s="111"/>
      <c r="H126" s="111">
        <f>I126</f>
        <v>1735.18</v>
      </c>
      <c r="I126" s="111">
        <v>1735.18</v>
      </c>
      <c r="J126" s="111">
        <v>0</v>
      </c>
      <c r="K126" s="111">
        <v>1735.18</v>
      </c>
      <c r="L126" s="111">
        <v>0</v>
      </c>
      <c r="M126" s="111">
        <v>47</v>
      </c>
      <c r="N126" s="111" t="s">
        <v>560</v>
      </c>
    </row>
    <row r="127" spans="2:14">
      <c r="B127" s="111">
        <v>6</v>
      </c>
      <c r="C127" s="111">
        <v>766</v>
      </c>
      <c r="D127" s="111" t="s">
        <v>381</v>
      </c>
      <c r="E127" s="111" t="s">
        <v>382</v>
      </c>
      <c r="F127" s="265">
        <v>42042</v>
      </c>
      <c r="G127" s="111"/>
      <c r="H127" s="111">
        <v>3050.85</v>
      </c>
      <c r="I127" s="111">
        <v>0</v>
      </c>
      <c r="J127" s="111">
        <v>549.15</v>
      </c>
      <c r="K127" s="111">
        <v>3600</v>
      </c>
      <c r="L127" s="111">
        <v>0</v>
      </c>
      <c r="M127" s="111">
        <v>51</v>
      </c>
      <c r="N127" s="111" t="s">
        <v>561</v>
      </c>
    </row>
    <row r="128" spans="2:14">
      <c r="B128" s="111">
        <v>6</v>
      </c>
      <c r="C128" s="111">
        <v>768</v>
      </c>
      <c r="D128" s="111" t="s">
        <v>381</v>
      </c>
      <c r="E128" s="111" t="s">
        <v>382</v>
      </c>
      <c r="F128" s="265">
        <v>42046</v>
      </c>
      <c r="G128" s="111"/>
      <c r="H128" s="111">
        <v>5898.3</v>
      </c>
      <c r="I128" s="111">
        <v>0</v>
      </c>
      <c r="J128" s="111">
        <v>1061.7</v>
      </c>
      <c r="K128" s="111">
        <v>6960</v>
      </c>
      <c r="L128" s="111">
        <v>0</v>
      </c>
      <c r="M128" s="111">
        <v>51</v>
      </c>
      <c r="N128" s="111" t="s">
        <v>561</v>
      </c>
    </row>
    <row r="129" spans="2:14">
      <c r="B129" s="111">
        <v>6</v>
      </c>
      <c r="C129" s="111">
        <v>775</v>
      </c>
      <c r="D129" s="111" t="s">
        <v>381</v>
      </c>
      <c r="E129" s="111" t="s">
        <v>382</v>
      </c>
      <c r="F129" s="265">
        <v>42054</v>
      </c>
      <c r="G129" s="111"/>
      <c r="H129" s="111">
        <v>7014.41</v>
      </c>
      <c r="I129" s="111">
        <v>0</v>
      </c>
      <c r="J129" s="111">
        <v>1262.5899999999999</v>
      </c>
      <c r="K129" s="111">
        <v>8277</v>
      </c>
      <c r="L129" s="111">
        <v>0</v>
      </c>
      <c r="M129" s="111">
        <v>51</v>
      </c>
      <c r="N129" s="111" t="s">
        <v>561</v>
      </c>
    </row>
    <row r="130" spans="2:14">
      <c r="B130" s="111">
        <v>6</v>
      </c>
      <c r="C130" s="111">
        <v>776</v>
      </c>
      <c r="D130" s="111" t="s">
        <v>381</v>
      </c>
      <c r="E130" s="111" t="s">
        <v>382</v>
      </c>
      <c r="F130" s="265">
        <v>42055</v>
      </c>
      <c r="G130" s="111"/>
      <c r="H130" s="111">
        <v>7355.93</v>
      </c>
      <c r="I130" s="111">
        <v>0</v>
      </c>
      <c r="J130" s="111">
        <v>1324.07</v>
      </c>
      <c r="K130" s="111">
        <v>8680</v>
      </c>
      <c r="L130" s="111">
        <v>0</v>
      </c>
      <c r="M130" s="111">
        <v>51</v>
      </c>
      <c r="N130" s="111" t="s">
        <v>561</v>
      </c>
    </row>
    <row r="131" spans="2:14">
      <c r="B131" s="111">
        <v>6</v>
      </c>
      <c r="C131" s="111">
        <v>786</v>
      </c>
      <c r="D131" s="111" t="s">
        <v>381</v>
      </c>
      <c r="E131" s="111" t="s">
        <v>382</v>
      </c>
      <c r="F131" s="265">
        <v>42061</v>
      </c>
      <c r="G131" s="111"/>
      <c r="H131" s="111">
        <v>2117.37</v>
      </c>
      <c r="I131" s="111">
        <v>0</v>
      </c>
      <c r="J131" s="111">
        <v>381.13</v>
      </c>
      <c r="K131" s="111">
        <v>2498.5</v>
      </c>
      <c r="L131" s="111">
        <v>0</v>
      </c>
      <c r="M131" s="111">
        <v>51</v>
      </c>
      <c r="N131" s="111" t="s">
        <v>561</v>
      </c>
    </row>
    <row r="132" spans="2:14">
      <c r="B132" s="111">
        <v>6</v>
      </c>
      <c r="C132" s="111">
        <v>781</v>
      </c>
      <c r="D132" s="111" t="s">
        <v>401</v>
      </c>
      <c r="E132" s="111" t="s">
        <v>380</v>
      </c>
      <c r="F132" s="265">
        <v>42058</v>
      </c>
      <c r="G132" s="265">
        <v>42066</v>
      </c>
      <c r="H132" s="111">
        <v>4152.54</v>
      </c>
      <c r="I132" s="111">
        <v>0</v>
      </c>
      <c r="J132" s="111">
        <v>747.46</v>
      </c>
      <c r="K132" s="111">
        <v>4900</v>
      </c>
      <c r="L132" s="111">
        <v>0</v>
      </c>
      <c r="M132" s="111">
        <v>57</v>
      </c>
      <c r="N132" s="111" t="s">
        <v>562</v>
      </c>
    </row>
    <row r="133" spans="2:14">
      <c r="F133" s="111" t="s">
        <v>44</v>
      </c>
      <c r="H133" s="111">
        <f>SUM(H103:H132)</f>
        <v>243218.01</v>
      </c>
    </row>
    <row r="135" spans="2:14">
      <c r="D135" s="264" t="s">
        <v>482</v>
      </c>
      <c r="E135" s="264">
        <f>H106+H116+H124+H125</f>
        <v>111668.34</v>
      </c>
    </row>
    <row r="136" spans="2:14">
      <c r="F136" s="264" t="s">
        <v>483</v>
      </c>
      <c r="G136" s="264"/>
      <c r="H136" s="264">
        <f>H133-E135</f>
        <v>131549.67000000001</v>
      </c>
    </row>
  </sheetData>
  <autoFilter ref="B102:N102" xr:uid="{00000000-0009-0000-0000-000023000000}"/>
  <pageMargins left="0.34027777777777801" right="0.209722222222222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AMK537"/>
  <sheetViews>
    <sheetView topLeftCell="D1" zoomScale="120" zoomScaleNormal="120" workbookViewId="0">
      <selection activeCell="F513" sqref="F513"/>
    </sheetView>
  </sheetViews>
  <sheetFormatPr baseColWidth="10" defaultColWidth="8.85546875" defaultRowHeight="15" outlineLevelRow="2"/>
  <cols>
    <col min="1" max="1" width="11.42578125" style="29"/>
    <col min="2" max="2" width="7.5703125" style="29" customWidth="1"/>
    <col min="3" max="3" width="11.42578125" style="29"/>
    <col min="4" max="4" width="15.28515625" style="29" customWidth="1"/>
    <col min="5" max="5" width="9.140625" style="29" customWidth="1"/>
    <col min="6" max="6" width="18.28515625" style="29" customWidth="1"/>
    <col min="7" max="7" width="13.28515625" style="29" customWidth="1"/>
    <col min="8" max="11" width="11.42578125" style="29"/>
    <col min="12" max="12" width="10.85546875" style="29" customWidth="1"/>
    <col min="13" max="1025" width="11.42578125" style="29"/>
  </cols>
  <sheetData>
    <row r="2" spans="2:13">
      <c r="D2" s="59" t="s">
        <v>563</v>
      </c>
    </row>
    <row r="3" spans="2:13">
      <c r="B3" s="281" t="s">
        <v>385</v>
      </c>
      <c r="C3" s="281" t="s">
        <v>564</v>
      </c>
      <c r="D3" s="281" t="s">
        <v>386</v>
      </c>
      <c r="E3" s="281" t="s">
        <v>565</v>
      </c>
      <c r="F3" s="281" t="s">
        <v>566</v>
      </c>
      <c r="G3" s="281" t="s">
        <v>567</v>
      </c>
      <c r="H3" s="281" t="s">
        <v>371</v>
      </c>
      <c r="I3" s="281" t="s">
        <v>568</v>
      </c>
      <c r="J3" s="281" t="s">
        <v>569</v>
      </c>
      <c r="K3" s="281" t="s">
        <v>570</v>
      </c>
      <c r="L3" s="281" t="s">
        <v>571</v>
      </c>
      <c r="M3" s="281" t="s">
        <v>14</v>
      </c>
    </row>
    <row r="4" spans="2:13">
      <c r="B4" s="111">
        <v>4</v>
      </c>
      <c r="C4" s="111">
        <v>22328</v>
      </c>
      <c r="D4" s="265">
        <v>42045</v>
      </c>
      <c r="E4" s="111">
        <v>2</v>
      </c>
      <c r="F4" s="111">
        <v>30</v>
      </c>
      <c r="G4" s="265">
        <v>42075</v>
      </c>
      <c r="H4" s="111">
        <v>12277</v>
      </c>
      <c r="I4" s="111">
        <v>67</v>
      </c>
      <c r="J4" s="111">
        <v>60.22</v>
      </c>
      <c r="K4" s="111">
        <v>35.369999999999997</v>
      </c>
      <c r="L4" s="111">
        <v>10.84</v>
      </c>
      <c r="M4" s="111">
        <v>106.43</v>
      </c>
    </row>
    <row r="5" spans="2:13">
      <c r="B5" s="111">
        <v>4</v>
      </c>
      <c r="C5" s="111">
        <v>22382</v>
      </c>
      <c r="D5" s="265">
        <v>42046</v>
      </c>
      <c r="E5" s="111">
        <v>2</v>
      </c>
      <c r="F5" s="111">
        <v>30</v>
      </c>
      <c r="G5" s="265">
        <v>42076</v>
      </c>
      <c r="H5" s="111">
        <v>14461</v>
      </c>
      <c r="I5" s="111">
        <v>67</v>
      </c>
      <c r="J5" s="111">
        <v>322.85000000000002</v>
      </c>
      <c r="K5" s="111">
        <v>29.25</v>
      </c>
      <c r="L5" s="111">
        <v>58.11</v>
      </c>
      <c r="M5" s="111">
        <v>410.21</v>
      </c>
    </row>
    <row r="6" spans="2:13">
      <c r="B6" s="111">
        <v>4</v>
      </c>
      <c r="C6" s="111">
        <v>22424</v>
      </c>
      <c r="D6" s="265">
        <v>42047</v>
      </c>
      <c r="E6" s="111">
        <v>1</v>
      </c>
      <c r="F6" s="111">
        <v>0</v>
      </c>
      <c r="G6" s="265">
        <v>42047</v>
      </c>
      <c r="H6" s="111">
        <v>1762</v>
      </c>
      <c r="I6" s="111">
        <v>67</v>
      </c>
      <c r="J6" s="111">
        <v>299.64</v>
      </c>
      <c r="K6" s="111">
        <v>0</v>
      </c>
      <c r="L6" s="111">
        <v>53.94</v>
      </c>
      <c r="M6" s="111">
        <v>353.58</v>
      </c>
    </row>
    <row r="7" spans="2:13">
      <c r="B7" s="111">
        <v>4</v>
      </c>
      <c r="C7" s="111">
        <v>22487</v>
      </c>
      <c r="D7" s="265">
        <v>42048</v>
      </c>
      <c r="E7" s="111">
        <v>2</v>
      </c>
      <c r="F7" s="111">
        <v>30</v>
      </c>
      <c r="G7" s="265">
        <v>42078</v>
      </c>
      <c r="H7" s="111">
        <v>15013</v>
      </c>
      <c r="I7" s="111">
        <v>67</v>
      </c>
      <c r="J7" s="111">
        <v>158.72999999999999</v>
      </c>
      <c r="K7" s="111">
        <v>143.33000000000001</v>
      </c>
      <c r="L7" s="111">
        <v>28.57</v>
      </c>
      <c r="M7" s="111">
        <v>330.63</v>
      </c>
    </row>
    <row r="8" spans="2:13">
      <c r="B8" s="111">
        <v>4</v>
      </c>
      <c r="C8" s="111">
        <v>22553</v>
      </c>
      <c r="D8" s="265">
        <v>42048</v>
      </c>
      <c r="E8" s="111">
        <v>1</v>
      </c>
      <c r="F8" s="111">
        <v>0</v>
      </c>
      <c r="G8" s="265">
        <v>42048</v>
      </c>
      <c r="H8" s="111">
        <v>1762</v>
      </c>
      <c r="I8" s="111">
        <v>67</v>
      </c>
      <c r="J8" s="111">
        <v>240.68</v>
      </c>
      <c r="K8" s="111">
        <v>0</v>
      </c>
      <c r="L8" s="111">
        <v>43.32</v>
      </c>
      <c r="M8" s="111">
        <v>284</v>
      </c>
    </row>
    <row r="9" spans="2:13">
      <c r="B9" s="111">
        <v>4</v>
      </c>
      <c r="C9" s="111">
        <v>22648</v>
      </c>
      <c r="D9" s="265">
        <v>42051</v>
      </c>
      <c r="E9" s="111">
        <v>2</v>
      </c>
      <c r="F9" s="111">
        <v>30</v>
      </c>
      <c r="G9" s="265">
        <v>42081</v>
      </c>
      <c r="H9" s="111">
        <v>1126</v>
      </c>
      <c r="I9" s="111">
        <v>67</v>
      </c>
      <c r="J9" s="111">
        <v>463.64</v>
      </c>
      <c r="K9" s="111">
        <v>0</v>
      </c>
      <c r="L9" s="111">
        <v>83.46</v>
      </c>
      <c r="M9" s="111">
        <v>547.1</v>
      </c>
    </row>
    <row r="10" spans="2:13">
      <c r="B10" s="111">
        <v>4</v>
      </c>
      <c r="C10" s="111">
        <v>22649</v>
      </c>
      <c r="D10" s="265">
        <v>42051</v>
      </c>
      <c r="E10" s="111">
        <v>2</v>
      </c>
      <c r="F10" s="111">
        <v>30</v>
      </c>
      <c r="G10" s="265">
        <v>42081</v>
      </c>
      <c r="H10" s="111">
        <v>10859</v>
      </c>
      <c r="I10" s="111">
        <v>67</v>
      </c>
      <c r="J10" s="111">
        <v>1219.52</v>
      </c>
      <c r="K10" s="111">
        <v>0</v>
      </c>
      <c r="L10" s="111">
        <v>219.51</v>
      </c>
      <c r="M10" s="111">
        <v>1439.03</v>
      </c>
    </row>
    <row r="11" spans="2:13">
      <c r="B11" s="111">
        <v>4</v>
      </c>
      <c r="C11" s="111">
        <v>22870</v>
      </c>
      <c r="D11" s="265">
        <v>42054</v>
      </c>
      <c r="E11" s="111">
        <v>2</v>
      </c>
      <c r="F11" s="111">
        <v>30</v>
      </c>
      <c r="G11" s="265">
        <v>42084</v>
      </c>
      <c r="H11" s="111">
        <v>17376</v>
      </c>
      <c r="I11" s="111">
        <v>67</v>
      </c>
      <c r="J11" s="111">
        <v>134.96</v>
      </c>
      <c r="K11" s="111">
        <v>0</v>
      </c>
      <c r="L11" s="111">
        <v>24.29</v>
      </c>
      <c r="M11" s="111">
        <v>159.25</v>
      </c>
    </row>
    <row r="12" spans="2:13">
      <c r="B12" s="111">
        <v>4</v>
      </c>
      <c r="C12" s="111">
        <v>22896</v>
      </c>
      <c r="D12" s="265">
        <v>42054</v>
      </c>
      <c r="E12" s="111">
        <v>2</v>
      </c>
      <c r="F12" s="111">
        <v>30</v>
      </c>
      <c r="G12" s="265">
        <v>42084</v>
      </c>
      <c r="H12" s="111">
        <v>12174</v>
      </c>
      <c r="I12" s="111">
        <v>67</v>
      </c>
      <c r="J12" s="111">
        <v>0</v>
      </c>
      <c r="K12" s="111">
        <v>0</v>
      </c>
      <c r="L12" s="111">
        <v>0</v>
      </c>
      <c r="M12" s="111">
        <v>0</v>
      </c>
    </row>
    <row r="13" spans="2:13">
      <c r="B13" s="111">
        <v>4</v>
      </c>
      <c r="C13" s="111">
        <v>22897</v>
      </c>
      <c r="D13" s="265">
        <v>42054</v>
      </c>
      <c r="E13" s="111">
        <v>2</v>
      </c>
      <c r="F13" s="111">
        <v>30</v>
      </c>
      <c r="G13" s="265">
        <v>42084</v>
      </c>
      <c r="H13" s="111">
        <v>12174</v>
      </c>
      <c r="I13" s="111">
        <v>67</v>
      </c>
      <c r="J13" s="111">
        <v>377.47</v>
      </c>
      <c r="K13" s="111">
        <v>0</v>
      </c>
      <c r="L13" s="111">
        <v>67.94</v>
      </c>
      <c r="M13" s="111">
        <v>445.41</v>
      </c>
    </row>
    <row r="14" spans="2:13">
      <c r="B14" s="111">
        <v>4</v>
      </c>
      <c r="C14" s="111">
        <v>23062</v>
      </c>
      <c r="D14" s="265">
        <v>42058</v>
      </c>
      <c r="E14" s="111">
        <v>2</v>
      </c>
      <c r="F14" s="111">
        <v>30</v>
      </c>
      <c r="G14" s="265">
        <v>42088</v>
      </c>
      <c r="H14" s="111">
        <v>12277</v>
      </c>
      <c r="I14" s="111">
        <v>67</v>
      </c>
      <c r="J14" s="111">
        <v>99.93</v>
      </c>
      <c r="K14" s="111">
        <v>0</v>
      </c>
      <c r="L14" s="111">
        <v>17.989999999999998</v>
      </c>
      <c r="M14" s="111">
        <v>117.92</v>
      </c>
    </row>
    <row r="15" spans="2:13">
      <c r="B15" s="111">
        <v>4</v>
      </c>
      <c r="C15" s="111">
        <v>23063</v>
      </c>
      <c r="D15" s="265">
        <v>42058</v>
      </c>
      <c r="E15" s="111">
        <v>2</v>
      </c>
      <c r="F15" s="111">
        <v>30</v>
      </c>
      <c r="G15" s="265">
        <v>42088</v>
      </c>
      <c r="H15" s="111">
        <v>1126</v>
      </c>
      <c r="I15" s="111">
        <v>67</v>
      </c>
      <c r="J15" s="111">
        <v>172.66</v>
      </c>
      <c r="K15" s="111">
        <v>0</v>
      </c>
      <c r="L15" s="111">
        <v>31.08</v>
      </c>
      <c r="M15" s="111">
        <v>203.74</v>
      </c>
    </row>
    <row r="16" spans="2:13">
      <c r="B16" s="111">
        <v>4</v>
      </c>
      <c r="C16" s="111">
        <v>23205</v>
      </c>
      <c r="D16" s="265">
        <v>42060</v>
      </c>
      <c r="E16" s="111">
        <v>2</v>
      </c>
      <c r="F16" s="111">
        <v>30</v>
      </c>
      <c r="G16" s="265">
        <v>42090</v>
      </c>
      <c r="H16" s="111">
        <v>14765</v>
      </c>
      <c r="I16" s="111">
        <v>67</v>
      </c>
      <c r="J16" s="111">
        <v>142.83000000000001</v>
      </c>
      <c r="K16" s="111">
        <v>0</v>
      </c>
      <c r="L16" s="111">
        <v>25.71</v>
      </c>
      <c r="M16" s="111">
        <v>168.54</v>
      </c>
    </row>
    <row r="17" spans="2:13">
      <c r="B17" s="111">
        <v>4</v>
      </c>
      <c r="C17" s="111">
        <v>23207</v>
      </c>
      <c r="D17" s="265">
        <v>42060</v>
      </c>
      <c r="E17" s="111">
        <v>2</v>
      </c>
      <c r="F17" s="111">
        <v>30</v>
      </c>
      <c r="G17" s="265">
        <v>42090</v>
      </c>
      <c r="H17" s="111">
        <v>16340</v>
      </c>
      <c r="I17" s="111">
        <v>67</v>
      </c>
      <c r="J17" s="111">
        <v>378.46</v>
      </c>
      <c r="K17" s="111">
        <v>0</v>
      </c>
      <c r="L17" s="111">
        <v>68.12</v>
      </c>
      <c r="M17" s="111">
        <v>446.58</v>
      </c>
    </row>
    <row r="18" spans="2:13">
      <c r="B18" s="111">
        <v>4</v>
      </c>
      <c r="C18" s="111">
        <v>23208</v>
      </c>
      <c r="D18" s="265">
        <v>42060</v>
      </c>
      <c r="E18" s="111">
        <v>2</v>
      </c>
      <c r="F18" s="111">
        <v>30</v>
      </c>
      <c r="G18" s="265">
        <v>42090</v>
      </c>
      <c r="H18" s="111">
        <v>12761</v>
      </c>
      <c r="I18" s="111">
        <v>67</v>
      </c>
      <c r="J18" s="111">
        <v>208.42</v>
      </c>
      <c r="K18" s="111">
        <v>0</v>
      </c>
      <c r="L18" s="111">
        <v>37.520000000000003</v>
      </c>
      <c r="M18" s="111">
        <v>245.94</v>
      </c>
    </row>
    <row r="19" spans="2:13">
      <c r="B19" s="111">
        <v>4</v>
      </c>
      <c r="C19" s="111">
        <v>23308</v>
      </c>
      <c r="D19" s="265">
        <v>42061</v>
      </c>
      <c r="E19" s="111">
        <v>1</v>
      </c>
      <c r="F19" s="111">
        <v>0</v>
      </c>
      <c r="G19" s="265">
        <v>42061</v>
      </c>
      <c r="H19" s="111">
        <v>1313</v>
      </c>
      <c r="I19" s="111">
        <v>67</v>
      </c>
      <c r="J19" s="111">
        <v>0</v>
      </c>
      <c r="K19" s="111">
        <v>270.95</v>
      </c>
      <c r="L19" s="111">
        <v>0</v>
      </c>
      <c r="M19" s="111">
        <v>270.95</v>
      </c>
    </row>
    <row r="20" spans="2:13">
      <c r="B20" s="111">
        <v>4</v>
      </c>
      <c r="C20" s="111">
        <v>23314</v>
      </c>
      <c r="D20" s="265">
        <v>42061</v>
      </c>
      <c r="E20" s="111">
        <v>4</v>
      </c>
      <c r="F20" s="111">
        <v>60</v>
      </c>
      <c r="G20" s="265">
        <v>42121</v>
      </c>
      <c r="H20" s="111">
        <v>14265</v>
      </c>
      <c r="I20" s="111">
        <v>67</v>
      </c>
      <c r="J20" s="111">
        <v>3426.04</v>
      </c>
      <c r="K20" s="111">
        <v>0</v>
      </c>
      <c r="L20" s="111">
        <v>616.69000000000005</v>
      </c>
      <c r="M20" s="111">
        <v>4042.73</v>
      </c>
    </row>
    <row r="21" spans="2:13">
      <c r="B21" s="111">
        <v>4</v>
      </c>
      <c r="C21" s="111">
        <v>23436</v>
      </c>
      <c r="D21" s="265">
        <v>42062</v>
      </c>
      <c r="E21" s="111">
        <v>4</v>
      </c>
      <c r="F21" s="111">
        <v>60</v>
      </c>
      <c r="G21" s="265">
        <v>42122</v>
      </c>
      <c r="H21" s="111">
        <v>13077</v>
      </c>
      <c r="I21" s="111">
        <v>67</v>
      </c>
      <c r="J21" s="111">
        <v>511.49</v>
      </c>
      <c r="K21" s="111">
        <v>0</v>
      </c>
      <c r="L21" s="111">
        <v>92.07</v>
      </c>
      <c r="M21" s="111">
        <v>603.55999999999995</v>
      </c>
    </row>
    <row r="22" spans="2:13">
      <c r="B22" s="111">
        <v>4</v>
      </c>
      <c r="C22" s="111">
        <v>23437</v>
      </c>
      <c r="D22" s="265">
        <v>42062</v>
      </c>
      <c r="E22" s="111">
        <v>2</v>
      </c>
      <c r="F22" s="111">
        <v>30</v>
      </c>
      <c r="G22" s="265">
        <v>42092</v>
      </c>
      <c r="H22" s="111">
        <v>12277</v>
      </c>
      <c r="I22" s="111">
        <v>67</v>
      </c>
      <c r="J22" s="111">
        <v>40.72</v>
      </c>
      <c r="K22" s="111">
        <v>0</v>
      </c>
      <c r="L22" s="111">
        <v>7.33</v>
      </c>
      <c r="M22" s="111">
        <v>48.05</v>
      </c>
    </row>
    <row r="23" spans="2:13">
      <c r="B23" s="111">
        <v>4</v>
      </c>
      <c r="C23" s="111">
        <v>23438</v>
      </c>
      <c r="D23" s="265">
        <v>42062</v>
      </c>
      <c r="E23" s="111">
        <v>4</v>
      </c>
      <c r="F23" s="111">
        <v>60</v>
      </c>
      <c r="G23" s="265">
        <v>42122</v>
      </c>
      <c r="H23" s="111">
        <v>13077</v>
      </c>
      <c r="I23" s="111">
        <v>67</v>
      </c>
      <c r="J23" s="111">
        <v>1650.5</v>
      </c>
      <c r="K23" s="111">
        <v>0</v>
      </c>
      <c r="L23" s="111">
        <v>297.08999999999997</v>
      </c>
      <c r="M23" s="111">
        <v>1947.59</v>
      </c>
    </row>
    <row r="24" spans="2:13">
      <c r="B24" s="111">
        <v>4</v>
      </c>
      <c r="C24" s="111">
        <v>23440</v>
      </c>
      <c r="D24" s="265">
        <v>42062</v>
      </c>
      <c r="E24" s="111">
        <v>2</v>
      </c>
      <c r="F24" s="111">
        <v>30</v>
      </c>
      <c r="G24" s="265">
        <v>42092</v>
      </c>
      <c r="H24" s="111">
        <v>15435</v>
      </c>
      <c r="I24" s="111">
        <v>67</v>
      </c>
      <c r="J24" s="111">
        <v>87.12</v>
      </c>
      <c r="K24" s="111">
        <v>0</v>
      </c>
      <c r="L24" s="111">
        <v>15.68</v>
      </c>
      <c r="M24" s="111">
        <v>102.8</v>
      </c>
    </row>
    <row r="25" spans="2:13">
      <c r="B25" s="111">
        <v>4</v>
      </c>
      <c r="C25" s="111">
        <v>23441</v>
      </c>
      <c r="D25" s="265">
        <v>42062</v>
      </c>
      <c r="E25" s="111">
        <v>2</v>
      </c>
      <c r="F25" s="111">
        <v>30</v>
      </c>
      <c r="G25" s="265">
        <v>42092</v>
      </c>
      <c r="H25" s="111">
        <v>14050</v>
      </c>
      <c r="I25" s="111">
        <v>67</v>
      </c>
      <c r="J25" s="111">
        <v>129.30000000000001</v>
      </c>
      <c r="K25" s="111">
        <v>0</v>
      </c>
      <c r="L25" s="111">
        <v>23.27</v>
      </c>
      <c r="M25" s="111">
        <v>152.57</v>
      </c>
    </row>
    <row r="26" spans="2:13">
      <c r="B26" s="111">
        <v>4</v>
      </c>
      <c r="C26" s="111">
        <v>23444</v>
      </c>
      <c r="D26" s="265">
        <v>42062</v>
      </c>
      <c r="E26" s="111">
        <v>2</v>
      </c>
      <c r="F26" s="111">
        <v>30</v>
      </c>
      <c r="G26" s="265">
        <v>42092</v>
      </c>
      <c r="H26" s="111">
        <v>17043</v>
      </c>
      <c r="I26" s="111">
        <v>67</v>
      </c>
      <c r="J26" s="111">
        <v>69.72</v>
      </c>
      <c r="K26" s="111">
        <v>0</v>
      </c>
      <c r="L26" s="111">
        <v>12.55</v>
      </c>
      <c r="M26" s="111">
        <v>82.27</v>
      </c>
    </row>
    <row r="27" spans="2:13">
      <c r="B27" s="111">
        <v>4</v>
      </c>
      <c r="C27" s="111">
        <v>23443</v>
      </c>
      <c r="D27" s="265">
        <v>42062</v>
      </c>
      <c r="E27" s="111">
        <v>4</v>
      </c>
      <c r="F27" s="111">
        <v>60</v>
      </c>
      <c r="G27" s="265">
        <v>42122</v>
      </c>
      <c r="H27" s="111">
        <v>13077</v>
      </c>
      <c r="I27" s="111">
        <v>67</v>
      </c>
      <c r="J27" s="111">
        <v>525.91999999999996</v>
      </c>
      <c r="K27" s="111">
        <v>0</v>
      </c>
      <c r="L27" s="111">
        <v>94.67</v>
      </c>
      <c r="M27" s="111">
        <v>620.59</v>
      </c>
    </row>
    <row r="28" spans="2:13">
      <c r="B28" s="111">
        <v>4</v>
      </c>
      <c r="C28" s="111">
        <v>23445</v>
      </c>
      <c r="D28" s="265">
        <v>42062</v>
      </c>
      <c r="E28" s="111">
        <v>2</v>
      </c>
      <c r="F28" s="111">
        <v>30</v>
      </c>
      <c r="G28" s="265">
        <v>42092</v>
      </c>
      <c r="H28" s="111">
        <v>14252</v>
      </c>
      <c r="I28" s="111">
        <v>67</v>
      </c>
      <c r="J28" s="111">
        <v>597.78</v>
      </c>
      <c r="K28" s="111">
        <v>0</v>
      </c>
      <c r="L28" s="111">
        <v>107.6</v>
      </c>
      <c r="M28" s="111">
        <v>705.38</v>
      </c>
    </row>
    <row r="29" spans="2:13">
      <c r="B29" s="111">
        <v>4</v>
      </c>
      <c r="C29" s="111">
        <v>23446</v>
      </c>
      <c r="D29" s="265">
        <v>42062</v>
      </c>
      <c r="E29" s="111">
        <v>4</v>
      </c>
      <c r="F29" s="111">
        <v>60</v>
      </c>
      <c r="G29" s="265">
        <v>42122</v>
      </c>
      <c r="H29" s="111">
        <v>13077</v>
      </c>
      <c r="I29" s="111">
        <v>67</v>
      </c>
      <c r="J29" s="111">
        <v>334.6</v>
      </c>
      <c r="K29" s="111">
        <v>0</v>
      </c>
      <c r="L29" s="111">
        <v>60.23</v>
      </c>
      <c r="M29" s="111">
        <v>394.83</v>
      </c>
    </row>
    <row r="30" spans="2:13">
      <c r="B30" s="111">
        <v>4</v>
      </c>
      <c r="C30" s="111">
        <v>23452</v>
      </c>
      <c r="D30" s="265">
        <v>42063</v>
      </c>
      <c r="E30" s="111">
        <v>2</v>
      </c>
      <c r="F30" s="111">
        <v>30</v>
      </c>
      <c r="G30" s="265">
        <v>42093</v>
      </c>
      <c r="H30" s="111">
        <v>9717</v>
      </c>
      <c r="I30" s="111">
        <v>67</v>
      </c>
      <c r="J30" s="111">
        <v>138.19999999999999</v>
      </c>
      <c r="K30" s="111">
        <v>0</v>
      </c>
      <c r="L30" s="111">
        <v>24.88</v>
      </c>
      <c r="M30" s="111">
        <v>163.08000000000001</v>
      </c>
    </row>
    <row r="31" spans="2:13">
      <c r="B31" s="111">
        <v>4</v>
      </c>
      <c r="C31" s="111">
        <v>23453</v>
      </c>
      <c r="D31" s="265">
        <v>42063</v>
      </c>
      <c r="E31" s="111">
        <v>2</v>
      </c>
      <c r="F31" s="111">
        <v>30</v>
      </c>
      <c r="G31" s="265">
        <v>42093</v>
      </c>
      <c r="H31" s="111">
        <v>17063</v>
      </c>
      <c r="I31" s="111">
        <v>67</v>
      </c>
      <c r="J31" s="111">
        <v>71.91</v>
      </c>
      <c r="K31" s="111">
        <v>0</v>
      </c>
      <c r="L31" s="111">
        <v>12.94</v>
      </c>
      <c r="M31" s="111">
        <v>84.85</v>
      </c>
    </row>
    <row r="32" spans="2:13">
      <c r="I32" s="29" t="s">
        <v>572</v>
      </c>
      <c r="J32" s="264">
        <f>SUM(J4:J31)</f>
        <v>11863.31</v>
      </c>
      <c r="M32" s="264">
        <f>SUM(M4:M31)</f>
        <v>14477.609999999997</v>
      </c>
    </row>
    <row r="35" spans="2:20">
      <c r="I35" s="29" t="s">
        <v>2</v>
      </c>
      <c r="J35" s="147">
        <f>J32*1.5%</f>
        <v>177.94964999999999</v>
      </c>
    </row>
    <row r="36" spans="2:20">
      <c r="I36" s="29" t="s">
        <v>573</v>
      </c>
      <c r="J36" s="147">
        <v>210</v>
      </c>
    </row>
    <row r="37" spans="2:20">
      <c r="I37" s="59" t="s">
        <v>44</v>
      </c>
      <c r="J37" s="60">
        <f>J36+J35</f>
        <v>387.94965000000002</v>
      </c>
    </row>
    <row r="39" spans="2:20">
      <c r="B39" s="29" t="s">
        <v>574</v>
      </c>
      <c r="C39" s="29" t="s">
        <v>575</v>
      </c>
      <c r="D39" s="29" t="s">
        <v>576</v>
      </c>
      <c r="E39" s="29" t="s">
        <v>577</v>
      </c>
      <c r="F39" s="29" t="s">
        <v>578</v>
      </c>
      <c r="G39" s="29" t="s">
        <v>579</v>
      </c>
      <c r="H39" s="29" t="s">
        <v>369</v>
      </c>
      <c r="I39" s="29" t="s">
        <v>580</v>
      </c>
      <c r="J39" s="29" t="s">
        <v>581</v>
      </c>
      <c r="K39" s="29" t="s">
        <v>145</v>
      </c>
      <c r="L39" s="29" t="s">
        <v>582</v>
      </c>
      <c r="M39" s="29" t="s">
        <v>583</v>
      </c>
      <c r="N39" s="29" t="s">
        <v>584</v>
      </c>
      <c r="O39" s="29" t="s">
        <v>585</v>
      </c>
      <c r="P39" s="29" t="s">
        <v>586</v>
      </c>
      <c r="Q39" s="29" t="s">
        <v>587</v>
      </c>
      <c r="R39" s="29" t="s">
        <v>588</v>
      </c>
      <c r="S39" s="29" t="s">
        <v>589</v>
      </c>
      <c r="T39" s="29" t="s">
        <v>590</v>
      </c>
    </row>
    <row r="40" spans="2:20" hidden="1" outlineLevel="2">
      <c r="B40" s="29">
        <v>956511</v>
      </c>
      <c r="C40" s="29">
        <v>67</v>
      </c>
      <c r="D40" s="29" t="s">
        <v>591</v>
      </c>
      <c r="E40" s="29">
        <v>14608</v>
      </c>
      <c r="F40" s="29" t="s">
        <v>592</v>
      </c>
      <c r="G40" s="263">
        <v>42065</v>
      </c>
      <c r="H40" s="29">
        <v>4</v>
      </c>
      <c r="I40" s="29">
        <v>23614</v>
      </c>
      <c r="J40" s="29">
        <v>28</v>
      </c>
      <c r="K40" s="29" t="e">
        <f>VLOOKUP(J40,#REF!,2,0)</f>
        <v>#REF!</v>
      </c>
      <c r="L40" s="29">
        <v>2870</v>
      </c>
      <c r="M40" s="29" t="s">
        <v>593</v>
      </c>
      <c r="N40" s="29">
        <v>5</v>
      </c>
      <c r="O40" s="29">
        <v>101.25</v>
      </c>
      <c r="P40" s="29">
        <v>2447.0300000000002</v>
      </c>
      <c r="Q40" s="29">
        <v>276.48</v>
      </c>
      <c r="R40" s="29">
        <v>440.47</v>
      </c>
      <c r="S40" s="29">
        <v>3163.98</v>
      </c>
      <c r="T40" s="29">
        <v>10</v>
      </c>
    </row>
    <row r="41" spans="2:20" hidden="1" outlineLevel="2">
      <c r="B41" s="29">
        <v>956511</v>
      </c>
      <c r="C41" s="29">
        <v>67</v>
      </c>
      <c r="D41" s="29" t="s">
        <v>591</v>
      </c>
      <c r="E41" s="29">
        <v>14608</v>
      </c>
      <c r="F41" s="29" t="s">
        <v>592</v>
      </c>
      <c r="G41" s="263">
        <v>42065</v>
      </c>
      <c r="H41" s="29">
        <v>4</v>
      </c>
      <c r="I41" s="29">
        <v>23614</v>
      </c>
      <c r="J41" s="29">
        <v>28</v>
      </c>
      <c r="K41" s="29" t="e">
        <f>VLOOKUP(J41,#REF!,2,0)</f>
        <v>#REF!</v>
      </c>
      <c r="L41" s="29">
        <v>5504</v>
      </c>
      <c r="M41" s="29" t="s">
        <v>594</v>
      </c>
      <c r="N41" s="29">
        <v>20</v>
      </c>
      <c r="O41" s="29">
        <v>109.98</v>
      </c>
      <c r="P41" s="29">
        <v>2447.0300000000002</v>
      </c>
      <c r="Q41" s="29">
        <v>276.48</v>
      </c>
      <c r="R41" s="29">
        <v>440.47</v>
      </c>
      <c r="S41" s="29">
        <v>3163.98</v>
      </c>
      <c r="T41" s="29">
        <v>10</v>
      </c>
    </row>
    <row r="42" spans="2:20" hidden="1" outlineLevel="2">
      <c r="B42" s="29">
        <v>956511</v>
      </c>
      <c r="C42" s="29">
        <v>67</v>
      </c>
      <c r="D42" s="29" t="s">
        <v>591</v>
      </c>
      <c r="E42" s="29">
        <v>14608</v>
      </c>
      <c r="F42" s="29" t="s">
        <v>592</v>
      </c>
      <c r="G42" s="263">
        <v>42065</v>
      </c>
      <c r="H42" s="29">
        <v>4</v>
      </c>
      <c r="I42" s="29">
        <v>23614</v>
      </c>
      <c r="J42" s="29">
        <v>28</v>
      </c>
      <c r="K42" s="29" t="e">
        <f>VLOOKUP(J42,#REF!,2,0)</f>
        <v>#REF!</v>
      </c>
      <c r="L42" s="29">
        <v>2018</v>
      </c>
      <c r="M42" s="29" t="s">
        <v>595</v>
      </c>
      <c r="N42" s="29">
        <v>5</v>
      </c>
      <c r="O42" s="29">
        <v>64.48</v>
      </c>
      <c r="P42" s="29">
        <v>2447.0300000000002</v>
      </c>
      <c r="Q42" s="29">
        <v>276.48</v>
      </c>
      <c r="R42" s="29">
        <v>440.47</v>
      </c>
      <c r="S42" s="29">
        <v>3163.98</v>
      </c>
      <c r="T42" s="29">
        <v>10</v>
      </c>
    </row>
    <row r="43" spans="2:20" hidden="1" outlineLevel="2">
      <c r="B43" s="29">
        <v>956511</v>
      </c>
      <c r="C43" s="29">
        <v>67</v>
      </c>
      <c r="D43" s="29" t="s">
        <v>591</v>
      </c>
      <c r="E43" s="29">
        <v>14608</v>
      </c>
      <c r="F43" s="29" t="s">
        <v>592</v>
      </c>
      <c r="G43" s="263">
        <v>42065</v>
      </c>
      <c r="H43" s="29">
        <v>4</v>
      </c>
      <c r="I43" s="29">
        <v>23614</v>
      </c>
      <c r="J43" s="29">
        <v>28</v>
      </c>
      <c r="K43" s="29" t="e">
        <f>VLOOKUP(J43,#REF!,2,0)</f>
        <v>#REF!</v>
      </c>
      <c r="L43" s="29">
        <v>5359</v>
      </c>
      <c r="M43" s="29" t="s">
        <v>596</v>
      </c>
      <c r="N43" s="29">
        <v>1</v>
      </c>
      <c r="O43" s="29">
        <v>36.94</v>
      </c>
      <c r="P43" s="29">
        <v>2447.0300000000002</v>
      </c>
      <c r="Q43" s="29">
        <v>276.48</v>
      </c>
      <c r="R43" s="29">
        <v>440.47</v>
      </c>
      <c r="S43" s="29">
        <v>3163.98</v>
      </c>
      <c r="T43" s="29">
        <v>10</v>
      </c>
    </row>
    <row r="44" spans="2:20" hidden="1" outlineLevel="2">
      <c r="B44" s="29">
        <v>956511</v>
      </c>
      <c r="C44" s="29">
        <v>67</v>
      </c>
      <c r="D44" s="29" t="s">
        <v>591</v>
      </c>
      <c r="E44" s="29">
        <v>14608</v>
      </c>
      <c r="F44" s="29" t="s">
        <v>592</v>
      </c>
      <c r="G44" s="263">
        <v>42065</v>
      </c>
      <c r="H44" s="29">
        <v>4</v>
      </c>
      <c r="I44" s="29">
        <v>23614</v>
      </c>
      <c r="J44" s="29">
        <v>28</v>
      </c>
      <c r="K44" s="29" t="e">
        <f>VLOOKUP(J44,#REF!,2,0)</f>
        <v>#REF!</v>
      </c>
      <c r="L44" s="29">
        <v>8196</v>
      </c>
      <c r="M44" s="29" t="s">
        <v>597</v>
      </c>
      <c r="N44" s="29">
        <v>5</v>
      </c>
      <c r="O44" s="29">
        <v>19.239999999999998</v>
      </c>
      <c r="P44" s="29">
        <v>2447.0300000000002</v>
      </c>
      <c r="Q44" s="29">
        <v>276.48</v>
      </c>
      <c r="R44" s="29">
        <v>440.47</v>
      </c>
      <c r="S44" s="29">
        <v>3163.98</v>
      </c>
      <c r="T44" s="29">
        <v>10</v>
      </c>
    </row>
    <row r="45" spans="2:20" hidden="1" outlineLevel="2">
      <c r="B45" s="29">
        <v>956511</v>
      </c>
      <c r="C45" s="29">
        <v>67</v>
      </c>
      <c r="D45" s="29" t="s">
        <v>591</v>
      </c>
      <c r="E45" s="29">
        <v>14608</v>
      </c>
      <c r="F45" s="29" t="s">
        <v>592</v>
      </c>
      <c r="G45" s="263">
        <v>42065</v>
      </c>
      <c r="H45" s="29">
        <v>4</v>
      </c>
      <c r="I45" s="29">
        <v>23614</v>
      </c>
      <c r="J45" s="29">
        <v>28</v>
      </c>
      <c r="K45" s="29" t="e">
        <f>VLOOKUP(J45,#REF!,2,0)</f>
        <v>#REF!</v>
      </c>
      <c r="L45" s="29">
        <v>9993</v>
      </c>
      <c r="M45" s="29" t="s">
        <v>598</v>
      </c>
      <c r="N45" s="29">
        <v>1</v>
      </c>
      <c r="O45" s="29">
        <v>12.52</v>
      </c>
      <c r="P45" s="29">
        <v>2447.0300000000002</v>
      </c>
      <c r="Q45" s="29">
        <v>276.48</v>
      </c>
      <c r="R45" s="29">
        <v>440.47</v>
      </c>
      <c r="S45" s="29">
        <v>3163.98</v>
      </c>
      <c r="T45" s="29">
        <v>10</v>
      </c>
    </row>
    <row r="46" spans="2:20" hidden="1" outlineLevel="2">
      <c r="B46" s="29">
        <v>956511</v>
      </c>
      <c r="C46" s="29">
        <v>67</v>
      </c>
      <c r="D46" s="29" t="s">
        <v>591</v>
      </c>
      <c r="E46" s="29">
        <v>14608</v>
      </c>
      <c r="F46" s="29" t="s">
        <v>592</v>
      </c>
      <c r="G46" s="263">
        <v>42065</v>
      </c>
      <c r="H46" s="29">
        <v>4</v>
      </c>
      <c r="I46" s="29">
        <v>23614</v>
      </c>
      <c r="J46" s="29">
        <v>28</v>
      </c>
      <c r="K46" s="29" t="e">
        <f>VLOOKUP(J46,#REF!,2,0)</f>
        <v>#REF!</v>
      </c>
      <c r="L46" s="29">
        <v>2043</v>
      </c>
      <c r="M46" s="29" t="s">
        <v>599</v>
      </c>
      <c r="N46" s="29">
        <v>10</v>
      </c>
      <c r="O46" s="29">
        <v>72.45</v>
      </c>
      <c r="P46" s="29">
        <v>2447.0300000000002</v>
      </c>
      <c r="Q46" s="29">
        <v>276.48</v>
      </c>
      <c r="R46" s="29">
        <v>440.47</v>
      </c>
      <c r="S46" s="29">
        <v>3163.98</v>
      </c>
      <c r="T46" s="29">
        <v>10</v>
      </c>
    </row>
    <row r="47" spans="2:20" hidden="1" outlineLevel="2">
      <c r="B47" s="29">
        <v>956511</v>
      </c>
      <c r="C47" s="29">
        <v>67</v>
      </c>
      <c r="D47" s="29" t="s">
        <v>591</v>
      </c>
      <c r="E47" s="29">
        <v>14608</v>
      </c>
      <c r="F47" s="29" t="s">
        <v>592</v>
      </c>
      <c r="G47" s="263">
        <v>42065</v>
      </c>
      <c r="H47" s="29">
        <v>4</v>
      </c>
      <c r="I47" s="29">
        <v>23614</v>
      </c>
      <c r="J47" s="29">
        <v>28</v>
      </c>
      <c r="K47" s="29" t="e">
        <f>VLOOKUP(J47,#REF!,2,0)</f>
        <v>#REF!</v>
      </c>
      <c r="L47" s="29">
        <v>15249</v>
      </c>
      <c r="M47" s="29" t="s">
        <v>600</v>
      </c>
      <c r="N47" s="29">
        <v>5</v>
      </c>
      <c r="O47" s="29">
        <v>71.28</v>
      </c>
      <c r="P47" s="29">
        <v>2447.0300000000002</v>
      </c>
      <c r="Q47" s="29">
        <v>276.48</v>
      </c>
      <c r="R47" s="29">
        <v>440.47</v>
      </c>
      <c r="S47" s="29">
        <v>3163.98</v>
      </c>
      <c r="T47" s="29">
        <v>10</v>
      </c>
    </row>
    <row r="48" spans="2:20" hidden="1" outlineLevel="2">
      <c r="B48" s="29">
        <v>956511</v>
      </c>
      <c r="C48" s="29">
        <v>67</v>
      </c>
      <c r="D48" s="29" t="s">
        <v>591</v>
      </c>
      <c r="E48" s="29">
        <v>14608</v>
      </c>
      <c r="F48" s="29" t="s">
        <v>592</v>
      </c>
      <c r="G48" s="263">
        <v>42065</v>
      </c>
      <c r="H48" s="29">
        <v>4</v>
      </c>
      <c r="I48" s="29">
        <v>23614</v>
      </c>
      <c r="J48" s="29">
        <v>28</v>
      </c>
      <c r="K48" s="29" t="e">
        <f>VLOOKUP(J48,#REF!,2,0)</f>
        <v>#REF!</v>
      </c>
      <c r="L48" s="29">
        <v>10340</v>
      </c>
      <c r="M48" s="29" t="s">
        <v>601</v>
      </c>
      <c r="N48" s="29">
        <v>20</v>
      </c>
      <c r="O48" s="29">
        <v>276.48</v>
      </c>
      <c r="P48" s="29">
        <v>2447.0300000000002</v>
      </c>
      <c r="Q48" s="29">
        <v>276.48</v>
      </c>
      <c r="R48" s="29">
        <v>440.47</v>
      </c>
      <c r="S48" s="29">
        <v>3163.98</v>
      </c>
      <c r="T48" s="29">
        <v>10</v>
      </c>
    </row>
    <row r="49" spans="2:20" hidden="1" outlineLevel="2">
      <c r="B49" s="29">
        <v>956511</v>
      </c>
      <c r="C49" s="29">
        <v>67</v>
      </c>
      <c r="D49" s="29" t="s">
        <v>591</v>
      </c>
      <c r="E49" s="29">
        <v>14608</v>
      </c>
      <c r="F49" s="29" t="s">
        <v>592</v>
      </c>
      <c r="G49" s="263">
        <v>42065</v>
      </c>
      <c r="H49" s="29">
        <v>4</v>
      </c>
      <c r="I49" s="29">
        <v>23614</v>
      </c>
      <c r="J49" s="29">
        <v>28</v>
      </c>
      <c r="K49" s="29" t="e">
        <f>VLOOKUP(J49,#REF!,2,0)</f>
        <v>#REF!</v>
      </c>
      <c r="L49" s="29">
        <v>3346</v>
      </c>
      <c r="M49" s="29" t="s">
        <v>602</v>
      </c>
      <c r="N49" s="29">
        <v>2</v>
      </c>
      <c r="O49" s="29">
        <v>6.99</v>
      </c>
      <c r="P49" s="29">
        <v>2447.0300000000002</v>
      </c>
      <c r="Q49" s="29">
        <v>276.48</v>
      </c>
      <c r="R49" s="29">
        <v>440.47</v>
      </c>
      <c r="S49" s="29">
        <v>3163.98</v>
      </c>
      <c r="T49" s="29">
        <v>10</v>
      </c>
    </row>
    <row r="50" spans="2:20" hidden="1" outlineLevel="2">
      <c r="B50" s="29">
        <v>956511</v>
      </c>
      <c r="C50" s="29">
        <v>67</v>
      </c>
      <c r="D50" s="29" t="s">
        <v>591</v>
      </c>
      <c r="E50" s="29">
        <v>14608</v>
      </c>
      <c r="F50" s="29" t="s">
        <v>592</v>
      </c>
      <c r="G50" s="263">
        <v>42065</v>
      </c>
      <c r="H50" s="29">
        <v>4</v>
      </c>
      <c r="I50" s="29">
        <v>23614</v>
      </c>
      <c r="J50" s="29">
        <v>28</v>
      </c>
      <c r="K50" s="29" t="e">
        <f>VLOOKUP(J50,#REF!,2,0)</f>
        <v>#REF!</v>
      </c>
      <c r="L50" s="29">
        <v>5510</v>
      </c>
      <c r="M50" s="29" t="s">
        <v>603</v>
      </c>
      <c r="N50" s="29">
        <v>3</v>
      </c>
      <c r="O50" s="29">
        <v>34.75</v>
      </c>
      <c r="P50" s="29">
        <v>2447.0300000000002</v>
      </c>
      <c r="Q50" s="29">
        <v>276.48</v>
      </c>
      <c r="R50" s="29">
        <v>440.47</v>
      </c>
      <c r="S50" s="29">
        <v>3163.98</v>
      </c>
      <c r="T50" s="29">
        <v>10</v>
      </c>
    </row>
    <row r="51" spans="2:20" hidden="1" outlineLevel="2">
      <c r="B51" s="29">
        <v>956511</v>
      </c>
      <c r="C51" s="29">
        <v>67</v>
      </c>
      <c r="D51" s="29" t="s">
        <v>591</v>
      </c>
      <c r="E51" s="29">
        <v>14608</v>
      </c>
      <c r="F51" s="29" t="s">
        <v>592</v>
      </c>
      <c r="G51" s="263">
        <v>42065</v>
      </c>
      <c r="H51" s="29">
        <v>4</v>
      </c>
      <c r="I51" s="29">
        <v>23614</v>
      </c>
      <c r="J51" s="29">
        <v>28</v>
      </c>
      <c r="K51" s="29" t="e">
        <f>VLOOKUP(J51,#REF!,2,0)</f>
        <v>#REF!</v>
      </c>
      <c r="L51" s="29">
        <v>10563</v>
      </c>
      <c r="M51" s="29" t="s">
        <v>604</v>
      </c>
      <c r="N51" s="29">
        <v>3</v>
      </c>
      <c r="O51" s="29">
        <v>73.87</v>
      </c>
      <c r="P51" s="29">
        <v>2447.0300000000002</v>
      </c>
      <c r="Q51" s="29">
        <v>276.48</v>
      </c>
      <c r="R51" s="29">
        <v>440.47</v>
      </c>
      <c r="S51" s="29">
        <v>3163.98</v>
      </c>
      <c r="T51" s="29">
        <v>10</v>
      </c>
    </row>
    <row r="52" spans="2:20" hidden="1" outlineLevel="2">
      <c r="B52" s="29">
        <v>956718</v>
      </c>
      <c r="C52" s="29">
        <v>67</v>
      </c>
      <c r="D52" s="29" t="s">
        <v>591</v>
      </c>
      <c r="E52" s="29">
        <v>14765</v>
      </c>
      <c r="F52" s="29" t="s">
        <v>605</v>
      </c>
      <c r="G52" s="263">
        <v>42067</v>
      </c>
      <c r="H52" s="29">
        <v>4</v>
      </c>
      <c r="I52" s="29">
        <v>23759</v>
      </c>
      <c r="J52" s="29">
        <v>28</v>
      </c>
      <c r="K52" s="29" t="e">
        <f>VLOOKUP(J52,#REF!,2,0)</f>
        <v>#REF!</v>
      </c>
      <c r="L52" s="29">
        <v>13297</v>
      </c>
      <c r="M52" s="29" t="s">
        <v>606</v>
      </c>
      <c r="N52" s="29">
        <v>6</v>
      </c>
      <c r="O52" s="29">
        <v>47.74</v>
      </c>
      <c r="P52" s="29">
        <v>212.34</v>
      </c>
      <c r="Q52" s="29">
        <v>0</v>
      </c>
      <c r="R52" s="29">
        <v>38.22</v>
      </c>
      <c r="S52" s="29">
        <v>250.56</v>
      </c>
      <c r="T52" s="29">
        <v>10</v>
      </c>
    </row>
    <row r="53" spans="2:20" hidden="1" outlineLevel="2">
      <c r="B53" s="29">
        <v>956718</v>
      </c>
      <c r="C53" s="29">
        <v>67</v>
      </c>
      <c r="D53" s="29" t="s">
        <v>591</v>
      </c>
      <c r="E53" s="29">
        <v>14765</v>
      </c>
      <c r="F53" s="29" t="s">
        <v>605</v>
      </c>
      <c r="G53" s="263">
        <v>42067</v>
      </c>
      <c r="H53" s="29">
        <v>4</v>
      </c>
      <c r="I53" s="29">
        <v>23759</v>
      </c>
      <c r="J53" s="29">
        <v>28</v>
      </c>
      <c r="K53" s="29" t="e">
        <f>VLOOKUP(J53,#REF!,2,0)</f>
        <v>#REF!</v>
      </c>
      <c r="L53" s="29">
        <v>15250</v>
      </c>
      <c r="M53" s="29" t="s">
        <v>607</v>
      </c>
      <c r="N53" s="29">
        <v>1</v>
      </c>
      <c r="O53" s="29">
        <v>50.69</v>
      </c>
      <c r="P53" s="29">
        <v>212.34</v>
      </c>
      <c r="Q53" s="29">
        <v>0</v>
      </c>
      <c r="R53" s="29">
        <v>38.22</v>
      </c>
      <c r="S53" s="29">
        <v>250.56</v>
      </c>
      <c r="T53" s="29">
        <v>10</v>
      </c>
    </row>
    <row r="54" spans="2:20" hidden="1" outlineLevel="2">
      <c r="B54" s="29">
        <v>956915</v>
      </c>
      <c r="C54" s="29">
        <v>67</v>
      </c>
      <c r="D54" s="29" t="s">
        <v>591</v>
      </c>
      <c r="E54" s="29">
        <v>1846</v>
      </c>
      <c r="F54" s="29" t="s">
        <v>608</v>
      </c>
      <c r="G54" s="263">
        <v>42068</v>
      </c>
      <c r="H54" s="29">
        <v>4</v>
      </c>
      <c r="I54" s="29">
        <v>23868</v>
      </c>
      <c r="J54" s="29">
        <v>28</v>
      </c>
      <c r="K54" s="29" t="e">
        <f>VLOOKUP(J54,#REF!,2,0)</f>
        <v>#REF!</v>
      </c>
      <c r="L54" s="29">
        <v>15250</v>
      </c>
      <c r="M54" s="29" t="s">
        <v>607</v>
      </c>
      <c r="N54" s="29">
        <v>3</v>
      </c>
      <c r="O54" s="29">
        <v>147.31</v>
      </c>
      <c r="P54" s="29">
        <v>223.48</v>
      </c>
      <c r="Q54" s="29">
        <v>0</v>
      </c>
      <c r="R54" s="29">
        <v>40.229999999999997</v>
      </c>
      <c r="S54" s="29">
        <v>263.70999999999998</v>
      </c>
      <c r="T54" s="29">
        <v>11</v>
      </c>
    </row>
    <row r="55" spans="2:20" hidden="1" outlineLevel="2">
      <c r="B55" s="29">
        <v>956918</v>
      </c>
      <c r="C55" s="29">
        <v>67</v>
      </c>
      <c r="D55" s="29" t="s">
        <v>591</v>
      </c>
      <c r="E55" s="29">
        <v>13104</v>
      </c>
      <c r="F55" s="29" t="s">
        <v>609</v>
      </c>
      <c r="G55" s="263">
        <v>42068</v>
      </c>
      <c r="H55" s="29">
        <v>4</v>
      </c>
      <c r="I55" s="29">
        <v>23869</v>
      </c>
      <c r="J55" s="29">
        <v>28</v>
      </c>
      <c r="K55" s="29" t="e">
        <f>VLOOKUP(J55,#REF!,2,0)</f>
        <v>#REF!</v>
      </c>
      <c r="L55" s="29">
        <v>2870</v>
      </c>
      <c r="M55" s="29" t="s">
        <v>593</v>
      </c>
      <c r="N55" s="29">
        <v>2</v>
      </c>
      <c r="O55" s="29">
        <v>41.58</v>
      </c>
      <c r="P55" s="29">
        <v>341.99</v>
      </c>
      <c r="Q55" s="29">
        <v>225.17</v>
      </c>
      <c r="R55" s="29">
        <v>61.56</v>
      </c>
      <c r="S55" s="29">
        <v>628.72</v>
      </c>
      <c r="T55" s="29">
        <v>10</v>
      </c>
    </row>
    <row r="56" spans="2:20" hidden="1" outlineLevel="2">
      <c r="B56" s="29">
        <v>956918</v>
      </c>
      <c r="C56" s="29">
        <v>67</v>
      </c>
      <c r="D56" s="29" t="s">
        <v>591</v>
      </c>
      <c r="E56" s="29">
        <v>13104</v>
      </c>
      <c r="F56" s="29" t="s">
        <v>609</v>
      </c>
      <c r="G56" s="263">
        <v>42068</v>
      </c>
      <c r="H56" s="29">
        <v>4</v>
      </c>
      <c r="I56" s="29">
        <v>23869</v>
      </c>
      <c r="J56" s="29">
        <v>28</v>
      </c>
      <c r="K56" s="29" t="e">
        <f>VLOOKUP(J56,#REF!,2,0)</f>
        <v>#REF!</v>
      </c>
      <c r="L56" s="29">
        <v>5504</v>
      </c>
      <c r="M56" s="29" t="s">
        <v>594</v>
      </c>
      <c r="N56" s="29">
        <v>6</v>
      </c>
      <c r="O56" s="29">
        <v>35.53</v>
      </c>
      <c r="P56" s="29">
        <v>341.99</v>
      </c>
      <c r="Q56" s="29">
        <v>225.17</v>
      </c>
      <c r="R56" s="29">
        <v>61.56</v>
      </c>
      <c r="S56" s="29">
        <v>628.72</v>
      </c>
      <c r="T56" s="29">
        <v>10</v>
      </c>
    </row>
    <row r="57" spans="2:20" hidden="1" outlineLevel="2">
      <c r="B57" s="29">
        <v>956918</v>
      </c>
      <c r="C57" s="29">
        <v>67</v>
      </c>
      <c r="D57" s="29" t="s">
        <v>591</v>
      </c>
      <c r="E57" s="29">
        <v>13104</v>
      </c>
      <c r="F57" s="29" t="s">
        <v>609</v>
      </c>
      <c r="G57" s="263">
        <v>42068</v>
      </c>
      <c r="H57" s="29">
        <v>4</v>
      </c>
      <c r="I57" s="29">
        <v>23869</v>
      </c>
      <c r="J57" s="29">
        <v>28</v>
      </c>
      <c r="K57" s="29" t="e">
        <f>VLOOKUP(J57,#REF!,2,0)</f>
        <v>#REF!</v>
      </c>
      <c r="L57" s="29">
        <v>10646</v>
      </c>
      <c r="M57" s="29" t="s">
        <v>610</v>
      </c>
      <c r="N57" s="29">
        <v>10</v>
      </c>
      <c r="O57" s="29">
        <v>21.2</v>
      </c>
      <c r="P57" s="29">
        <v>341.99</v>
      </c>
      <c r="Q57" s="29">
        <v>225.17</v>
      </c>
      <c r="R57" s="29">
        <v>61.56</v>
      </c>
      <c r="S57" s="29">
        <v>628.72</v>
      </c>
      <c r="T57" s="29">
        <v>10</v>
      </c>
    </row>
    <row r="58" spans="2:20" hidden="1" outlineLevel="2">
      <c r="B58" s="29">
        <v>956918</v>
      </c>
      <c r="C58" s="29">
        <v>67</v>
      </c>
      <c r="D58" s="29" t="s">
        <v>591</v>
      </c>
      <c r="E58" s="29">
        <v>13104</v>
      </c>
      <c r="F58" s="29" t="s">
        <v>609</v>
      </c>
      <c r="G58" s="263">
        <v>42068</v>
      </c>
      <c r="H58" s="29">
        <v>4</v>
      </c>
      <c r="I58" s="29">
        <v>23869</v>
      </c>
      <c r="J58" s="29">
        <v>28</v>
      </c>
      <c r="K58" s="29" t="e">
        <f>VLOOKUP(J58,#REF!,2,0)</f>
        <v>#REF!</v>
      </c>
      <c r="L58" s="29">
        <v>8198</v>
      </c>
      <c r="M58" s="29" t="s">
        <v>611</v>
      </c>
      <c r="N58" s="29">
        <v>10</v>
      </c>
      <c r="O58" s="29">
        <v>50.4</v>
      </c>
      <c r="P58" s="29">
        <v>341.99</v>
      </c>
      <c r="Q58" s="29">
        <v>225.17</v>
      </c>
      <c r="R58" s="29">
        <v>61.56</v>
      </c>
      <c r="S58" s="29">
        <v>628.72</v>
      </c>
      <c r="T58" s="29">
        <v>10</v>
      </c>
    </row>
    <row r="59" spans="2:20" hidden="1" outlineLevel="2">
      <c r="B59" s="29">
        <v>956918</v>
      </c>
      <c r="C59" s="29">
        <v>67</v>
      </c>
      <c r="D59" s="29" t="s">
        <v>591</v>
      </c>
      <c r="E59" s="29">
        <v>13104</v>
      </c>
      <c r="F59" s="29" t="s">
        <v>609</v>
      </c>
      <c r="G59" s="263">
        <v>42068</v>
      </c>
      <c r="H59" s="29">
        <v>4</v>
      </c>
      <c r="I59" s="29">
        <v>23869</v>
      </c>
      <c r="J59" s="29">
        <v>28</v>
      </c>
      <c r="K59" s="29" t="e">
        <f>VLOOKUP(J59,#REF!,2,0)</f>
        <v>#REF!</v>
      </c>
      <c r="L59" s="29">
        <v>8199</v>
      </c>
      <c r="M59" s="29" t="s">
        <v>612</v>
      </c>
      <c r="N59" s="29">
        <v>10</v>
      </c>
      <c r="O59" s="29">
        <v>63.05</v>
      </c>
      <c r="P59" s="29">
        <v>341.99</v>
      </c>
      <c r="Q59" s="29">
        <v>225.17</v>
      </c>
      <c r="R59" s="29">
        <v>61.56</v>
      </c>
      <c r="S59" s="29">
        <v>628.72</v>
      </c>
      <c r="T59" s="29">
        <v>10</v>
      </c>
    </row>
    <row r="60" spans="2:20" hidden="1" outlineLevel="2">
      <c r="B60" s="29">
        <v>956918</v>
      </c>
      <c r="C60" s="29">
        <v>67</v>
      </c>
      <c r="D60" s="29" t="s">
        <v>591</v>
      </c>
      <c r="E60" s="29">
        <v>13104</v>
      </c>
      <c r="F60" s="29" t="s">
        <v>609</v>
      </c>
      <c r="G60" s="263">
        <v>42068</v>
      </c>
      <c r="H60" s="29">
        <v>4</v>
      </c>
      <c r="I60" s="29">
        <v>23869</v>
      </c>
      <c r="J60" s="29">
        <v>28</v>
      </c>
      <c r="K60" s="29" t="e">
        <f>VLOOKUP(J60,#REF!,2,0)</f>
        <v>#REF!</v>
      </c>
      <c r="L60" s="29">
        <v>2037</v>
      </c>
      <c r="M60" s="29" t="s">
        <v>613</v>
      </c>
      <c r="N60" s="29">
        <v>2</v>
      </c>
      <c r="O60" s="29">
        <v>13.35</v>
      </c>
      <c r="P60" s="29">
        <v>341.99</v>
      </c>
      <c r="Q60" s="29">
        <v>225.17</v>
      </c>
      <c r="R60" s="29">
        <v>61.56</v>
      </c>
      <c r="S60" s="29">
        <v>628.72</v>
      </c>
      <c r="T60" s="29">
        <v>10</v>
      </c>
    </row>
    <row r="61" spans="2:20" hidden="1" outlineLevel="2">
      <c r="B61" s="29">
        <v>956918</v>
      </c>
      <c r="C61" s="29">
        <v>67</v>
      </c>
      <c r="D61" s="29" t="s">
        <v>591</v>
      </c>
      <c r="E61" s="29">
        <v>13104</v>
      </c>
      <c r="F61" s="29" t="s">
        <v>609</v>
      </c>
      <c r="G61" s="263">
        <v>42068</v>
      </c>
      <c r="H61" s="29">
        <v>4</v>
      </c>
      <c r="I61" s="29">
        <v>23869</v>
      </c>
      <c r="J61" s="29">
        <v>28</v>
      </c>
      <c r="K61" s="29" t="e">
        <f>VLOOKUP(J61,#REF!,2,0)</f>
        <v>#REF!</v>
      </c>
      <c r="L61" s="29">
        <v>2038</v>
      </c>
      <c r="M61" s="29" t="s">
        <v>614</v>
      </c>
      <c r="N61" s="29">
        <v>4</v>
      </c>
      <c r="O61" s="29">
        <v>20.16</v>
      </c>
      <c r="P61" s="29">
        <v>341.99</v>
      </c>
      <c r="Q61" s="29">
        <v>225.17</v>
      </c>
      <c r="R61" s="29">
        <v>61.56</v>
      </c>
      <c r="S61" s="29">
        <v>628.72</v>
      </c>
      <c r="T61" s="29">
        <v>10</v>
      </c>
    </row>
    <row r="62" spans="2:20" hidden="1" outlineLevel="2">
      <c r="B62" s="29">
        <v>956918</v>
      </c>
      <c r="C62" s="29">
        <v>67</v>
      </c>
      <c r="D62" s="29" t="s">
        <v>591</v>
      </c>
      <c r="E62" s="29">
        <v>13104</v>
      </c>
      <c r="F62" s="29" t="s">
        <v>609</v>
      </c>
      <c r="G62" s="263">
        <v>42068</v>
      </c>
      <c r="H62" s="29">
        <v>4</v>
      </c>
      <c r="I62" s="29">
        <v>23869</v>
      </c>
      <c r="J62" s="29">
        <v>28</v>
      </c>
      <c r="K62" s="29" t="e">
        <f>VLOOKUP(J62,#REF!,2,0)</f>
        <v>#REF!</v>
      </c>
      <c r="L62" s="29">
        <v>10340</v>
      </c>
      <c r="M62" s="29" t="s">
        <v>601</v>
      </c>
      <c r="N62" s="29">
        <v>6</v>
      </c>
      <c r="O62" s="29">
        <v>86.4</v>
      </c>
      <c r="P62" s="29">
        <v>341.99</v>
      </c>
      <c r="Q62" s="29">
        <v>225.17</v>
      </c>
      <c r="R62" s="29">
        <v>61.56</v>
      </c>
      <c r="S62" s="29">
        <v>628.72</v>
      </c>
      <c r="T62" s="29">
        <v>10</v>
      </c>
    </row>
    <row r="63" spans="2:20" hidden="1" outlineLevel="2">
      <c r="B63" s="29">
        <v>956918</v>
      </c>
      <c r="C63" s="29">
        <v>67</v>
      </c>
      <c r="D63" s="29" t="s">
        <v>591</v>
      </c>
      <c r="E63" s="29">
        <v>13104</v>
      </c>
      <c r="F63" s="29" t="s">
        <v>609</v>
      </c>
      <c r="G63" s="263">
        <v>42068</v>
      </c>
      <c r="H63" s="29">
        <v>4</v>
      </c>
      <c r="I63" s="29">
        <v>23869</v>
      </c>
      <c r="J63" s="29">
        <v>28</v>
      </c>
      <c r="K63" s="29" t="e">
        <f>VLOOKUP(J63,#REF!,2,0)</f>
        <v>#REF!</v>
      </c>
      <c r="L63" s="29">
        <v>15694</v>
      </c>
      <c r="M63" s="29" t="s">
        <v>615</v>
      </c>
      <c r="N63" s="29">
        <v>2</v>
      </c>
      <c r="O63" s="29">
        <v>70.73</v>
      </c>
      <c r="P63" s="29">
        <v>341.99</v>
      </c>
      <c r="Q63" s="29">
        <v>225.17</v>
      </c>
      <c r="R63" s="29">
        <v>61.56</v>
      </c>
      <c r="S63" s="29">
        <v>628.72</v>
      </c>
      <c r="T63" s="29">
        <v>10</v>
      </c>
    </row>
    <row r="64" spans="2:20" hidden="1" outlineLevel="2">
      <c r="B64" s="29">
        <v>956918</v>
      </c>
      <c r="C64" s="29">
        <v>67</v>
      </c>
      <c r="D64" s="29" t="s">
        <v>591</v>
      </c>
      <c r="E64" s="29">
        <v>13104</v>
      </c>
      <c r="F64" s="29" t="s">
        <v>609</v>
      </c>
      <c r="G64" s="263">
        <v>42068</v>
      </c>
      <c r="H64" s="29">
        <v>4</v>
      </c>
      <c r="I64" s="29">
        <v>23869</v>
      </c>
      <c r="J64" s="29">
        <v>28</v>
      </c>
      <c r="K64" s="29" t="e">
        <f>VLOOKUP(J64,#REF!,2,0)</f>
        <v>#REF!</v>
      </c>
      <c r="L64" s="29">
        <v>10569</v>
      </c>
      <c r="M64" s="29" t="s">
        <v>616</v>
      </c>
      <c r="N64" s="29">
        <v>3</v>
      </c>
      <c r="O64" s="29">
        <v>68.040000000000006</v>
      </c>
      <c r="P64" s="29">
        <v>341.99</v>
      </c>
      <c r="Q64" s="29">
        <v>225.17</v>
      </c>
      <c r="R64" s="29">
        <v>61.56</v>
      </c>
      <c r="S64" s="29">
        <v>628.72</v>
      </c>
      <c r="T64" s="29">
        <v>10</v>
      </c>
    </row>
    <row r="65" spans="2:20" hidden="1" outlineLevel="2">
      <c r="B65" s="29">
        <v>957125</v>
      </c>
      <c r="C65" s="29">
        <v>67</v>
      </c>
      <c r="D65" s="29" t="s">
        <v>591</v>
      </c>
      <c r="E65" s="29">
        <v>14050</v>
      </c>
      <c r="F65" s="29" t="s">
        <v>617</v>
      </c>
      <c r="G65" s="263">
        <v>42072</v>
      </c>
      <c r="H65" s="29">
        <v>4</v>
      </c>
      <c r="I65" s="29">
        <v>23984</v>
      </c>
      <c r="J65" s="29">
        <v>28</v>
      </c>
      <c r="K65" s="29" t="e">
        <f>VLOOKUP(J65,#REF!,2,0)</f>
        <v>#REF!</v>
      </c>
      <c r="L65" s="29">
        <v>5504</v>
      </c>
      <c r="M65" s="29" t="s">
        <v>594</v>
      </c>
      <c r="N65" s="29">
        <v>1</v>
      </c>
      <c r="O65" s="29">
        <v>6.18</v>
      </c>
      <c r="P65" s="29">
        <v>50.32</v>
      </c>
      <c r="Q65" s="29">
        <v>35.369999999999997</v>
      </c>
      <c r="R65" s="29">
        <v>9.06</v>
      </c>
      <c r="S65" s="29">
        <v>94.75</v>
      </c>
      <c r="T65" s="29">
        <v>5</v>
      </c>
    </row>
    <row r="66" spans="2:20" hidden="1" outlineLevel="2">
      <c r="B66" s="29">
        <v>957125</v>
      </c>
      <c r="C66" s="29">
        <v>67</v>
      </c>
      <c r="D66" s="29" t="s">
        <v>591</v>
      </c>
      <c r="E66" s="29">
        <v>14050</v>
      </c>
      <c r="F66" s="29" t="s">
        <v>617</v>
      </c>
      <c r="G66" s="263">
        <v>42072</v>
      </c>
      <c r="H66" s="29">
        <v>4</v>
      </c>
      <c r="I66" s="29">
        <v>23984</v>
      </c>
      <c r="J66" s="29">
        <v>28</v>
      </c>
      <c r="K66" s="29" t="e">
        <f>VLOOKUP(J66,#REF!,2,0)</f>
        <v>#REF!</v>
      </c>
      <c r="L66" s="29">
        <v>2043</v>
      </c>
      <c r="M66" s="29" t="s">
        <v>599</v>
      </c>
      <c r="N66" s="29">
        <v>1</v>
      </c>
      <c r="O66" s="29">
        <v>7.45</v>
      </c>
      <c r="P66" s="29">
        <v>50.32</v>
      </c>
      <c r="Q66" s="29">
        <v>35.369999999999997</v>
      </c>
      <c r="R66" s="29">
        <v>9.06</v>
      </c>
      <c r="S66" s="29">
        <v>94.75</v>
      </c>
      <c r="T66" s="29">
        <v>5</v>
      </c>
    </row>
    <row r="67" spans="2:20" hidden="1" outlineLevel="2">
      <c r="B67" s="29">
        <v>957125</v>
      </c>
      <c r="C67" s="29">
        <v>67</v>
      </c>
      <c r="D67" s="29" t="s">
        <v>591</v>
      </c>
      <c r="E67" s="29">
        <v>14050</v>
      </c>
      <c r="F67" s="29" t="s">
        <v>617</v>
      </c>
      <c r="G67" s="263">
        <v>42072</v>
      </c>
      <c r="H67" s="29">
        <v>4</v>
      </c>
      <c r="I67" s="29">
        <v>23984</v>
      </c>
      <c r="J67" s="29">
        <v>28</v>
      </c>
      <c r="K67" s="29" t="e">
        <f>VLOOKUP(J67,#REF!,2,0)</f>
        <v>#REF!</v>
      </c>
      <c r="L67" s="29">
        <v>15694</v>
      </c>
      <c r="M67" s="29" t="s">
        <v>615</v>
      </c>
      <c r="N67" s="29">
        <v>1</v>
      </c>
      <c r="O67" s="29">
        <v>35.369999999999997</v>
      </c>
      <c r="P67" s="29">
        <v>50.32</v>
      </c>
      <c r="Q67" s="29">
        <v>35.369999999999997</v>
      </c>
      <c r="R67" s="29">
        <v>9.06</v>
      </c>
      <c r="S67" s="29">
        <v>94.75</v>
      </c>
      <c r="T67" s="29">
        <v>5</v>
      </c>
    </row>
    <row r="68" spans="2:20" hidden="1" outlineLevel="2">
      <c r="B68" s="29">
        <v>957124</v>
      </c>
      <c r="C68" s="29">
        <v>67</v>
      </c>
      <c r="D68" s="29" t="s">
        <v>591</v>
      </c>
      <c r="E68" s="29">
        <v>15008</v>
      </c>
      <c r="F68" s="29" t="s">
        <v>618</v>
      </c>
      <c r="G68" s="263">
        <v>42072</v>
      </c>
      <c r="H68" s="29">
        <v>4</v>
      </c>
      <c r="I68" s="29">
        <v>23985</v>
      </c>
      <c r="J68" s="29">
        <v>28</v>
      </c>
      <c r="K68" s="29" t="e">
        <f>VLOOKUP(J68,#REF!,2,0)</f>
        <v>#REF!</v>
      </c>
      <c r="L68" s="29">
        <v>2870</v>
      </c>
      <c r="M68" s="29" t="s">
        <v>593</v>
      </c>
      <c r="N68" s="29">
        <v>6</v>
      </c>
      <c r="O68" s="29">
        <v>121.5</v>
      </c>
      <c r="P68" s="29">
        <v>455.28</v>
      </c>
      <c r="Q68" s="29">
        <v>174.07</v>
      </c>
      <c r="R68" s="29">
        <v>81.95</v>
      </c>
      <c r="S68" s="29">
        <v>711.3</v>
      </c>
      <c r="T68" s="29">
        <v>5</v>
      </c>
    </row>
    <row r="69" spans="2:20" hidden="1" outlineLevel="2">
      <c r="B69" s="29">
        <v>957124</v>
      </c>
      <c r="C69" s="29">
        <v>67</v>
      </c>
      <c r="D69" s="29" t="s">
        <v>591</v>
      </c>
      <c r="E69" s="29">
        <v>15008</v>
      </c>
      <c r="F69" s="29" t="s">
        <v>618</v>
      </c>
      <c r="G69" s="263">
        <v>42072</v>
      </c>
      <c r="H69" s="29">
        <v>4</v>
      </c>
      <c r="I69" s="29">
        <v>23985</v>
      </c>
      <c r="J69" s="29">
        <v>28</v>
      </c>
      <c r="K69" s="29" t="e">
        <f>VLOOKUP(J69,#REF!,2,0)</f>
        <v>#REF!</v>
      </c>
      <c r="L69" s="29">
        <v>8199</v>
      </c>
      <c r="M69" s="29" t="s">
        <v>612</v>
      </c>
      <c r="N69" s="29">
        <v>5</v>
      </c>
      <c r="O69" s="29">
        <v>31.53</v>
      </c>
      <c r="P69" s="29">
        <v>455.28</v>
      </c>
      <c r="Q69" s="29">
        <v>174.07</v>
      </c>
      <c r="R69" s="29">
        <v>81.95</v>
      </c>
      <c r="S69" s="29">
        <v>711.3</v>
      </c>
      <c r="T69" s="29">
        <v>5</v>
      </c>
    </row>
    <row r="70" spans="2:20" hidden="1" outlineLevel="2">
      <c r="B70" s="29">
        <v>957124</v>
      </c>
      <c r="C70" s="29">
        <v>67</v>
      </c>
      <c r="D70" s="29" t="s">
        <v>591</v>
      </c>
      <c r="E70" s="29">
        <v>15008</v>
      </c>
      <c r="F70" s="29" t="s">
        <v>618</v>
      </c>
      <c r="G70" s="263">
        <v>42072</v>
      </c>
      <c r="H70" s="29">
        <v>4</v>
      </c>
      <c r="I70" s="29">
        <v>23985</v>
      </c>
      <c r="J70" s="29">
        <v>28</v>
      </c>
      <c r="K70" s="29" t="e">
        <f>VLOOKUP(J70,#REF!,2,0)</f>
        <v>#REF!</v>
      </c>
      <c r="L70" s="29">
        <v>15694</v>
      </c>
      <c r="M70" s="29" t="s">
        <v>615</v>
      </c>
      <c r="N70" s="29">
        <v>5</v>
      </c>
      <c r="O70" s="29">
        <v>174.07</v>
      </c>
      <c r="P70" s="29">
        <v>455.28</v>
      </c>
      <c r="Q70" s="29">
        <v>174.07</v>
      </c>
      <c r="R70" s="29">
        <v>81.95</v>
      </c>
      <c r="S70" s="29">
        <v>711.3</v>
      </c>
      <c r="T70" s="29">
        <v>5</v>
      </c>
    </row>
    <row r="71" spans="2:20" hidden="1" outlineLevel="2">
      <c r="B71" s="29">
        <v>957124</v>
      </c>
      <c r="C71" s="29">
        <v>67</v>
      </c>
      <c r="D71" s="29" t="s">
        <v>591</v>
      </c>
      <c r="E71" s="29">
        <v>15008</v>
      </c>
      <c r="F71" s="29" t="s">
        <v>618</v>
      </c>
      <c r="G71" s="263">
        <v>42072</v>
      </c>
      <c r="H71" s="29">
        <v>4</v>
      </c>
      <c r="I71" s="29">
        <v>23985</v>
      </c>
      <c r="J71" s="29">
        <v>28</v>
      </c>
      <c r="K71" s="29" t="e">
        <f>VLOOKUP(J71,#REF!,2,0)</f>
        <v>#REF!</v>
      </c>
      <c r="L71" s="29">
        <v>5510</v>
      </c>
      <c r="M71" s="29" t="s">
        <v>603</v>
      </c>
      <c r="N71" s="29">
        <v>10</v>
      </c>
      <c r="O71" s="29">
        <v>109.89</v>
      </c>
      <c r="P71" s="29">
        <v>455.28</v>
      </c>
      <c r="Q71" s="29">
        <v>174.07</v>
      </c>
      <c r="R71" s="29">
        <v>81.95</v>
      </c>
      <c r="S71" s="29">
        <v>711.3</v>
      </c>
      <c r="T71" s="29">
        <v>5</v>
      </c>
    </row>
    <row r="72" spans="2:20" hidden="1" outlineLevel="2">
      <c r="B72" s="29">
        <v>957124</v>
      </c>
      <c r="C72" s="29">
        <v>67</v>
      </c>
      <c r="D72" s="29" t="s">
        <v>591</v>
      </c>
      <c r="E72" s="29">
        <v>15008</v>
      </c>
      <c r="F72" s="29" t="s">
        <v>618</v>
      </c>
      <c r="G72" s="263">
        <v>42072</v>
      </c>
      <c r="H72" s="29">
        <v>4</v>
      </c>
      <c r="I72" s="29">
        <v>23985</v>
      </c>
      <c r="J72" s="29">
        <v>28</v>
      </c>
      <c r="K72" s="29" t="e">
        <f>VLOOKUP(J72,#REF!,2,0)</f>
        <v>#REF!</v>
      </c>
      <c r="L72" s="29">
        <v>6926</v>
      </c>
      <c r="M72" s="29" t="s">
        <v>619</v>
      </c>
      <c r="N72" s="29">
        <v>20</v>
      </c>
      <c r="O72" s="29">
        <v>133.91999999999999</v>
      </c>
      <c r="P72" s="29">
        <v>455.28</v>
      </c>
      <c r="Q72" s="29">
        <v>174.07</v>
      </c>
      <c r="R72" s="29">
        <v>81.95</v>
      </c>
      <c r="S72" s="29">
        <v>711.3</v>
      </c>
      <c r="T72" s="29">
        <v>5</v>
      </c>
    </row>
    <row r="73" spans="2:20" hidden="1" outlineLevel="2">
      <c r="B73" s="29">
        <v>957128</v>
      </c>
      <c r="C73" s="29">
        <v>67</v>
      </c>
      <c r="D73" s="29" t="s">
        <v>591</v>
      </c>
      <c r="E73" s="29">
        <v>14401</v>
      </c>
      <c r="F73" s="29" t="s">
        <v>620</v>
      </c>
      <c r="G73" s="263">
        <v>42073</v>
      </c>
      <c r="H73" s="29">
        <v>4</v>
      </c>
      <c r="I73" s="29">
        <v>23999</v>
      </c>
      <c r="J73" s="29">
        <v>28</v>
      </c>
      <c r="K73" s="29" t="e">
        <f>VLOOKUP(J73,#REF!,2,0)</f>
        <v>#REF!</v>
      </c>
      <c r="L73" s="29">
        <v>5504</v>
      </c>
      <c r="M73" s="29" t="s">
        <v>594</v>
      </c>
      <c r="N73" s="29">
        <v>5</v>
      </c>
      <c r="O73" s="29">
        <v>29.61</v>
      </c>
      <c r="P73" s="29">
        <v>298.69</v>
      </c>
      <c r="Q73" s="29">
        <v>0</v>
      </c>
      <c r="R73" s="29">
        <v>53.76</v>
      </c>
      <c r="S73" s="29">
        <v>352.45</v>
      </c>
      <c r="T73" s="29">
        <v>8</v>
      </c>
    </row>
    <row r="74" spans="2:20" hidden="1" outlineLevel="2">
      <c r="B74" s="29">
        <v>957128</v>
      </c>
      <c r="C74" s="29">
        <v>67</v>
      </c>
      <c r="D74" s="29" t="s">
        <v>591</v>
      </c>
      <c r="E74" s="29">
        <v>14401</v>
      </c>
      <c r="F74" s="29" t="s">
        <v>620</v>
      </c>
      <c r="G74" s="263">
        <v>42073</v>
      </c>
      <c r="H74" s="29">
        <v>4</v>
      </c>
      <c r="I74" s="29">
        <v>23999</v>
      </c>
      <c r="J74" s="29">
        <v>28</v>
      </c>
      <c r="K74" s="29" t="e">
        <f>VLOOKUP(J74,#REF!,2,0)</f>
        <v>#REF!</v>
      </c>
      <c r="L74" s="29">
        <v>5504</v>
      </c>
      <c r="M74" s="29" t="s">
        <v>594</v>
      </c>
      <c r="N74" s="29">
        <v>3</v>
      </c>
      <c r="O74" s="29">
        <v>17.77</v>
      </c>
      <c r="P74" s="29">
        <v>298.69</v>
      </c>
      <c r="Q74" s="29">
        <v>0</v>
      </c>
      <c r="R74" s="29">
        <v>53.76</v>
      </c>
      <c r="S74" s="29">
        <v>352.45</v>
      </c>
      <c r="T74" s="29">
        <v>8</v>
      </c>
    </row>
    <row r="75" spans="2:20" hidden="1" outlineLevel="2">
      <c r="B75" s="29">
        <v>957128</v>
      </c>
      <c r="C75" s="29">
        <v>67</v>
      </c>
      <c r="D75" s="29" t="s">
        <v>591</v>
      </c>
      <c r="E75" s="29">
        <v>14401</v>
      </c>
      <c r="F75" s="29" t="s">
        <v>620</v>
      </c>
      <c r="G75" s="263">
        <v>42073</v>
      </c>
      <c r="H75" s="29">
        <v>4</v>
      </c>
      <c r="I75" s="29">
        <v>23999</v>
      </c>
      <c r="J75" s="29">
        <v>28</v>
      </c>
      <c r="K75" s="29" t="e">
        <f>VLOOKUP(J75,#REF!,2,0)</f>
        <v>#REF!</v>
      </c>
      <c r="L75" s="29">
        <v>8199</v>
      </c>
      <c r="M75" s="29" t="s">
        <v>612</v>
      </c>
      <c r="N75" s="29">
        <v>2</v>
      </c>
      <c r="O75" s="29">
        <v>13.22</v>
      </c>
      <c r="P75" s="29">
        <v>298.69</v>
      </c>
      <c r="Q75" s="29">
        <v>0</v>
      </c>
      <c r="R75" s="29">
        <v>53.76</v>
      </c>
      <c r="S75" s="29">
        <v>352.45</v>
      </c>
      <c r="T75" s="29">
        <v>8</v>
      </c>
    </row>
    <row r="76" spans="2:20" hidden="1" outlineLevel="2">
      <c r="B76" s="29">
        <v>957128</v>
      </c>
      <c r="C76" s="29">
        <v>67</v>
      </c>
      <c r="D76" s="29" t="s">
        <v>591</v>
      </c>
      <c r="E76" s="29">
        <v>14401</v>
      </c>
      <c r="F76" s="29" t="s">
        <v>620</v>
      </c>
      <c r="G76" s="263">
        <v>42073</v>
      </c>
      <c r="H76" s="29">
        <v>4</v>
      </c>
      <c r="I76" s="29">
        <v>23999</v>
      </c>
      <c r="J76" s="29">
        <v>28</v>
      </c>
      <c r="K76" s="29" t="e">
        <f>VLOOKUP(J76,#REF!,2,0)</f>
        <v>#REF!</v>
      </c>
      <c r="L76" s="29">
        <v>15249</v>
      </c>
      <c r="M76" s="29" t="s">
        <v>600</v>
      </c>
      <c r="N76" s="29">
        <v>1</v>
      </c>
      <c r="O76" s="29">
        <v>14.85</v>
      </c>
      <c r="P76" s="29">
        <v>298.69</v>
      </c>
      <c r="Q76" s="29">
        <v>0</v>
      </c>
      <c r="R76" s="29">
        <v>53.76</v>
      </c>
      <c r="S76" s="29">
        <v>352.45</v>
      </c>
      <c r="T76" s="29">
        <v>8</v>
      </c>
    </row>
    <row r="77" spans="2:20" hidden="1" outlineLevel="2">
      <c r="B77" s="29">
        <v>957289</v>
      </c>
      <c r="C77" s="29">
        <v>67</v>
      </c>
      <c r="D77" s="29" t="s">
        <v>591</v>
      </c>
      <c r="E77" s="29">
        <v>10139</v>
      </c>
      <c r="F77" s="29" t="s">
        <v>621</v>
      </c>
      <c r="G77" s="263">
        <v>42073</v>
      </c>
      <c r="H77" s="29">
        <v>4</v>
      </c>
      <c r="I77" s="29">
        <v>24082</v>
      </c>
      <c r="J77" s="29">
        <v>28</v>
      </c>
      <c r="K77" s="29" t="e">
        <f>VLOOKUP(J77,#REF!,2,0)</f>
        <v>#REF!</v>
      </c>
      <c r="L77" s="29">
        <v>10340</v>
      </c>
      <c r="M77" s="29" t="s">
        <v>601</v>
      </c>
      <c r="N77" s="29">
        <v>25</v>
      </c>
      <c r="O77" s="29">
        <v>345.6</v>
      </c>
      <c r="P77" s="29">
        <v>0</v>
      </c>
      <c r="Q77" s="29">
        <v>345.6</v>
      </c>
      <c r="R77" s="29">
        <v>0</v>
      </c>
      <c r="S77" s="29">
        <v>345.6</v>
      </c>
      <c r="T77" s="29">
        <v>8</v>
      </c>
    </row>
    <row r="78" spans="2:20" hidden="1" outlineLevel="2">
      <c r="B78" s="29">
        <v>957290</v>
      </c>
      <c r="C78" s="29">
        <v>67</v>
      </c>
      <c r="D78" s="29" t="s">
        <v>591</v>
      </c>
      <c r="E78" s="29">
        <v>13740</v>
      </c>
      <c r="F78" s="29" t="s">
        <v>622</v>
      </c>
      <c r="G78" s="263">
        <v>42073</v>
      </c>
      <c r="H78" s="29">
        <v>4</v>
      </c>
      <c r="I78" s="29">
        <v>24083</v>
      </c>
      <c r="J78" s="29">
        <v>28</v>
      </c>
      <c r="K78" s="29" t="e">
        <f>VLOOKUP(J78,#REF!,2,0)</f>
        <v>#REF!</v>
      </c>
      <c r="L78" s="29">
        <v>8198</v>
      </c>
      <c r="M78" s="29" t="s">
        <v>611</v>
      </c>
      <c r="N78" s="29">
        <v>1</v>
      </c>
      <c r="O78" s="29">
        <v>5.04</v>
      </c>
      <c r="P78" s="29">
        <v>100.47</v>
      </c>
      <c r="Q78" s="29">
        <v>0</v>
      </c>
      <c r="R78" s="29">
        <v>18.079999999999998</v>
      </c>
      <c r="S78" s="29">
        <v>118.55</v>
      </c>
      <c r="T78" s="29">
        <v>8</v>
      </c>
    </row>
    <row r="79" spans="2:20" hidden="1" outlineLevel="2">
      <c r="B79" s="29">
        <v>957440</v>
      </c>
      <c r="C79" s="29">
        <v>67</v>
      </c>
      <c r="D79" s="29" t="s">
        <v>591</v>
      </c>
      <c r="E79" s="29">
        <v>15484</v>
      </c>
      <c r="F79" s="29" t="s">
        <v>623</v>
      </c>
      <c r="G79" s="263">
        <v>42074</v>
      </c>
      <c r="H79" s="29">
        <v>4</v>
      </c>
      <c r="I79" s="29">
        <v>24188</v>
      </c>
      <c r="J79" s="29">
        <v>28</v>
      </c>
      <c r="K79" s="29" t="e">
        <f>VLOOKUP(J79,#REF!,2,0)</f>
        <v>#REF!</v>
      </c>
      <c r="L79" s="29">
        <v>2870</v>
      </c>
      <c r="M79" s="29" t="s">
        <v>593</v>
      </c>
      <c r="N79" s="29">
        <v>1</v>
      </c>
      <c r="O79" s="29">
        <v>20.79</v>
      </c>
      <c r="P79" s="29">
        <v>443.05</v>
      </c>
      <c r="Q79" s="29">
        <v>0</v>
      </c>
      <c r="R79" s="29">
        <v>79.75</v>
      </c>
      <c r="S79" s="29">
        <v>522.79999999999995</v>
      </c>
      <c r="T79" s="29">
        <v>19</v>
      </c>
    </row>
    <row r="80" spans="2:20" hidden="1" outlineLevel="2">
      <c r="B80" s="29">
        <v>957440</v>
      </c>
      <c r="C80" s="29">
        <v>67</v>
      </c>
      <c r="D80" s="29" t="s">
        <v>591</v>
      </c>
      <c r="E80" s="29">
        <v>15484</v>
      </c>
      <c r="F80" s="29" t="s">
        <v>623</v>
      </c>
      <c r="G80" s="263">
        <v>42074</v>
      </c>
      <c r="H80" s="29">
        <v>4</v>
      </c>
      <c r="I80" s="29">
        <v>24188</v>
      </c>
      <c r="J80" s="29">
        <v>28</v>
      </c>
      <c r="K80" s="29" t="e">
        <f>VLOOKUP(J80,#REF!,2,0)</f>
        <v>#REF!</v>
      </c>
      <c r="L80" s="29">
        <v>2021</v>
      </c>
      <c r="M80" s="29" t="s">
        <v>624</v>
      </c>
      <c r="N80" s="29">
        <v>5</v>
      </c>
      <c r="O80" s="29">
        <v>13.14</v>
      </c>
      <c r="P80" s="29">
        <v>443.05</v>
      </c>
      <c r="Q80" s="29">
        <v>0</v>
      </c>
      <c r="R80" s="29">
        <v>79.75</v>
      </c>
      <c r="S80" s="29">
        <v>522.79999999999995</v>
      </c>
      <c r="T80" s="29">
        <v>19</v>
      </c>
    </row>
    <row r="81" spans="2:20" hidden="1" outlineLevel="2">
      <c r="B81" s="29">
        <v>957440</v>
      </c>
      <c r="C81" s="29">
        <v>67</v>
      </c>
      <c r="D81" s="29" t="s">
        <v>591</v>
      </c>
      <c r="E81" s="29">
        <v>15484</v>
      </c>
      <c r="F81" s="29" t="s">
        <v>623</v>
      </c>
      <c r="G81" s="263">
        <v>42074</v>
      </c>
      <c r="H81" s="29">
        <v>4</v>
      </c>
      <c r="I81" s="29">
        <v>24188</v>
      </c>
      <c r="J81" s="29">
        <v>28</v>
      </c>
      <c r="K81" s="29" t="e">
        <f>VLOOKUP(J81,#REF!,2,0)</f>
        <v>#REF!</v>
      </c>
      <c r="L81" s="29">
        <v>2045</v>
      </c>
      <c r="M81" s="29" t="s">
        <v>625</v>
      </c>
      <c r="N81" s="29">
        <v>1</v>
      </c>
      <c r="O81" s="29">
        <v>13.77</v>
      </c>
      <c r="P81" s="29">
        <v>443.05</v>
      </c>
      <c r="Q81" s="29">
        <v>0</v>
      </c>
      <c r="R81" s="29">
        <v>79.75</v>
      </c>
      <c r="S81" s="29">
        <v>522.79999999999995</v>
      </c>
      <c r="T81" s="29">
        <v>19</v>
      </c>
    </row>
    <row r="82" spans="2:20" hidden="1" outlineLevel="2">
      <c r="B82" s="29">
        <v>957440</v>
      </c>
      <c r="C82" s="29">
        <v>67</v>
      </c>
      <c r="D82" s="29" t="s">
        <v>591</v>
      </c>
      <c r="E82" s="29">
        <v>15484</v>
      </c>
      <c r="F82" s="29" t="s">
        <v>623</v>
      </c>
      <c r="G82" s="263">
        <v>42074</v>
      </c>
      <c r="H82" s="29">
        <v>4</v>
      </c>
      <c r="I82" s="29">
        <v>24188</v>
      </c>
      <c r="J82" s="29">
        <v>28</v>
      </c>
      <c r="K82" s="29" t="e">
        <f>VLOOKUP(J82,#REF!,2,0)</f>
        <v>#REF!</v>
      </c>
      <c r="L82" s="29">
        <v>3344</v>
      </c>
      <c r="M82" s="29" t="s">
        <v>626</v>
      </c>
      <c r="N82" s="29">
        <v>1</v>
      </c>
      <c r="O82" s="29">
        <v>12.18</v>
      </c>
      <c r="P82" s="29">
        <v>443.05</v>
      </c>
      <c r="Q82" s="29">
        <v>0</v>
      </c>
      <c r="R82" s="29">
        <v>79.75</v>
      </c>
      <c r="S82" s="29">
        <v>522.79999999999995</v>
      </c>
      <c r="T82" s="29">
        <v>19</v>
      </c>
    </row>
    <row r="83" spans="2:20" hidden="1" outlineLevel="2">
      <c r="B83" s="29">
        <v>957440</v>
      </c>
      <c r="C83" s="29">
        <v>67</v>
      </c>
      <c r="D83" s="29" t="s">
        <v>591</v>
      </c>
      <c r="E83" s="29">
        <v>15484</v>
      </c>
      <c r="F83" s="29" t="s">
        <v>623</v>
      </c>
      <c r="G83" s="263">
        <v>42074</v>
      </c>
      <c r="H83" s="29">
        <v>4</v>
      </c>
      <c r="I83" s="29">
        <v>24188</v>
      </c>
      <c r="J83" s="29">
        <v>28</v>
      </c>
      <c r="K83" s="29" t="e">
        <f>VLOOKUP(J83,#REF!,2,0)</f>
        <v>#REF!</v>
      </c>
      <c r="L83" s="29">
        <v>3346</v>
      </c>
      <c r="M83" s="29" t="s">
        <v>602</v>
      </c>
      <c r="N83" s="29">
        <v>2</v>
      </c>
      <c r="O83" s="29">
        <v>6.99</v>
      </c>
      <c r="P83" s="29">
        <v>443.05</v>
      </c>
      <c r="Q83" s="29">
        <v>0</v>
      </c>
      <c r="R83" s="29">
        <v>79.75</v>
      </c>
      <c r="S83" s="29">
        <v>522.79999999999995</v>
      </c>
      <c r="T83" s="29">
        <v>19</v>
      </c>
    </row>
    <row r="84" spans="2:20" hidden="1" outlineLevel="2">
      <c r="B84" s="29">
        <v>957440</v>
      </c>
      <c r="C84" s="29">
        <v>67</v>
      </c>
      <c r="D84" s="29" t="s">
        <v>591</v>
      </c>
      <c r="E84" s="29">
        <v>15484</v>
      </c>
      <c r="F84" s="29" t="s">
        <v>623</v>
      </c>
      <c r="G84" s="263">
        <v>42074</v>
      </c>
      <c r="H84" s="29">
        <v>4</v>
      </c>
      <c r="I84" s="29">
        <v>24188</v>
      </c>
      <c r="J84" s="29">
        <v>28</v>
      </c>
      <c r="K84" s="29" t="e">
        <f>VLOOKUP(J84,#REF!,2,0)</f>
        <v>#REF!</v>
      </c>
      <c r="L84" s="29">
        <v>6926</v>
      </c>
      <c r="M84" s="29" t="s">
        <v>619</v>
      </c>
      <c r="N84" s="29">
        <v>6</v>
      </c>
      <c r="O84" s="29">
        <v>40.82</v>
      </c>
      <c r="P84" s="29">
        <v>443.05</v>
      </c>
      <c r="Q84" s="29">
        <v>0</v>
      </c>
      <c r="R84" s="29">
        <v>79.75</v>
      </c>
      <c r="S84" s="29">
        <v>522.79999999999995</v>
      </c>
      <c r="T84" s="29">
        <v>19</v>
      </c>
    </row>
    <row r="85" spans="2:20" hidden="1" outlineLevel="2">
      <c r="B85" s="29">
        <v>957440</v>
      </c>
      <c r="C85" s="29">
        <v>67</v>
      </c>
      <c r="D85" s="29" t="s">
        <v>591</v>
      </c>
      <c r="E85" s="29">
        <v>15484</v>
      </c>
      <c r="F85" s="29" t="s">
        <v>623</v>
      </c>
      <c r="G85" s="263">
        <v>42074</v>
      </c>
      <c r="H85" s="29">
        <v>4</v>
      </c>
      <c r="I85" s="29">
        <v>24188</v>
      </c>
      <c r="J85" s="29">
        <v>28</v>
      </c>
      <c r="K85" s="29" t="e">
        <f>VLOOKUP(J85,#REF!,2,0)</f>
        <v>#REF!</v>
      </c>
      <c r="L85" s="29">
        <v>3349</v>
      </c>
      <c r="M85" s="29" t="s">
        <v>627</v>
      </c>
      <c r="N85" s="29">
        <v>6</v>
      </c>
      <c r="O85" s="29">
        <v>23.17</v>
      </c>
      <c r="P85" s="29">
        <v>443.05</v>
      </c>
      <c r="Q85" s="29">
        <v>0</v>
      </c>
      <c r="R85" s="29">
        <v>79.75</v>
      </c>
      <c r="S85" s="29">
        <v>522.79999999999995</v>
      </c>
      <c r="T85" s="29">
        <v>19</v>
      </c>
    </row>
    <row r="86" spans="2:20" hidden="1" outlineLevel="2">
      <c r="B86" s="29">
        <v>959085</v>
      </c>
      <c r="C86" s="29">
        <v>67</v>
      </c>
      <c r="D86" s="29" t="s">
        <v>591</v>
      </c>
      <c r="E86" s="29">
        <v>13104</v>
      </c>
      <c r="F86" s="29" t="s">
        <v>609</v>
      </c>
      <c r="G86" s="263">
        <v>42088</v>
      </c>
      <c r="H86" s="29">
        <v>4</v>
      </c>
      <c r="I86" s="29">
        <v>25141</v>
      </c>
      <c r="J86" s="29">
        <v>28</v>
      </c>
      <c r="K86" s="29" t="e">
        <f>VLOOKUP(J86,#REF!,2,0)</f>
        <v>#REF!</v>
      </c>
      <c r="L86" s="29">
        <v>3342</v>
      </c>
      <c r="M86" s="29" t="s">
        <v>628</v>
      </c>
      <c r="N86" s="29">
        <v>5</v>
      </c>
      <c r="O86" s="29">
        <v>66.150000000000006</v>
      </c>
      <c r="P86" s="29">
        <v>377.23</v>
      </c>
      <c r="Q86" s="29">
        <v>0</v>
      </c>
      <c r="R86" s="29">
        <v>67.900000000000006</v>
      </c>
      <c r="S86" s="29">
        <v>445.13</v>
      </c>
      <c r="T86" s="29">
        <v>10</v>
      </c>
    </row>
    <row r="87" spans="2:20" hidden="1" outlineLevel="2">
      <c r="B87" s="29">
        <v>959092</v>
      </c>
      <c r="C87" s="29">
        <v>67</v>
      </c>
      <c r="D87" s="29" t="s">
        <v>591</v>
      </c>
      <c r="E87" s="29">
        <v>14160</v>
      </c>
      <c r="F87" s="29" t="s">
        <v>629</v>
      </c>
      <c r="G87" s="263">
        <v>42088</v>
      </c>
      <c r="H87" s="29">
        <v>4</v>
      </c>
      <c r="I87" s="29">
        <v>25145</v>
      </c>
      <c r="J87" s="29">
        <v>28</v>
      </c>
      <c r="K87" s="29" t="e">
        <f>VLOOKUP(J87,#REF!,2,0)</f>
        <v>#REF!</v>
      </c>
      <c r="L87" s="29">
        <v>3342</v>
      </c>
      <c r="M87" s="29" t="s">
        <v>628</v>
      </c>
      <c r="N87" s="29">
        <v>2</v>
      </c>
      <c r="O87" s="29">
        <v>26.84</v>
      </c>
      <c r="P87" s="29">
        <v>110.12</v>
      </c>
      <c r="Q87" s="29">
        <v>0</v>
      </c>
      <c r="R87" s="29">
        <v>19.82</v>
      </c>
      <c r="S87" s="29">
        <v>129.94</v>
      </c>
      <c r="T87" s="29">
        <v>11</v>
      </c>
    </row>
    <row r="88" spans="2:20" hidden="1" outlineLevel="2">
      <c r="B88" s="29">
        <v>959092</v>
      </c>
      <c r="C88" s="29">
        <v>67</v>
      </c>
      <c r="D88" s="29" t="s">
        <v>591</v>
      </c>
      <c r="E88" s="29">
        <v>14160</v>
      </c>
      <c r="F88" s="29" t="s">
        <v>629</v>
      </c>
      <c r="G88" s="263">
        <v>42088</v>
      </c>
      <c r="H88" s="29">
        <v>4</v>
      </c>
      <c r="I88" s="29">
        <v>25145</v>
      </c>
      <c r="J88" s="29">
        <v>28</v>
      </c>
      <c r="K88" s="29" t="e">
        <f>VLOOKUP(J88,#REF!,2,0)</f>
        <v>#REF!</v>
      </c>
      <c r="L88" s="29">
        <v>3345</v>
      </c>
      <c r="M88" s="29" t="s">
        <v>630</v>
      </c>
      <c r="N88" s="29">
        <v>2</v>
      </c>
      <c r="O88" s="29">
        <v>11.37</v>
      </c>
      <c r="P88" s="29">
        <v>110.12</v>
      </c>
      <c r="Q88" s="29">
        <v>0</v>
      </c>
      <c r="R88" s="29">
        <v>19.82</v>
      </c>
      <c r="S88" s="29">
        <v>129.94</v>
      </c>
      <c r="T88" s="29">
        <v>11</v>
      </c>
    </row>
    <row r="89" spans="2:20" hidden="1" outlineLevel="2">
      <c r="B89" s="29">
        <v>959113</v>
      </c>
      <c r="C89" s="29">
        <v>67</v>
      </c>
      <c r="D89" s="29" t="s">
        <v>591</v>
      </c>
      <c r="E89" s="29">
        <v>14401</v>
      </c>
      <c r="F89" s="29" t="s">
        <v>620</v>
      </c>
      <c r="G89" s="263">
        <v>42088</v>
      </c>
      <c r="H89" s="29">
        <v>4</v>
      </c>
      <c r="I89" s="29">
        <v>25154</v>
      </c>
      <c r="J89" s="29">
        <v>28</v>
      </c>
      <c r="K89" s="29" t="e">
        <f>VLOOKUP(J89,#REF!,2,0)</f>
        <v>#REF!</v>
      </c>
      <c r="L89" s="29">
        <v>9993</v>
      </c>
      <c r="M89" s="29" t="s">
        <v>598</v>
      </c>
      <c r="N89" s="29">
        <v>5</v>
      </c>
      <c r="O89" s="29">
        <v>62.6</v>
      </c>
      <c r="P89" s="29">
        <v>299.81</v>
      </c>
      <c r="Q89" s="29">
        <v>0</v>
      </c>
      <c r="R89" s="29">
        <v>53.97</v>
      </c>
      <c r="S89" s="29">
        <v>353.78</v>
      </c>
      <c r="T89" s="29">
        <v>8</v>
      </c>
    </row>
    <row r="90" spans="2:20" hidden="1" outlineLevel="2">
      <c r="B90" s="29">
        <v>959113</v>
      </c>
      <c r="C90" s="29">
        <v>67</v>
      </c>
      <c r="D90" s="29" t="s">
        <v>591</v>
      </c>
      <c r="E90" s="29">
        <v>14401</v>
      </c>
      <c r="F90" s="29" t="s">
        <v>620</v>
      </c>
      <c r="G90" s="263">
        <v>42088</v>
      </c>
      <c r="H90" s="29">
        <v>4</v>
      </c>
      <c r="I90" s="29">
        <v>25154</v>
      </c>
      <c r="J90" s="29">
        <v>28</v>
      </c>
      <c r="K90" s="29" t="e">
        <f>VLOOKUP(J90,#REF!,2,0)</f>
        <v>#REF!</v>
      </c>
      <c r="L90" s="29">
        <v>3342</v>
      </c>
      <c r="M90" s="29" t="s">
        <v>628</v>
      </c>
      <c r="N90" s="29">
        <v>5</v>
      </c>
      <c r="O90" s="29">
        <v>66.150000000000006</v>
      </c>
      <c r="P90" s="29">
        <v>299.81</v>
      </c>
      <c r="Q90" s="29">
        <v>0</v>
      </c>
      <c r="R90" s="29">
        <v>53.97</v>
      </c>
      <c r="S90" s="29">
        <v>353.78</v>
      </c>
      <c r="T90" s="29">
        <v>8</v>
      </c>
    </row>
    <row r="91" spans="2:20" hidden="1" outlineLevel="2">
      <c r="B91" s="29">
        <v>959146</v>
      </c>
      <c r="C91" s="29">
        <v>67</v>
      </c>
      <c r="D91" s="29" t="s">
        <v>591</v>
      </c>
      <c r="E91" s="29">
        <v>13740</v>
      </c>
      <c r="F91" s="29" t="s">
        <v>622</v>
      </c>
      <c r="G91" s="263">
        <v>42088</v>
      </c>
      <c r="H91" s="29">
        <v>4</v>
      </c>
      <c r="I91" s="29">
        <v>25188</v>
      </c>
      <c r="J91" s="29">
        <v>28</v>
      </c>
      <c r="K91" s="29" t="e">
        <f>VLOOKUP(J91,#REF!,2,0)</f>
        <v>#REF!</v>
      </c>
      <c r="L91" s="29">
        <v>9993</v>
      </c>
      <c r="M91" s="29" t="s">
        <v>598</v>
      </c>
      <c r="N91" s="29">
        <v>1</v>
      </c>
      <c r="O91" s="29">
        <v>12.52</v>
      </c>
      <c r="P91" s="29">
        <v>213.73</v>
      </c>
      <c r="Q91" s="29">
        <v>0</v>
      </c>
      <c r="R91" s="29">
        <v>38.47</v>
      </c>
      <c r="S91" s="29">
        <v>252.2</v>
      </c>
      <c r="T91" s="29">
        <v>8</v>
      </c>
    </row>
    <row r="92" spans="2:20" hidden="1" outlineLevel="2">
      <c r="B92" s="29">
        <v>959066</v>
      </c>
      <c r="C92" s="29">
        <v>67</v>
      </c>
      <c r="D92" s="29" t="s">
        <v>591</v>
      </c>
      <c r="E92" s="29">
        <v>13077</v>
      </c>
      <c r="F92" s="29" t="s">
        <v>631</v>
      </c>
      <c r="G92" s="263">
        <v>42088</v>
      </c>
      <c r="H92" s="29">
        <v>4</v>
      </c>
      <c r="I92" s="29">
        <v>25111</v>
      </c>
      <c r="J92" s="29">
        <v>28</v>
      </c>
      <c r="K92" s="29" t="e">
        <f>VLOOKUP(J92,#REF!,2,0)</f>
        <v>#REF!</v>
      </c>
      <c r="L92" s="29">
        <v>2037</v>
      </c>
      <c r="M92" s="29" t="s">
        <v>613</v>
      </c>
      <c r="N92" s="29">
        <v>5</v>
      </c>
      <c r="O92" s="29">
        <v>32.700000000000003</v>
      </c>
      <c r="P92" s="29">
        <v>3287.93</v>
      </c>
      <c r="Q92" s="29">
        <v>0</v>
      </c>
      <c r="R92" s="29">
        <v>591.83000000000004</v>
      </c>
      <c r="S92" s="29">
        <v>3879.76</v>
      </c>
      <c r="T92" s="29">
        <v>14</v>
      </c>
    </row>
    <row r="93" spans="2:20" hidden="1" outlineLevel="2">
      <c r="B93" s="29">
        <v>959066</v>
      </c>
      <c r="C93" s="29">
        <v>67</v>
      </c>
      <c r="D93" s="29" t="s">
        <v>591</v>
      </c>
      <c r="E93" s="29">
        <v>13077</v>
      </c>
      <c r="F93" s="29" t="s">
        <v>631</v>
      </c>
      <c r="G93" s="263">
        <v>42088</v>
      </c>
      <c r="H93" s="29">
        <v>4</v>
      </c>
      <c r="I93" s="29">
        <v>25111</v>
      </c>
      <c r="J93" s="29">
        <v>28</v>
      </c>
      <c r="K93" s="29" t="e">
        <f>VLOOKUP(J93,#REF!,2,0)</f>
        <v>#REF!</v>
      </c>
      <c r="L93" s="29">
        <v>2038</v>
      </c>
      <c r="M93" s="29" t="s">
        <v>614</v>
      </c>
      <c r="N93" s="29">
        <v>5</v>
      </c>
      <c r="O93" s="29">
        <v>24.7</v>
      </c>
      <c r="P93" s="29">
        <v>3287.93</v>
      </c>
      <c r="Q93" s="29">
        <v>0</v>
      </c>
      <c r="R93" s="29">
        <v>591.83000000000004</v>
      </c>
      <c r="S93" s="29">
        <v>3879.76</v>
      </c>
      <c r="T93" s="29">
        <v>14</v>
      </c>
    </row>
    <row r="94" spans="2:20" hidden="1" outlineLevel="2">
      <c r="B94" s="29">
        <v>959066</v>
      </c>
      <c r="C94" s="29">
        <v>67</v>
      </c>
      <c r="D94" s="29" t="s">
        <v>591</v>
      </c>
      <c r="E94" s="29">
        <v>13077</v>
      </c>
      <c r="F94" s="29" t="s">
        <v>631</v>
      </c>
      <c r="G94" s="263">
        <v>42088</v>
      </c>
      <c r="H94" s="29">
        <v>4</v>
      </c>
      <c r="I94" s="29">
        <v>25111</v>
      </c>
      <c r="J94" s="29">
        <v>28</v>
      </c>
      <c r="K94" s="29" t="e">
        <f>VLOOKUP(J94,#REF!,2,0)</f>
        <v>#REF!</v>
      </c>
      <c r="L94" s="29">
        <v>2043</v>
      </c>
      <c r="M94" s="29" t="s">
        <v>599</v>
      </c>
      <c r="N94" s="29">
        <v>5</v>
      </c>
      <c r="O94" s="29">
        <v>36.51</v>
      </c>
      <c r="P94" s="29">
        <v>3287.93</v>
      </c>
      <c r="Q94" s="29">
        <v>0</v>
      </c>
      <c r="R94" s="29">
        <v>591.83000000000004</v>
      </c>
      <c r="S94" s="29">
        <v>3879.76</v>
      </c>
      <c r="T94" s="29">
        <v>14</v>
      </c>
    </row>
    <row r="95" spans="2:20" hidden="1" outlineLevel="2">
      <c r="B95" s="29">
        <v>956733</v>
      </c>
      <c r="C95" s="29">
        <v>67</v>
      </c>
      <c r="D95" s="29" t="s">
        <v>591</v>
      </c>
      <c r="E95" s="29">
        <v>17063</v>
      </c>
      <c r="F95" s="29" t="s">
        <v>632</v>
      </c>
      <c r="G95" s="263">
        <v>42088</v>
      </c>
      <c r="H95" s="29">
        <v>4</v>
      </c>
      <c r="I95" s="29">
        <v>25121</v>
      </c>
      <c r="J95" s="29">
        <v>28</v>
      </c>
      <c r="K95" s="29" t="e">
        <f>VLOOKUP(J95,#REF!,2,0)</f>
        <v>#REF!</v>
      </c>
      <c r="L95" s="29">
        <v>2018</v>
      </c>
      <c r="M95" s="29" t="s">
        <v>595</v>
      </c>
      <c r="N95" s="29">
        <v>1</v>
      </c>
      <c r="O95" s="29">
        <v>13.25</v>
      </c>
      <c r="P95" s="29">
        <v>162.75</v>
      </c>
      <c r="Q95" s="29">
        <v>14.4</v>
      </c>
      <c r="R95" s="29">
        <v>29.3</v>
      </c>
      <c r="S95" s="29">
        <v>206.45</v>
      </c>
      <c r="T95" s="29">
        <v>19</v>
      </c>
    </row>
    <row r="96" spans="2:20" hidden="1" outlineLevel="2">
      <c r="B96" s="29">
        <v>956733</v>
      </c>
      <c r="C96" s="29">
        <v>67</v>
      </c>
      <c r="D96" s="29" t="s">
        <v>591</v>
      </c>
      <c r="E96" s="29">
        <v>17063</v>
      </c>
      <c r="F96" s="29" t="s">
        <v>632</v>
      </c>
      <c r="G96" s="263">
        <v>42088</v>
      </c>
      <c r="H96" s="29">
        <v>4</v>
      </c>
      <c r="I96" s="29">
        <v>25121</v>
      </c>
      <c r="J96" s="29">
        <v>28</v>
      </c>
      <c r="K96" s="29" t="e">
        <f>VLOOKUP(J96,#REF!,2,0)</f>
        <v>#REF!</v>
      </c>
      <c r="L96" s="29">
        <v>8198</v>
      </c>
      <c r="M96" s="29" t="s">
        <v>611</v>
      </c>
      <c r="N96" s="29">
        <v>1</v>
      </c>
      <c r="O96" s="29">
        <v>5.04</v>
      </c>
      <c r="P96" s="29">
        <v>162.75</v>
      </c>
      <c r="Q96" s="29">
        <v>14.4</v>
      </c>
      <c r="R96" s="29">
        <v>29.3</v>
      </c>
      <c r="S96" s="29">
        <v>206.45</v>
      </c>
      <c r="T96" s="29">
        <v>19</v>
      </c>
    </row>
    <row r="97" spans="2:20" hidden="1" outlineLevel="2">
      <c r="B97" s="29">
        <v>956733</v>
      </c>
      <c r="C97" s="29">
        <v>67</v>
      </c>
      <c r="D97" s="29" t="s">
        <v>591</v>
      </c>
      <c r="E97" s="29">
        <v>17063</v>
      </c>
      <c r="F97" s="29" t="s">
        <v>632</v>
      </c>
      <c r="G97" s="263">
        <v>42088</v>
      </c>
      <c r="H97" s="29">
        <v>4</v>
      </c>
      <c r="I97" s="29">
        <v>25121</v>
      </c>
      <c r="J97" s="29">
        <v>28</v>
      </c>
      <c r="K97" s="29" t="e">
        <f>VLOOKUP(J97,#REF!,2,0)</f>
        <v>#REF!</v>
      </c>
      <c r="L97" s="29">
        <v>8199</v>
      </c>
      <c r="M97" s="29" t="s">
        <v>612</v>
      </c>
      <c r="N97" s="29">
        <v>1</v>
      </c>
      <c r="O97" s="29">
        <v>6.61</v>
      </c>
      <c r="P97" s="29">
        <v>162.75</v>
      </c>
      <c r="Q97" s="29">
        <v>14.4</v>
      </c>
      <c r="R97" s="29">
        <v>29.3</v>
      </c>
      <c r="S97" s="29">
        <v>206.45</v>
      </c>
      <c r="T97" s="29">
        <v>19</v>
      </c>
    </row>
    <row r="98" spans="2:20" hidden="1" outlineLevel="2">
      <c r="B98" s="29">
        <v>956733</v>
      </c>
      <c r="C98" s="29">
        <v>67</v>
      </c>
      <c r="D98" s="29" t="s">
        <v>591</v>
      </c>
      <c r="E98" s="29">
        <v>17063</v>
      </c>
      <c r="F98" s="29" t="s">
        <v>632</v>
      </c>
      <c r="G98" s="263">
        <v>42088</v>
      </c>
      <c r="H98" s="29">
        <v>4</v>
      </c>
      <c r="I98" s="29">
        <v>25121</v>
      </c>
      <c r="J98" s="29">
        <v>28</v>
      </c>
      <c r="K98" s="29" t="e">
        <f>VLOOKUP(J98,#REF!,2,0)</f>
        <v>#REF!</v>
      </c>
      <c r="L98" s="29">
        <v>2037</v>
      </c>
      <c r="M98" s="29" t="s">
        <v>613</v>
      </c>
      <c r="N98" s="29">
        <v>1</v>
      </c>
      <c r="O98" s="29">
        <v>6.67</v>
      </c>
      <c r="P98" s="29">
        <v>162.75</v>
      </c>
      <c r="Q98" s="29">
        <v>14.4</v>
      </c>
      <c r="R98" s="29">
        <v>29.3</v>
      </c>
      <c r="S98" s="29">
        <v>206.45</v>
      </c>
      <c r="T98" s="29">
        <v>19</v>
      </c>
    </row>
    <row r="99" spans="2:20" hidden="1" outlineLevel="2">
      <c r="B99" s="29">
        <v>956733</v>
      </c>
      <c r="C99" s="29">
        <v>67</v>
      </c>
      <c r="D99" s="29" t="s">
        <v>591</v>
      </c>
      <c r="E99" s="29">
        <v>17063</v>
      </c>
      <c r="F99" s="29" t="s">
        <v>632</v>
      </c>
      <c r="G99" s="263">
        <v>42088</v>
      </c>
      <c r="H99" s="29">
        <v>4</v>
      </c>
      <c r="I99" s="29">
        <v>25121</v>
      </c>
      <c r="J99" s="29">
        <v>28</v>
      </c>
      <c r="K99" s="29" t="e">
        <f>VLOOKUP(J99,#REF!,2,0)</f>
        <v>#REF!</v>
      </c>
      <c r="L99" s="29">
        <v>10340</v>
      </c>
      <c r="M99" s="29" t="s">
        <v>601</v>
      </c>
      <c r="N99" s="29">
        <v>1</v>
      </c>
      <c r="O99" s="29">
        <v>14.4</v>
      </c>
      <c r="P99" s="29">
        <v>162.75</v>
      </c>
      <c r="Q99" s="29">
        <v>14.4</v>
      </c>
      <c r="R99" s="29">
        <v>29.3</v>
      </c>
      <c r="S99" s="29">
        <v>206.45</v>
      </c>
      <c r="T99" s="29">
        <v>19</v>
      </c>
    </row>
    <row r="100" spans="2:20" hidden="1" outlineLevel="2">
      <c r="B100" s="29">
        <v>956773</v>
      </c>
      <c r="C100" s="29">
        <v>67</v>
      </c>
      <c r="D100" s="29" t="s">
        <v>591</v>
      </c>
      <c r="E100" s="29">
        <v>13077</v>
      </c>
      <c r="F100" s="29" t="s">
        <v>631</v>
      </c>
      <c r="G100" s="263">
        <v>42088</v>
      </c>
      <c r="H100" s="29">
        <v>4</v>
      </c>
      <c r="I100" s="29">
        <v>25122</v>
      </c>
      <c r="J100" s="29">
        <v>28</v>
      </c>
      <c r="K100" s="29" t="e">
        <f>VLOOKUP(J100,#REF!,2,0)</f>
        <v>#REF!</v>
      </c>
      <c r="L100" s="29">
        <v>10646</v>
      </c>
      <c r="M100" s="29" t="s">
        <v>610</v>
      </c>
      <c r="N100" s="29">
        <v>25</v>
      </c>
      <c r="O100" s="29">
        <v>51.95</v>
      </c>
      <c r="P100" s="29">
        <v>88.46</v>
      </c>
      <c r="Q100" s="29">
        <v>0</v>
      </c>
      <c r="R100" s="29">
        <v>15.92</v>
      </c>
      <c r="S100" s="29">
        <v>104.38</v>
      </c>
      <c r="T100" s="29">
        <v>14</v>
      </c>
    </row>
    <row r="101" spans="2:20" hidden="1" outlineLevel="2">
      <c r="B101" s="29">
        <v>956773</v>
      </c>
      <c r="C101" s="29">
        <v>67</v>
      </c>
      <c r="D101" s="29" t="s">
        <v>591</v>
      </c>
      <c r="E101" s="29">
        <v>13077</v>
      </c>
      <c r="F101" s="29" t="s">
        <v>631</v>
      </c>
      <c r="G101" s="263">
        <v>42088</v>
      </c>
      <c r="H101" s="29">
        <v>4</v>
      </c>
      <c r="I101" s="29">
        <v>25122</v>
      </c>
      <c r="J101" s="29">
        <v>28</v>
      </c>
      <c r="K101" s="29" t="e">
        <f>VLOOKUP(J101,#REF!,2,0)</f>
        <v>#REF!</v>
      </c>
      <c r="L101" s="29">
        <v>2043</v>
      </c>
      <c r="M101" s="29" t="s">
        <v>599</v>
      </c>
      <c r="N101" s="29">
        <v>5</v>
      </c>
      <c r="O101" s="29">
        <v>36.51</v>
      </c>
      <c r="P101" s="29">
        <v>88.46</v>
      </c>
      <c r="Q101" s="29">
        <v>0</v>
      </c>
      <c r="R101" s="29">
        <v>15.92</v>
      </c>
      <c r="S101" s="29">
        <v>104.38</v>
      </c>
      <c r="T101" s="29">
        <v>14</v>
      </c>
    </row>
    <row r="102" spans="2:20" hidden="1" outlineLevel="2">
      <c r="B102" s="29">
        <v>959103</v>
      </c>
      <c r="C102" s="29">
        <v>67</v>
      </c>
      <c r="D102" s="29" t="s">
        <v>591</v>
      </c>
      <c r="E102" s="29">
        <v>1711</v>
      </c>
      <c r="F102" s="29" t="s">
        <v>633</v>
      </c>
      <c r="G102" s="263">
        <v>42088</v>
      </c>
      <c r="H102" s="29">
        <v>4</v>
      </c>
      <c r="I102" s="29">
        <v>25153</v>
      </c>
      <c r="J102" s="29">
        <v>28</v>
      </c>
      <c r="K102" s="29" t="e">
        <f>VLOOKUP(J102,#REF!,2,0)</f>
        <v>#REF!</v>
      </c>
      <c r="L102" s="29">
        <v>9993</v>
      </c>
      <c r="M102" s="29" t="s">
        <v>598</v>
      </c>
      <c r="N102" s="29">
        <v>1</v>
      </c>
      <c r="O102" s="29">
        <v>12.52</v>
      </c>
      <c r="P102" s="29">
        <v>40.450000000000003</v>
      </c>
      <c r="Q102" s="29">
        <v>0</v>
      </c>
      <c r="R102" s="29">
        <v>7.28</v>
      </c>
      <c r="S102" s="29">
        <v>47.73</v>
      </c>
      <c r="T102" s="29">
        <v>11</v>
      </c>
    </row>
    <row r="103" spans="2:20" hidden="1" outlineLevel="2">
      <c r="B103" s="29">
        <v>959141</v>
      </c>
      <c r="C103" s="29">
        <v>67</v>
      </c>
      <c r="D103" s="29" t="s">
        <v>591</v>
      </c>
      <c r="E103" s="29">
        <v>15435</v>
      </c>
      <c r="F103" s="29" t="s">
        <v>634</v>
      </c>
      <c r="G103" s="263">
        <v>42088</v>
      </c>
      <c r="H103" s="29">
        <v>4</v>
      </c>
      <c r="I103" s="29">
        <v>25180</v>
      </c>
      <c r="J103" s="29">
        <v>28</v>
      </c>
      <c r="K103" s="29" t="e">
        <f>VLOOKUP(J103,#REF!,2,0)</f>
        <v>#REF!</v>
      </c>
      <c r="L103" s="29">
        <v>9993</v>
      </c>
      <c r="M103" s="29" t="s">
        <v>598</v>
      </c>
      <c r="N103" s="29">
        <v>2</v>
      </c>
      <c r="O103" s="29">
        <v>25.04</v>
      </c>
      <c r="P103" s="29">
        <v>268.92</v>
      </c>
      <c r="Q103" s="29">
        <v>0</v>
      </c>
      <c r="R103" s="29">
        <v>48.41</v>
      </c>
      <c r="S103" s="29">
        <v>317.33</v>
      </c>
      <c r="T103" s="29">
        <v>5</v>
      </c>
    </row>
    <row r="104" spans="2:20" hidden="1" outlineLevel="2">
      <c r="B104" s="29">
        <v>959142</v>
      </c>
      <c r="C104" s="29">
        <v>67</v>
      </c>
      <c r="D104" s="29" t="s">
        <v>591</v>
      </c>
      <c r="E104" s="29">
        <v>17043</v>
      </c>
      <c r="F104" s="29" t="s">
        <v>635</v>
      </c>
      <c r="G104" s="263">
        <v>42088</v>
      </c>
      <c r="H104" s="29">
        <v>4</v>
      </c>
      <c r="I104" s="29">
        <v>25181</v>
      </c>
      <c r="J104" s="29">
        <v>28</v>
      </c>
      <c r="K104" s="29" t="e">
        <f>VLOOKUP(J104,#REF!,2,0)</f>
        <v>#REF!</v>
      </c>
      <c r="L104" s="29">
        <v>3342</v>
      </c>
      <c r="M104" s="29" t="s">
        <v>628</v>
      </c>
      <c r="N104" s="29">
        <v>2</v>
      </c>
      <c r="O104" s="29">
        <v>26.84</v>
      </c>
      <c r="P104" s="29">
        <v>268.94</v>
      </c>
      <c r="Q104" s="29">
        <v>0</v>
      </c>
      <c r="R104" s="29">
        <v>48.41</v>
      </c>
      <c r="S104" s="29">
        <v>317.35000000000002</v>
      </c>
      <c r="T104" s="29">
        <v>5</v>
      </c>
    </row>
    <row r="105" spans="2:20" hidden="1" outlineLevel="2">
      <c r="B105" s="29">
        <v>959142</v>
      </c>
      <c r="C105" s="29">
        <v>67</v>
      </c>
      <c r="D105" s="29" t="s">
        <v>591</v>
      </c>
      <c r="E105" s="29">
        <v>17043</v>
      </c>
      <c r="F105" s="29" t="s">
        <v>635</v>
      </c>
      <c r="G105" s="263">
        <v>42088</v>
      </c>
      <c r="H105" s="29">
        <v>4</v>
      </c>
      <c r="I105" s="29">
        <v>25181</v>
      </c>
      <c r="J105" s="29">
        <v>28</v>
      </c>
      <c r="K105" s="29" t="e">
        <f>VLOOKUP(J105,#REF!,2,0)</f>
        <v>#REF!</v>
      </c>
      <c r="L105" s="29">
        <v>3345</v>
      </c>
      <c r="M105" s="29" t="s">
        <v>630</v>
      </c>
      <c r="N105" s="29">
        <v>2</v>
      </c>
      <c r="O105" s="29">
        <v>11.37</v>
      </c>
      <c r="P105" s="29">
        <v>268.94</v>
      </c>
      <c r="Q105" s="29">
        <v>0</v>
      </c>
      <c r="R105" s="29">
        <v>48.41</v>
      </c>
      <c r="S105" s="29">
        <v>317.35000000000002</v>
      </c>
      <c r="T105" s="29">
        <v>5</v>
      </c>
    </row>
    <row r="106" spans="2:20" hidden="1" outlineLevel="2">
      <c r="B106" s="29">
        <v>959199</v>
      </c>
      <c r="C106" s="29">
        <v>67</v>
      </c>
      <c r="D106" s="29" t="s">
        <v>591</v>
      </c>
      <c r="E106" s="29">
        <v>1544</v>
      </c>
      <c r="F106" s="29" t="s">
        <v>636</v>
      </c>
      <c r="G106" s="263">
        <v>42089</v>
      </c>
      <c r="H106" s="29">
        <v>4</v>
      </c>
      <c r="I106" s="29">
        <v>25201</v>
      </c>
      <c r="J106" s="29">
        <v>28</v>
      </c>
      <c r="K106" s="29" t="e">
        <f>VLOOKUP(J106,#REF!,2,0)</f>
        <v>#REF!</v>
      </c>
      <c r="L106" s="29">
        <v>9993</v>
      </c>
      <c r="M106" s="29" t="s">
        <v>598</v>
      </c>
      <c r="N106" s="29">
        <v>2</v>
      </c>
      <c r="O106" s="29">
        <v>25.04</v>
      </c>
      <c r="P106" s="29">
        <v>36.409999999999997</v>
      </c>
      <c r="Q106" s="29">
        <v>0</v>
      </c>
      <c r="R106" s="29">
        <v>6.55</v>
      </c>
      <c r="S106" s="29">
        <v>42.96</v>
      </c>
      <c r="T106" s="29">
        <v>11</v>
      </c>
    </row>
    <row r="107" spans="2:20" hidden="1" outlineLevel="2">
      <c r="B107" s="29">
        <v>959199</v>
      </c>
      <c r="C107" s="29">
        <v>67</v>
      </c>
      <c r="D107" s="29" t="s">
        <v>591</v>
      </c>
      <c r="E107" s="29">
        <v>1544</v>
      </c>
      <c r="F107" s="29" t="s">
        <v>636</v>
      </c>
      <c r="G107" s="263">
        <v>42089</v>
      </c>
      <c r="H107" s="29">
        <v>4</v>
      </c>
      <c r="I107" s="29">
        <v>25201</v>
      </c>
      <c r="J107" s="29">
        <v>28</v>
      </c>
      <c r="K107" s="29" t="e">
        <f>VLOOKUP(J107,#REF!,2,0)</f>
        <v>#REF!</v>
      </c>
      <c r="L107" s="29">
        <v>3345</v>
      </c>
      <c r="M107" s="29" t="s">
        <v>630</v>
      </c>
      <c r="N107" s="29">
        <v>2</v>
      </c>
      <c r="O107" s="29">
        <v>11.37</v>
      </c>
      <c r="P107" s="29">
        <v>36.409999999999997</v>
      </c>
      <c r="Q107" s="29">
        <v>0</v>
      </c>
      <c r="R107" s="29">
        <v>6.55</v>
      </c>
      <c r="S107" s="29">
        <v>42.96</v>
      </c>
      <c r="T107" s="29">
        <v>11</v>
      </c>
    </row>
    <row r="108" spans="2:20" hidden="1" outlineLevel="2">
      <c r="B108" s="29">
        <v>959203</v>
      </c>
      <c r="C108" s="29">
        <v>67</v>
      </c>
      <c r="D108" s="29" t="s">
        <v>591</v>
      </c>
      <c r="E108" s="29">
        <v>16554</v>
      </c>
      <c r="F108" s="29" t="s">
        <v>637</v>
      </c>
      <c r="G108" s="263">
        <v>42089</v>
      </c>
      <c r="H108" s="29">
        <v>4</v>
      </c>
      <c r="I108" s="29">
        <v>25205</v>
      </c>
      <c r="J108" s="29">
        <v>28</v>
      </c>
      <c r="K108" s="29" t="e">
        <f>VLOOKUP(J108,#REF!,2,0)</f>
        <v>#REF!</v>
      </c>
      <c r="L108" s="29">
        <v>9993</v>
      </c>
      <c r="M108" s="29" t="s">
        <v>598</v>
      </c>
      <c r="N108" s="29">
        <v>2</v>
      </c>
      <c r="O108" s="29">
        <v>25.04</v>
      </c>
      <c r="P108" s="29">
        <v>488.29</v>
      </c>
      <c r="Q108" s="29">
        <v>0</v>
      </c>
      <c r="R108" s="29">
        <v>87.89</v>
      </c>
      <c r="S108" s="29">
        <v>576.17999999999995</v>
      </c>
      <c r="T108" s="29">
        <v>11</v>
      </c>
    </row>
    <row r="109" spans="2:20" hidden="1" outlineLevel="2">
      <c r="B109" s="29">
        <v>959203</v>
      </c>
      <c r="C109" s="29">
        <v>67</v>
      </c>
      <c r="D109" s="29" t="s">
        <v>591</v>
      </c>
      <c r="E109" s="29">
        <v>16554</v>
      </c>
      <c r="F109" s="29" t="s">
        <v>637</v>
      </c>
      <c r="G109" s="263">
        <v>42089</v>
      </c>
      <c r="H109" s="29">
        <v>4</v>
      </c>
      <c r="I109" s="29">
        <v>25205</v>
      </c>
      <c r="J109" s="29">
        <v>28</v>
      </c>
      <c r="K109" s="29" t="e">
        <f>VLOOKUP(J109,#REF!,2,0)</f>
        <v>#REF!</v>
      </c>
      <c r="L109" s="29">
        <v>3342</v>
      </c>
      <c r="M109" s="29" t="s">
        <v>628</v>
      </c>
      <c r="N109" s="29">
        <v>2</v>
      </c>
      <c r="O109" s="29">
        <v>26.84</v>
      </c>
      <c r="P109" s="29">
        <v>488.29</v>
      </c>
      <c r="Q109" s="29">
        <v>0</v>
      </c>
      <c r="R109" s="29">
        <v>87.89</v>
      </c>
      <c r="S109" s="29">
        <v>576.17999999999995</v>
      </c>
      <c r="T109" s="29">
        <v>11</v>
      </c>
    </row>
    <row r="110" spans="2:20" hidden="1" outlineLevel="2">
      <c r="B110" s="29">
        <v>959203</v>
      </c>
      <c r="C110" s="29">
        <v>67</v>
      </c>
      <c r="D110" s="29" t="s">
        <v>591</v>
      </c>
      <c r="E110" s="29">
        <v>16554</v>
      </c>
      <c r="F110" s="29" t="s">
        <v>637</v>
      </c>
      <c r="G110" s="263">
        <v>42089</v>
      </c>
      <c r="H110" s="29">
        <v>4</v>
      </c>
      <c r="I110" s="29">
        <v>25205</v>
      </c>
      <c r="J110" s="29">
        <v>28</v>
      </c>
      <c r="K110" s="29" t="e">
        <f>VLOOKUP(J110,#REF!,2,0)</f>
        <v>#REF!</v>
      </c>
      <c r="L110" s="29">
        <v>3345</v>
      </c>
      <c r="M110" s="29" t="s">
        <v>630</v>
      </c>
      <c r="N110" s="29">
        <v>3</v>
      </c>
      <c r="O110" s="29">
        <v>17.05</v>
      </c>
      <c r="P110" s="29">
        <v>488.29</v>
      </c>
      <c r="Q110" s="29">
        <v>0</v>
      </c>
      <c r="R110" s="29">
        <v>87.89</v>
      </c>
      <c r="S110" s="29">
        <v>576.17999999999995</v>
      </c>
      <c r="T110" s="29">
        <v>11</v>
      </c>
    </row>
    <row r="111" spans="2:20" hidden="1" outlineLevel="2">
      <c r="B111" s="29">
        <v>956706</v>
      </c>
      <c r="C111" s="29">
        <v>67</v>
      </c>
      <c r="D111" s="29" t="s">
        <v>591</v>
      </c>
      <c r="E111" s="29">
        <v>11648</v>
      </c>
      <c r="F111" s="29" t="s">
        <v>638</v>
      </c>
      <c r="G111" s="263">
        <v>42088</v>
      </c>
      <c r="H111" s="29">
        <v>4</v>
      </c>
      <c r="I111" s="29">
        <v>25119</v>
      </c>
      <c r="J111" s="29">
        <v>28</v>
      </c>
      <c r="K111" s="29" t="e">
        <f>VLOOKUP(J111,#REF!,2,0)</f>
        <v>#REF!</v>
      </c>
      <c r="L111" s="29">
        <v>2015</v>
      </c>
      <c r="M111" s="29" t="s">
        <v>639</v>
      </c>
      <c r="N111" s="29">
        <v>2</v>
      </c>
      <c r="O111" s="29">
        <v>20.96</v>
      </c>
      <c r="P111" s="29">
        <v>254.54</v>
      </c>
      <c r="Q111" s="29">
        <v>78.569999999999993</v>
      </c>
      <c r="R111" s="29">
        <v>45.82</v>
      </c>
      <c r="S111" s="29">
        <v>378.93</v>
      </c>
      <c r="T111" s="29">
        <v>8</v>
      </c>
    </row>
    <row r="112" spans="2:20" hidden="1" outlineLevel="2">
      <c r="B112" s="29">
        <v>956706</v>
      </c>
      <c r="C112" s="29">
        <v>67</v>
      </c>
      <c r="D112" s="29" t="s">
        <v>591</v>
      </c>
      <c r="E112" s="29">
        <v>11648</v>
      </c>
      <c r="F112" s="29" t="s">
        <v>638</v>
      </c>
      <c r="G112" s="263">
        <v>42088</v>
      </c>
      <c r="H112" s="29">
        <v>4</v>
      </c>
      <c r="I112" s="29">
        <v>25119</v>
      </c>
      <c r="J112" s="29">
        <v>28</v>
      </c>
      <c r="K112" s="29" t="e">
        <f>VLOOKUP(J112,#REF!,2,0)</f>
        <v>#REF!</v>
      </c>
      <c r="L112" s="29">
        <v>5504</v>
      </c>
      <c r="M112" s="29" t="s">
        <v>594</v>
      </c>
      <c r="N112" s="29">
        <v>1</v>
      </c>
      <c r="O112" s="29">
        <v>6.18</v>
      </c>
      <c r="P112" s="29">
        <v>254.54</v>
      </c>
      <c r="Q112" s="29">
        <v>78.569999999999993</v>
      </c>
      <c r="R112" s="29">
        <v>45.82</v>
      </c>
      <c r="S112" s="29">
        <v>378.93</v>
      </c>
      <c r="T112" s="29">
        <v>8</v>
      </c>
    </row>
    <row r="113" spans="2:20" hidden="1" outlineLevel="2">
      <c r="B113" s="29">
        <v>956706</v>
      </c>
      <c r="C113" s="29">
        <v>67</v>
      </c>
      <c r="D113" s="29" t="s">
        <v>591</v>
      </c>
      <c r="E113" s="29">
        <v>11648</v>
      </c>
      <c r="F113" s="29" t="s">
        <v>638</v>
      </c>
      <c r="G113" s="263">
        <v>42088</v>
      </c>
      <c r="H113" s="29">
        <v>4</v>
      </c>
      <c r="I113" s="29">
        <v>25119</v>
      </c>
      <c r="J113" s="29">
        <v>28</v>
      </c>
      <c r="K113" s="29" t="e">
        <f>VLOOKUP(J113,#REF!,2,0)</f>
        <v>#REF!</v>
      </c>
      <c r="L113" s="29">
        <v>2018</v>
      </c>
      <c r="M113" s="29" t="s">
        <v>595</v>
      </c>
      <c r="N113" s="29">
        <v>1</v>
      </c>
      <c r="O113" s="29">
        <v>13.25</v>
      </c>
      <c r="P113" s="29">
        <v>254.54</v>
      </c>
      <c r="Q113" s="29">
        <v>78.569999999999993</v>
      </c>
      <c r="R113" s="29">
        <v>45.82</v>
      </c>
      <c r="S113" s="29">
        <v>378.93</v>
      </c>
      <c r="T113" s="29">
        <v>8</v>
      </c>
    </row>
    <row r="114" spans="2:20" hidden="1" outlineLevel="2">
      <c r="B114" s="29">
        <v>956706</v>
      </c>
      <c r="C114" s="29">
        <v>67</v>
      </c>
      <c r="D114" s="29" t="s">
        <v>591</v>
      </c>
      <c r="E114" s="29">
        <v>11648</v>
      </c>
      <c r="F114" s="29" t="s">
        <v>638</v>
      </c>
      <c r="G114" s="263">
        <v>42088</v>
      </c>
      <c r="H114" s="29">
        <v>4</v>
      </c>
      <c r="I114" s="29">
        <v>25119</v>
      </c>
      <c r="J114" s="29">
        <v>28</v>
      </c>
      <c r="K114" s="29" t="e">
        <f>VLOOKUP(J114,#REF!,2,0)</f>
        <v>#REF!</v>
      </c>
      <c r="L114" s="29">
        <v>9993</v>
      </c>
      <c r="M114" s="29" t="s">
        <v>598</v>
      </c>
      <c r="N114" s="29">
        <v>1</v>
      </c>
      <c r="O114" s="29">
        <v>12.52</v>
      </c>
      <c r="P114" s="29">
        <v>254.54</v>
      </c>
      <c r="Q114" s="29">
        <v>78.569999999999993</v>
      </c>
      <c r="R114" s="29">
        <v>45.82</v>
      </c>
      <c r="S114" s="29">
        <v>378.93</v>
      </c>
      <c r="T114" s="29">
        <v>8</v>
      </c>
    </row>
    <row r="115" spans="2:20" hidden="1" outlineLevel="2">
      <c r="B115" s="29">
        <v>956706</v>
      </c>
      <c r="C115" s="29">
        <v>67</v>
      </c>
      <c r="D115" s="29" t="s">
        <v>591</v>
      </c>
      <c r="E115" s="29">
        <v>11648</v>
      </c>
      <c r="F115" s="29" t="s">
        <v>638</v>
      </c>
      <c r="G115" s="263">
        <v>42088</v>
      </c>
      <c r="H115" s="29">
        <v>4</v>
      </c>
      <c r="I115" s="29">
        <v>25119</v>
      </c>
      <c r="J115" s="29">
        <v>28</v>
      </c>
      <c r="K115" s="29" t="e">
        <f>VLOOKUP(J115,#REF!,2,0)</f>
        <v>#REF!</v>
      </c>
      <c r="L115" s="29">
        <v>8198</v>
      </c>
      <c r="M115" s="29" t="s">
        <v>611</v>
      </c>
      <c r="N115" s="29">
        <v>2</v>
      </c>
      <c r="O115" s="29">
        <v>10.08</v>
      </c>
      <c r="P115" s="29">
        <v>254.54</v>
      </c>
      <c r="Q115" s="29">
        <v>78.569999999999993</v>
      </c>
      <c r="R115" s="29">
        <v>45.82</v>
      </c>
      <c r="S115" s="29">
        <v>378.93</v>
      </c>
      <c r="T115" s="29">
        <v>8</v>
      </c>
    </row>
    <row r="116" spans="2:20" hidden="1" outlineLevel="2">
      <c r="B116" s="29">
        <v>956706</v>
      </c>
      <c r="C116" s="29">
        <v>67</v>
      </c>
      <c r="D116" s="29" t="s">
        <v>591</v>
      </c>
      <c r="E116" s="29">
        <v>11648</v>
      </c>
      <c r="F116" s="29" t="s">
        <v>638</v>
      </c>
      <c r="G116" s="263">
        <v>42088</v>
      </c>
      <c r="H116" s="29">
        <v>4</v>
      </c>
      <c r="I116" s="29">
        <v>25119</v>
      </c>
      <c r="J116" s="29">
        <v>28</v>
      </c>
      <c r="K116" s="29" t="e">
        <f>VLOOKUP(J116,#REF!,2,0)</f>
        <v>#REF!</v>
      </c>
      <c r="L116" s="29">
        <v>8199</v>
      </c>
      <c r="M116" s="29" t="s">
        <v>612</v>
      </c>
      <c r="N116" s="29">
        <v>2</v>
      </c>
      <c r="O116" s="29">
        <v>13.22</v>
      </c>
      <c r="P116" s="29">
        <v>254.54</v>
      </c>
      <c r="Q116" s="29">
        <v>78.569999999999993</v>
      </c>
      <c r="R116" s="29">
        <v>45.82</v>
      </c>
      <c r="S116" s="29">
        <v>378.93</v>
      </c>
      <c r="T116" s="29">
        <v>8</v>
      </c>
    </row>
    <row r="117" spans="2:20" hidden="1" outlineLevel="2">
      <c r="B117" s="29">
        <v>956706</v>
      </c>
      <c r="C117" s="29">
        <v>67</v>
      </c>
      <c r="D117" s="29" t="s">
        <v>591</v>
      </c>
      <c r="E117" s="29">
        <v>11648</v>
      </c>
      <c r="F117" s="29" t="s">
        <v>638</v>
      </c>
      <c r="G117" s="263">
        <v>42088</v>
      </c>
      <c r="H117" s="29">
        <v>4</v>
      </c>
      <c r="I117" s="29">
        <v>25119</v>
      </c>
      <c r="J117" s="29">
        <v>28</v>
      </c>
      <c r="K117" s="29" t="e">
        <f>VLOOKUP(J117,#REF!,2,0)</f>
        <v>#REF!</v>
      </c>
      <c r="L117" s="29">
        <v>10367</v>
      </c>
      <c r="M117" s="29" t="s">
        <v>640</v>
      </c>
      <c r="N117" s="29">
        <v>10</v>
      </c>
      <c r="O117" s="29">
        <v>4.97</v>
      </c>
      <c r="P117" s="29">
        <v>254.54</v>
      </c>
      <c r="Q117" s="29">
        <v>78.569999999999993</v>
      </c>
      <c r="R117" s="29">
        <v>45.82</v>
      </c>
      <c r="S117" s="29">
        <v>378.93</v>
      </c>
      <c r="T117" s="29">
        <v>8</v>
      </c>
    </row>
    <row r="118" spans="2:20" hidden="1" outlineLevel="2">
      <c r="B118" s="29">
        <v>956706</v>
      </c>
      <c r="C118" s="29">
        <v>67</v>
      </c>
      <c r="D118" s="29" t="s">
        <v>591</v>
      </c>
      <c r="E118" s="29">
        <v>11648</v>
      </c>
      <c r="F118" s="29" t="s">
        <v>638</v>
      </c>
      <c r="G118" s="263">
        <v>42088</v>
      </c>
      <c r="H118" s="29">
        <v>4</v>
      </c>
      <c r="I118" s="29">
        <v>25119</v>
      </c>
      <c r="J118" s="29">
        <v>28</v>
      </c>
      <c r="K118" s="29" t="e">
        <f>VLOOKUP(J118,#REF!,2,0)</f>
        <v>#REF!</v>
      </c>
      <c r="L118" s="29">
        <v>2037</v>
      </c>
      <c r="M118" s="29" t="s">
        <v>613</v>
      </c>
      <c r="N118" s="29">
        <v>1</v>
      </c>
      <c r="O118" s="29">
        <v>6.67</v>
      </c>
      <c r="P118" s="29">
        <v>254.54</v>
      </c>
      <c r="Q118" s="29">
        <v>78.569999999999993</v>
      </c>
      <c r="R118" s="29">
        <v>45.82</v>
      </c>
      <c r="S118" s="29">
        <v>378.93</v>
      </c>
      <c r="T118" s="29">
        <v>8</v>
      </c>
    </row>
    <row r="119" spans="2:20" hidden="1" outlineLevel="2">
      <c r="B119" s="29">
        <v>956706</v>
      </c>
      <c r="C119" s="29">
        <v>67</v>
      </c>
      <c r="D119" s="29" t="s">
        <v>591</v>
      </c>
      <c r="E119" s="29">
        <v>11648</v>
      </c>
      <c r="F119" s="29" t="s">
        <v>638</v>
      </c>
      <c r="G119" s="263">
        <v>42088</v>
      </c>
      <c r="H119" s="29">
        <v>4</v>
      </c>
      <c r="I119" s="29">
        <v>25119</v>
      </c>
      <c r="J119" s="29">
        <v>28</v>
      </c>
      <c r="K119" s="29" t="e">
        <f>VLOOKUP(J119,#REF!,2,0)</f>
        <v>#REF!</v>
      </c>
      <c r="L119" s="29">
        <v>2038</v>
      </c>
      <c r="M119" s="29" t="s">
        <v>614</v>
      </c>
      <c r="N119" s="29">
        <v>1</v>
      </c>
      <c r="O119" s="29">
        <v>5.22</v>
      </c>
      <c r="P119" s="29">
        <v>254.54</v>
      </c>
      <c r="Q119" s="29">
        <v>78.569999999999993</v>
      </c>
      <c r="R119" s="29">
        <v>45.82</v>
      </c>
      <c r="S119" s="29">
        <v>378.93</v>
      </c>
      <c r="T119" s="29">
        <v>8</v>
      </c>
    </row>
    <row r="120" spans="2:20" hidden="1" outlineLevel="2">
      <c r="B120" s="29">
        <v>956706</v>
      </c>
      <c r="C120" s="29">
        <v>67</v>
      </c>
      <c r="D120" s="29" t="s">
        <v>591</v>
      </c>
      <c r="E120" s="29">
        <v>11648</v>
      </c>
      <c r="F120" s="29" t="s">
        <v>638</v>
      </c>
      <c r="G120" s="263">
        <v>42088</v>
      </c>
      <c r="H120" s="29">
        <v>4</v>
      </c>
      <c r="I120" s="29">
        <v>25119</v>
      </c>
      <c r="J120" s="29">
        <v>28</v>
      </c>
      <c r="K120" s="29" t="e">
        <f>VLOOKUP(J120,#REF!,2,0)</f>
        <v>#REF!</v>
      </c>
      <c r="L120" s="29">
        <v>13297</v>
      </c>
      <c r="M120" s="29" t="s">
        <v>606</v>
      </c>
      <c r="N120" s="29">
        <v>1</v>
      </c>
      <c r="O120" s="29">
        <v>8.19</v>
      </c>
      <c r="P120" s="29">
        <v>254.54</v>
      </c>
      <c r="Q120" s="29">
        <v>78.569999999999993</v>
      </c>
      <c r="R120" s="29">
        <v>45.82</v>
      </c>
      <c r="S120" s="29">
        <v>378.93</v>
      </c>
      <c r="T120" s="29">
        <v>8</v>
      </c>
    </row>
    <row r="121" spans="2:20" hidden="1" outlineLevel="2">
      <c r="B121" s="29">
        <v>956706</v>
      </c>
      <c r="C121" s="29">
        <v>67</v>
      </c>
      <c r="D121" s="29" t="s">
        <v>591</v>
      </c>
      <c r="E121" s="29">
        <v>11648</v>
      </c>
      <c r="F121" s="29" t="s">
        <v>638</v>
      </c>
      <c r="G121" s="263">
        <v>42088</v>
      </c>
      <c r="H121" s="29">
        <v>4</v>
      </c>
      <c r="I121" s="29">
        <v>25119</v>
      </c>
      <c r="J121" s="29">
        <v>28</v>
      </c>
      <c r="K121" s="29" t="e">
        <f>VLOOKUP(J121,#REF!,2,0)</f>
        <v>#REF!</v>
      </c>
      <c r="L121" s="29">
        <v>15249</v>
      </c>
      <c r="M121" s="29" t="s">
        <v>600</v>
      </c>
      <c r="N121" s="29">
        <v>1</v>
      </c>
      <c r="O121" s="29">
        <v>14.85</v>
      </c>
      <c r="P121" s="29">
        <v>254.54</v>
      </c>
      <c r="Q121" s="29">
        <v>78.569999999999993</v>
      </c>
      <c r="R121" s="29">
        <v>45.82</v>
      </c>
      <c r="S121" s="29">
        <v>378.93</v>
      </c>
      <c r="T121" s="29">
        <v>8</v>
      </c>
    </row>
    <row r="122" spans="2:20" hidden="1" outlineLevel="2">
      <c r="B122" s="29">
        <v>956706</v>
      </c>
      <c r="C122" s="29">
        <v>67</v>
      </c>
      <c r="D122" s="29" t="s">
        <v>591</v>
      </c>
      <c r="E122" s="29">
        <v>11648</v>
      </c>
      <c r="F122" s="29" t="s">
        <v>638</v>
      </c>
      <c r="G122" s="263">
        <v>42088</v>
      </c>
      <c r="H122" s="29">
        <v>4</v>
      </c>
      <c r="I122" s="29">
        <v>25119</v>
      </c>
      <c r="J122" s="29">
        <v>28</v>
      </c>
      <c r="K122" s="29" t="e">
        <f>VLOOKUP(J122,#REF!,2,0)</f>
        <v>#REF!</v>
      </c>
      <c r="L122" s="29">
        <v>10340</v>
      </c>
      <c r="M122" s="29" t="s">
        <v>601</v>
      </c>
      <c r="N122" s="29">
        <v>3</v>
      </c>
      <c r="O122" s="29">
        <v>43.2</v>
      </c>
      <c r="P122" s="29">
        <v>254.54</v>
      </c>
      <c r="Q122" s="29">
        <v>78.569999999999993</v>
      </c>
      <c r="R122" s="29">
        <v>45.82</v>
      </c>
      <c r="S122" s="29">
        <v>378.93</v>
      </c>
      <c r="T122" s="29">
        <v>8</v>
      </c>
    </row>
    <row r="123" spans="2:20" hidden="1" outlineLevel="2">
      <c r="B123" s="29">
        <v>956706</v>
      </c>
      <c r="C123" s="29">
        <v>67</v>
      </c>
      <c r="D123" s="29" t="s">
        <v>591</v>
      </c>
      <c r="E123" s="29">
        <v>11648</v>
      </c>
      <c r="F123" s="29" t="s">
        <v>638</v>
      </c>
      <c r="G123" s="263">
        <v>42088</v>
      </c>
      <c r="H123" s="29">
        <v>4</v>
      </c>
      <c r="I123" s="29">
        <v>25119</v>
      </c>
      <c r="J123" s="29">
        <v>28</v>
      </c>
      <c r="K123" s="29" t="e">
        <f>VLOOKUP(J123,#REF!,2,0)</f>
        <v>#REF!</v>
      </c>
      <c r="L123" s="29">
        <v>15694</v>
      </c>
      <c r="M123" s="29" t="s">
        <v>615</v>
      </c>
      <c r="N123" s="29">
        <v>1</v>
      </c>
      <c r="O123" s="29">
        <v>35.369999999999997</v>
      </c>
      <c r="P123" s="29">
        <v>254.54</v>
      </c>
      <c r="Q123" s="29">
        <v>78.569999999999993</v>
      </c>
      <c r="R123" s="29">
        <v>45.82</v>
      </c>
      <c r="S123" s="29">
        <v>378.93</v>
      </c>
      <c r="T123" s="29">
        <v>8</v>
      </c>
    </row>
    <row r="124" spans="2:20" hidden="1" outlineLevel="2">
      <c r="B124" s="29">
        <v>956706</v>
      </c>
      <c r="C124" s="29">
        <v>67</v>
      </c>
      <c r="D124" s="29" t="s">
        <v>591</v>
      </c>
      <c r="E124" s="29">
        <v>11648</v>
      </c>
      <c r="F124" s="29" t="s">
        <v>638</v>
      </c>
      <c r="G124" s="263">
        <v>42088</v>
      </c>
      <c r="H124" s="29">
        <v>4</v>
      </c>
      <c r="I124" s="29">
        <v>25119</v>
      </c>
      <c r="J124" s="29">
        <v>28</v>
      </c>
      <c r="K124" s="29" t="e">
        <f>VLOOKUP(J124,#REF!,2,0)</f>
        <v>#REF!</v>
      </c>
      <c r="L124" s="29">
        <v>2045</v>
      </c>
      <c r="M124" s="29" t="s">
        <v>625</v>
      </c>
      <c r="N124" s="29">
        <v>1</v>
      </c>
      <c r="O124" s="29">
        <v>13.77</v>
      </c>
      <c r="P124" s="29">
        <v>254.54</v>
      </c>
      <c r="Q124" s="29">
        <v>78.569999999999993</v>
      </c>
      <c r="R124" s="29">
        <v>45.82</v>
      </c>
      <c r="S124" s="29">
        <v>378.93</v>
      </c>
      <c r="T124" s="29">
        <v>8</v>
      </c>
    </row>
    <row r="125" spans="2:20" hidden="1" outlineLevel="2">
      <c r="B125" s="29">
        <v>956706</v>
      </c>
      <c r="C125" s="29">
        <v>67</v>
      </c>
      <c r="D125" s="29" t="s">
        <v>591</v>
      </c>
      <c r="E125" s="29">
        <v>11648</v>
      </c>
      <c r="F125" s="29" t="s">
        <v>638</v>
      </c>
      <c r="G125" s="263">
        <v>42088</v>
      </c>
      <c r="H125" s="29">
        <v>4</v>
      </c>
      <c r="I125" s="29">
        <v>25119</v>
      </c>
      <c r="J125" s="29">
        <v>28</v>
      </c>
      <c r="K125" s="29" t="e">
        <f>VLOOKUP(J125,#REF!,2,0)</f>
        <v>#REF!</v>
      </c>
      <c r="L125" s="29">
        <v>3342</v>
      </c>
      <c r="M125" s="29" t="s">
        <v>628</v>
      </c>
      <c r="N125" s="29">
        <v>2</v>
      </c>
      <c r="O125" s="29">
        <v>26.84</v>
      </c>
      <c r="P125" s="29">
        <v>254.54</v>
      </c>
      <c r="Q125" s="29">
        <v>78.569999999999993</v>
      </c>
      <c r="R125" s="29">
        <v>45.82</v>
      </c>
      <c r="S125" s="29">
        <v>378.93</v>
      </c>
      <c r="T125" s="29">
        <v>8</v>
      </c>
    </row>
    <row r="126" spans="2:20" hidden="1" outlineLevel="2">
      <c r="B126" s="29">
        <v>956706</v>
      </c>
      <c r="C126" s="29">
        <v>67</v>
      </c>
      <c r="D126" s="29" t="s">
        <v>591</v>
      </c>
      <c r="E126" s="29">
        <v>11648</v>
      </c>
      <c r="F126" s="29" t="s">
        <v>638</v>
      </c>
      <c r="G126" s="263">
        <v>42088</v>
      </c>
      <c r="H126" s="29">
        <v>4</v>
      </c>
      <c r="I126" s="29">
        <v>25119</v>
      </c>
      <c r="J126" s="29">
        <v>28</v>
      </c>
      <c r="K126" s="29" t="e">
        <f>VLOOKUP(J126,#REF!,2,0)</f>
        <v>#REF!</v>
      </c>
      <c r="L126" s="29">
        <v>5510</v>
      </c>
      <c r="M126" s="29" t="s">
        <v>603</v>
      </c>
      <c r="N126" s="29">
        <v>2</v>
      </c>
      <c r="O126" s="29">
        <v>23.17</v>
      </c>
      <c r="P126" s="29">
        <v>254.54</v>
      </c>
      <c r="Q126" s="29">
        <v>78.569999999999993</v>
      </c>
      <c r="R126" s="29">
        <v>45.82</v>
      </c>
      <c r="S126" s="29">
        <v>378.93</v>
      </c>
      <c r="T126" s="29">
        <v>8</v>
      </c>
    </row>
    <row r="127" spans="2:20" hidden="1" outlineLevel="2">
      <c r="B127" s="29">
        <v>956706</v>
      </c>
      <c r="C127" s="29">
        <v>67</v>
      </c>
      <c r="D127" s="29" t="s">
        <v>591</v>
      </c>
      <c r="E127" s="29">
        <v>11648</v>
      </c>
      <c r="F127" s="29" t="s">
        <v>638</v>
      </c>
      <c r="G127" s="263">
        <v>42088</v>
      </c>
      <c r="H127" s="29">
        <v>4</v>
      </c>
      <c r="I127" s="29">
        <v>25119</v>
      </c>
      <c r="J127" s="29">
        <v>28</v>
      </c>
      <c r="K127" s="29" t="e">
        <f>VLOOKUP(J127,#REF!,2,0)</f>
        <v>#REF!</v>
      </c>
      <c r="L127" s="29">
        <v>5511</v>
      </c>
      <c r="M127" s="29" t="s">
        <v>641</v>
      </c>
      <c r="N127" s="29">
        <v>1</v>
      </c>
      <c r="O127" s="29">
        <v>23.96</v>
      </c>
      <c r="P127" s="29">
        <v>254.54</v>
      </c>
      <c r="Q127" s="29">
        <v>78.569999999999993</v>
      </c>
      <c r="R127" s="29">
        <v>45.82</v>
      </c>
      <c r="S127" s="29">
        <v>378.93</v>
      </c>
      <c r="T127" s="29">
        <v>8</v>
      </c>
    </row>
    <row r="128" spans="2:20" hidden="1" outlineLevel="2">
      <c r="B128" s="29">
        <v>956706</v>
      </c>
      <c r="C128" s="29">
        <v>67</v>
      </c>
      <c r="D128" s="29" t="s">
        <v>591</v>
      </c>
      <c r="E128" s="29">
        <v>11648</v>
      </c>
      <c r="F128" s="29" t="s">
        <v>638</v>
      </c>
      <c r="G128" s="263">
        <v>42088</v>
      </c>
      <c r="H128" s="29">
        <v>4</v>
      </c>
      <c r="I128" s="29">
        <v>25119</v>
      </c>
      <c r="J128" s="29">
        <v>28</v>
      </c>
      <c r="K128" s="29" t="e">
        <f>VLOOKUP(J128,#REF!,2,0)</f>
        <v>#REF!</v>
      </c>
      <c r="L128" s="29">
        <v>15250</v>
      </c>
      <c r="M128" s="29" t="s">
        <v>607</v>
      </c>
      <c r="N128" s="29">
        <v>1</v>
      </c>
      <c r="O128" s="29">
        <v>50.69</v>
      </c>
      <c r="P128" s="29">
        <v>254.54</v>
      </c>
      <c r="Q128" s="29">
        <v>78.569999999999993</v>
      </c>
      <c r="R128" s="29">
        <v>45.82</v>
      </c>
      <c r="S128" s="29">
        <v>378.93</v>
      </c>
      <c r="T128" s="29">
        <v>8</v>
      </c>
    </row>
    <row r="129" spans="2:20" hidden="1" outlineLevel="2">
      <c r="B129" s="29">
        <v>957148</v>
      </c>
      <c r="C129" s="29">
        <v>67</v>
      </c>
      <c r="D129" s="29" t="s">
        <v>591</v>
      </c>
      <c r="E129" s="29">
        <v>16684</v>
      </c>
      <c r="F129" s="29" t="s">
        <v>642</v>
      </c>
      <c r="G129" s="263">
        <v>42088</v>
      </c>
      <c r="H129" s="29">
        <v>4</v>
      </c>
      <c r="I129" s="29">
        <v>25124</v>
      </c>
      <c r="J129" s="29">
        <v>28</v>
      </c>
      <c r="K129" s="29" t="e">
        <f>VLOOKUP(J129,#REF!,2,0)</f>
        <v>#REF!</v>
      </c>
      <c r="L129" s="29">
        <v>3349</v>
      </c>
      <c r="M129" s="29" t="s">
        <v>627</v>
      </c>
      <c r="N129" s="29">
        <v>26</v>
      </c>
      <c r="O129" s="29">
        <v>95.82</v>
      </c>
      <c r="P129" s="29">
        <v>1301.3599999999999</v>
      </c>
      <c r="Q129" s="29">
        <v>0</v>
      </c>
      <c r="R129" s="29">
        <v>234.24</v>
      </c>
      <c r="S129" s="29">
        <v>1535.6</v>
      </c>
      <c r="T129" s="29">
        <v>11</v>
      </c>
    </row>
    <row r="130" spans="2:20" hidden="1" outlineLevel="2">
      <c r="B130" s="29">
        <v>957148</v>
      </c>
      <c r="C130" s="29">
        <v>67</v>
      </c>
      <c r="D130" s="29" t="s">
        <v>591</v>
      </c>
      <c r="E130" s="29">
        <v>16684</v>
      </c>
      <c r="F130" s="29" t="s">
        <v>642</v>
      </c>
      <c r="G130" s="263">
        <v>42088</v>
      </c>
      <c r="H130" s="29">
        <v>4</v>
      </c>
      <c r="I130" s="29">
        <v>25124</v>
      </c>
      <c r="J130" s="29">
        <v>28</v>
      </c>
      <c r="K130" s="29" t="e">
        <f>VLOOKUP(J130,#REF!,2,0)</f>
        <v>#REF!</v>
      </c>
      <c r="L130" s="29">
        <v>3348</v>
      </c>
      <c r="M130" s="29" t="s">
        <v>643</v>
      </c>
      <c r="N130" s="29">
        <v>36</v>
      </c>
      <c r="O130" s="29">
        <v>111.16</v>
      </c>
      <c r="P130" s="29">
        <v>1301.3599999999999</v>
      </c>
      <c r="Q130" s="29">
        <v>0</v>
      </c>
      <c r="R130" s="29">
        <v>234.24</v>
      </c>
      <c r="S130" s="29">
        <v>1535.6</v>
      </c>
      <c r="T130" s="29">
        <v>11</v>
      </c>
    </row>
    <row r="131" spans="2:20" hidden="1" outlineLevel="2">
      <c r="B131" s="29">
        <v>957254</v>
      </c>
      <c r="C131" s="29">
        <v>67</v>
      </c>
      <c r="D131" s="29" t="s">
        <v>591</v>
      </c>
      <c r="E131" s="29">
        <v>13077</v>
      </c>
      <c r="F131" s="29" t="s">
        <v>631</v>
      </c>
      <c r="G131" s="263">
        <v>42088</v>
      </c>
      <c r="H131" s="29">
        <v>4</v>
      </c>
      <c r="I131" s="29">
        <v>25125</v>
      </c>
      <c r="J131" s="29">
        <v>28</v>
      </c>
      <c r="K131" s="29" t="e">
        <f>VLOOKUP(J131,#REF!,2,0)</f>
        <v>#REF!</v>
      </c>
      <c r="L131" s="29">
        <v>2005</v>
      </c>
      <c r="M131" s="29" t="s">
        <v>644</v>
      </c>
      <c r="N131" s="29">
        <v>5</v>
      </c>
      <c r="O131" s="29">
        <v>55.69</v>
      </c>
      <c r="P131" s="29">
        <v>1407.94</v>
      </c>
      <c r="Q131" s="29">
        <v>0</v>
      </c>
      <c r="R131" s="29">
        <v>253.43</v>
      </c>
      <c r="S131" s="29">
        <v>1661.37</v>
      </c>
      <c r="T131" s="29">
        <v>14</v>
      </c>
    </row>
    <row r="132" spans="2:20" hidden="1" outlineLevel="2">
      <c r="B132" s="29">
        <v>957254</v>
      </c>
      <c r="C132" s="29">
        <v>67</v>
      </c>
      <c r="D132" s="29" t="s">
        <v>591</v>
      </c>
      <c r="E132" s="29">
        <v>13077</v>
      </c>
      <c r="F132" s="29" t="s">
        <v>631</v>
      </c>
      <c r="G132" s="263">
        <v>42088</v>
      </c>
      <c r="H132" s="29">
        <v>4</v>
      </c>
      <c r="I132" s="29">
        <v>25125</v>
      </c>
      <c r="J132" s="29">
        <v>28</v>
      </c>
      <c r="K132" s="29" t="e">
        <f>VLOOKUP(J132,#REF!,2,0)</f>
        <v>#REF!</v>
      </c>
      <c r="L132" s="29">
        <v>2870</v>
      </c>
      <c r="M132" s="29" t="s">
        <v>593</v>
      </c>
      <c r="N132" s="29">
        <v>5</v>
      </c>
      <c r="O132" s="29">
        <v>99.23</v>
      </c>
      <c r="P132" s="29">
        <v>1407.94</v>
      </c>
      <c r="Q132" s="29">
        <v>0</v>
      </c>
      <c r="R132" s="29">
        <v>253.43</v>
      </c>
      <c r="S132" s="29">
        <v>1661.37</v>
      </c>
      <c r="T132" s="29">
        <v>14</v>
      </c>
    </row>
    <row r="133" spans="2:20" hidden="1" outlineLevel="2">
      <c r="B133" s="29">
        <v>957254</v>
      </c>
      <c r="C133" s="29">
        <v>67</v>
      </c>
      <c r="D133" s="29" t="s">
        <v>591</v>
      </c>
      <c r="E133" s="29">
        <v>13077</v>
      </c>
      <c r="F133" s="29" t="s">
        <v>631</v>
      </c>
      <c r="G133" s="263">
        <v>42088</v>
      </c>
      <c r="H133" s="29">
        <v>4</v>
      </c>
      <c r="I133" s="29">
        <v>25125</v>
      </c>
      <c r="J133" s="29">
        <v>28</v>
      </c>
      <c r="K133" s="29" t="e">
        <f>VLOOKUP(J133,#REF!,2,0)</f>
        <v>#REF!</v>
      </c>
      <c r="L133" s="29">
        <v>2021</v>
      </c>
      <c r="M133" s="29" t="s">
        <v>624</v>
      </c>
      <c r="N133" s="29">
        <v>20</v>
      </c>
      <c r="O133" s="29">
        <v>51.51</v>
      </c>
      <c r="P133" s="29">
        <v>1407.94</v>
      </c>
      <c r="Q133" s="29">
        <v>0</v>
      </c>
      <c r="R133" s="29">
        <v>253.43</v>
      </c>
      <c r="S133" s="29">
        <v>1661.37</v>
      </c>
      <c r="T133" s="29">
        <v>14</v>
      </c>
    </row>
    <row r="134" spans="2:20" hidden="1" outlineLevel="2">
      <c r="B134" s="29">
        <v>957254</v>
      </c>
      <c r="C134" s="29">
        <v>67</v>
      </c>
      <c r="D134" s="29" t="s">
        <v>591</v>
      </c>
      <c r="E134" s="29">
        <v>13077</v>
      </c>
      <c r="F134" s="29" t="s">
        <v>631</v>
      </c>
      <c r="G134" s="263">
        <v>42088</v>
      </c>
      <c r="H134" s="29">
        <v>4</v>
      </c>
      <c r="I134" s="29">
        <v>25125</v>
      </c>
      <c r="J134" s="29">
        <v>28</v>
      </c>
      <c r="K134" s="29" t="e">
        <f>VLOOKUP(J134,#REF!,2,0)</f>
        <v>#REF!</v>
      </c>
      <c r="L134" s="29">
        <v>8197</v>
      </c>
      <c r="M134" s="29" t="s">
        <v>645</v>
      </c>
      <c r="N134" s="29">
        <v>5</v>
      </c>
      <c r="O134" s="29">
        <v>25.14</v>
      </c>
      <c r="P134" s="29">
        <v>1407.94</v>
      </c>
      <c r="Q134" s="29">
        <v>0</v>
      </c>
      <c r="R134" s="29">
        <v>253.43</v>
      </c>
      <c r="S134" s="29">
        <v>1661.37</v>
      </c>
      <c r="T134" s="29">
        <v>14</v>
      </c>
    </row>
    <row r="135" spans="2:20" hidden="1" outlineLevel="2">
      <c r="B135" s="29">
        <v>957254</v>
      </c>
      <c r="C135" s="29">
        <v>67</v>
      </c>
      <c r="D135" s="29" t="s">
        <v>591</v>
      </c>
      <c r="E135" s="29">
        <v>13077</v>
      </c>
      <c r="F135" s="29" t="s">
        <v>631</v>
      </c>
      <c r="G135" s="263">
        <v>42088</v>
      </c>
      <c r="H135" s="29">
        <v>4</v>
      </c>
      <c r="I135" s="29">
        <v>25125</v>
      </c>
      <c r="J135" s="29">
        <v>28</v>
      </c>
      <c r="K135" s="29" t="e">
        <f>VLOOKUP(J135,#REF!,2,0)</f>
        <v>#REF!</v>
      </c>
      <c r="L135" s="29">
        <v>9993</v>
      </c>
      <c r="M135" s="29" t="s">
        <v>598</v>
      </c>
      <c r="N135" s="29">
        <v>2</v>
      </c>
      <c r="O135" s="29">
        <v>24.54</v>
      </c>
      <c r="P135" s="29">
        <v>1407.94</v>
      </c>
      <c r="Q135" s="29">
        <v>0</v>
      </c>
      <c r="R135" s="29">
        <v>253.43</v>
      </c>
      <c r="S135" s="29">
        <v>1661.37</v>
      </c>
      <c r="T135" s="29">
        <v>14</v>
      </c>
    </row>
    <row r="136" spans="2:20" hidden="1" outlineLevel="2">
      <c r="B136" s="29">
        <v>957254</v>
      </c>
      <c r="C136" s="29">
        <v>67</v>
      </c>
      <c r="D136" s="29" t="s">
        <v>591</v>
      </c>
      <c r="E136" s="29">
        <v>13077</v>
      </c>
      <c r="F136" s="29" t="s">
        <v>631</v>
      </c>
      <c r="G136" s="263">
        <v>42088</v>
      </c>
      <c r="H136" s="29">
        <v>4</v>
      </c>
      <c r="I136" s="29">
        <v>25125</v>
      </c>
      <c r="J136" s="29">
        <v>28</v>
      </c>
      <c r="K136" s="29" t="e">
        <f>VLOOKUP(J136,#REF!,2,0)</f>
        <v>#REF!</v>
      </c>
      <c r="L136" s="29">
        <v>13560</v>
      </c>
      <c r="M136" s="29" t="s">
        <v>646</v>
      </c>
      <c r="N136" s="29">
        <v>5</v>
      </c>
      <c r="O136" s="29">
        <v>29.11</v>
      </c>
      <c r="P136" s="29">
        <v>1407.94</v>
      </c>
      <c r="Q136" s="29">
        <v>0</v>
      </c>
      <c r="R136" s="29">
        <v>253.43</v>
      </c>
      <c r="S136" s="29">
        <v>1661.37</v>
      </c>
      <c r="T136" s="29">
        <v>14</v>
      </c>
    </row>
    <row r="137" spans="2:20" hidden="1" outlineLevel="2">
      <c r="B137" s="29">
        <v>957254</v>
      </c>
      <c r="C137" s="29">
        <v>67</v>
      </c>
      <c r="D137" s="29" t="s">
        <v>591</v>
      </c>
      <c r="E137" s="29">
        <v>13077</v>
      </c>
      <c r="F137" s="29" t="s">
        <v>631</v>
      </c>
      <c r="G137" s="263">
        <v>42088</v>
      </c>
      <c r="H137" s="29">
        <v>4</v>
      </c>
      <c r="I137" s="29">
        <v>25125</v>
      </c>
      <c r="J137" s="29">
        <v>28</v>
      </c>
      <c r="K137" s="29" t="e">
        <f>VLOOKUP(J137,#REF!,2,0)</f>
        <v>#REF!</v>
      </c>
      <c r="L137" s="29">
        <v>10367</v>
      </c>
      <c r="M137" s="29" t="s">
        <v>640</v>
      </c>
      <c r="N137" s="29">
        <v>150</v>
      </c>
      <c r="O137" s="29">
        <v>67.55</v>
      </c>
      <c r="P137" s="29">
        <v>1407.94</v>
      </c>
      <c r="Q137" s="29">
        <v>0</v>
      </c>
      <c r="R137" s="29">
        <v>253.43</v>
      </c>
      <c r="S137" s="29">
        <v>1661.37</v>
      </c>
      <c r="T137" s="29">
        <v>14</v>
      </c>
    </row>
    <row r="138" spans="2:20" hidden="1" outlineLevel="2">
      <c r="B138" s="29">
        <v>957254</v>
      </c>
      <c r="C138" s="29">
        <v>67</v>
      </c>
      <c r="D138" s="29" t="s">
        <v>591</v>
      </c>
      <c r="E138" s="29">
        <v>13077</v>
      </c>
      <c r="F138" s="29" t="s">
        <v>631</v>
      </c>
      <c r="G138" s="263">
        <v>42088</v>
      </c>
      <c r="H138" s="29">
        <v>4</v>
      </c>
      <c r="I138" s="29">
        <v>25125</v>
      </c>
      <c r="J138" s="29">
        <v>28</v>
      </c>
      <c r="K138" s="29" t="e">
        <f>VLOOKUP(J138,#REF!,2,0)</f>
        <v>#REF!</v>
      </c>
      <c r="L138" s="29">
        <v>2036</v>
      </c>
      <c r="M138" s="29" t="s">
        <v>647</v>
      </c>
      <c r="N138" s="29">
        <v>40</v>
      </c>
      <c r="O138" s="29">
        <v>192.63</v>
      </c>
      <c r="P138" s="29">
        <v>1407.94</v>
      </c>
      <c r="Q138" s="29">
        <v>0</v>
      </c>
      <c r="R138" s="29">
        <v>253.43</v>
      </c>
      <c r="S138" s="29">
        <v>1661.37</v>
      </c>
      <c r="T138" s="29">
        <v>14</v>
      </c>
    </row>
    <row r="139" spans="2:20" hidden="1" outlineLevel="2">
      <c r="B139" s="29">
        <v>957254</v>
      </c>
      <c r="C139" s="29">
        <v>67</v>
      </c>
      <c r="D139" s="29" t="s">
        <v>591</v>
      </c>
      <c r="E139" s="29">
        <v>13077</v>
      </c>
      <c r="F139" s="29" t="s">
        <v>631</v>
      </c>
      <c r="G139" s="263">
        <v>42088</v>
      </c>
      <c r="H139" s="29">
        <v>4</v>
      </c>
      <c r="I139" s="29">
        <v>25125</v>
      </c>
      <c r="J139" s="29">
        <v>28</v>
      </c>
      <c r="K139" s="29" t="e">
        <f>VLOOKUP(J139,#REF!,2,0)</f>
        <v>#REF!</v>
      </c>
      <c r="L139" s="29">
        <v>2038</v>
      </c>
      <c r="M139" s="29" t="s">
        <v>614</v>
      </c>
      <c r="N139" s="29">
        <v>3</v>
      </c>
      <c r="O139" s="29">
        <v>14.82</v>
      </c>
      <c r="P139" s="29">
        <v>1407.94</v>
      </c>
      <c r="Q139" s="29">
        <v>0</v>
      </c>
      <c r="R139" s="29">
        <v>253.43</v>
      </c>
      <c r="S139" s="29">
        <v>1661.37</v>
      </c>
      <c r="T139" s="29">
        <v>14</v>
      </c>
    </row>
    <row r="140" spans="2:20" hidden="1" outlineLevel="2">
      <c r="B140" s="29">
        <v>957254</v>
      </c>
      <c r="C140" s="29">
        <v>67</v>
      </c>
      <c r="D140" s="29" t="s">
        <v>591</v>
      </c>
      <c r="E140" s="29">
        <v>13077</v>
      </c>
      <c r="F140" s="29" t="s">
        <v>631</v>
      </c>
      <c r="G140" s="263">
        <v>42088</v>
      </c>
      <c r="H140" s="29">
        <v>4</v>
      </c>
      <c r="I140" s="29">
        <v>25125</v>
      </c>
      <c r="J140" s="29">
        <v>28</v>
      </c>
      <c r="K140" s="29" t="e">
        <f>VLOOKUP(J140,#REF!,2,0)</f>
        <v>#REF!</v>
      </c>
      <c r="L140" s="29">
        <v>2043</v>
      </c>
      <c r="M140" s="29" t="s">
        <v>599</v>
      </c>
      <c r="N140" s="29">
        <v>8</v>
      </c>
      <c r="O140" s="29">
        <v>58.42</v>
      </c>
      <c r="P140" s="29">
        <v>1407.94</v>
      </c>
      <c r="Q140" s="29">
        <v>0</v>
      </c>
      <c r="R140" s="29">
        <v>253.43</v>
      </c>
      <c r="S140" s="29">
        <v>1661.37</v>
      </c>
      <c r="T140" s="29">
        <v>14</v>
      </c>
    </row>
    <row r="141" spans="2:20" hidden="1" outlineLevel="2">
      <c r="B141" s="29">
        <v>957254</v>
      </c>
      <c r="C141" s="29">
        <v>67</v>
      </c>
      <c r="D141" s="29" t="s">
        <v>591</v>
      </c>
      <c r="E141" s="29">
        <v>13077</v>
      </c>
      <c r="F141" s="29" t="s">
        <v>631</v>
      </c>
      <c r="G141" s="263">
        <v>42088</v>
      </c>
      <c r="H141" s="29">
        <v>4</v>
      </c>
      <c r="I141" s="29">
        <v>25125</v>
      </c>
      <c r="J141" s="29">
        <v>28</v>
      </c>
      <c r="K141" s="29" t="e">
        <f>VLOOKUP(J141,#REF!,2,0)</f>
        <v>#REF!</v>
      </c>
      <c r="L141" s="29">
        <v>5508</v>
      </c>
      <c r="M141" s="29" t="s">
        <v>648</v>
      </c>
      <c r="N141" s="29">
        <v>5</v>
      </c>
      <c r="O141" s="29">
        <v>18.670000000000002</v>
      </c>
      <c r="P141" s="29">
        <v>1407.94</v>
      </c>
      <c r="Q141" s="29">
        <v>0</v>
      </c>
      <c r="R141" s="29">
        <v>253.43</v>
      </c>
      <c r="S141" s="29">
        <v>1661.37</v>
      </c>
      <c r="T141" s="29">
        <v>14</v>
      </c>
    </row>
    <row r="142" spans="2:20" hidden="1" outlineLevel="2">
      <c r="B142" s="29">
        <v>957254</v>
      </c>
      <c r="C142" s="29">
        <v>67</v>
      </c>
      <c r="D142" s="29" t="s">
        <v>591</v>
      </c>
      <c r="E142" s="29">
        <v>13077</v>
      </c>
      <c r="F142" s="29" t="s">
        <v>631</v>
      </c>
      <c r="G142" s="263">
        <v>42088</v>
      </c>
      <c r="H142" s="29">
        <v>4</v>
      </c>
      <c r="I142" s="29">
        <v>25125</v>
      </c>
      <c r="J142" s="29">
        <v>28</v>
      </c>
      <c r="K142" s="29" t="e">
        <f>VLOOKUP(J142,#REF!,2,0)</f>
        <v>#REF!</v>
      </c>
      <c r="L142" s="29">
        <v>15249</v>
      </c>
      <c r="M142" s="29" t="s">
        <v>600</v>
      </c>
      <c r="N142" s="29">
        <v>5</v>
      </c>
      <c r="O142" s="29">
        <v>69.849999999999994</v>
      </c>
      <c r="P142" s="29">
        <v>1407.94</v>
      </c>
      <c r="Q142" s="29">
        <v>0</v>
      </c>
      <c r="R142" s="29">
        <v>253.43</v>
      </c>
      <c r="S142" s="29">
        <v>1661.37</v>
      </c>
      <c r="T142" s="29">
        <v>14</v>
      </c>
    </row>
    <row r="143" spans="2:20" hidden="1" outlineLevel="2">
      <c r="B143" s="29">
        <v>957254</v>
      </c>
      <c r="C143" s="29">
        <v>67</v>
      </c>
      <c r="D143" s="29" t="s">
        <v>591</v>
      </c>
      <c r="E143" s="29">
        <v>13077</v>
      </c>
      <c r="F143" s="29" t="s">
        <v>631</v>
      </c>
      <c r="G143" s="263">
        <v>42088</v>
      </c>
      <c r="H143" s="29">
        <v>4</v>
      </c>
      <c r="I143" s="29">
        <v>25125</v>
      </c>
      <c r="J143" s="29">
        <v>28</v>
      </c>
      <c r="K143" s="29" t="e">
        <f>VLOOKUP(J143,#REF!,2,0)</f>
        <v>#REF!</v>
      </c>
      <c r="L143" s="29">
        <v>3344</v>
      </c>
      <c r="M143" s="29" t="s">
        <v>626</v>
      </c>
      <c r="N143" s="29">
        <v>30</v>
      </c>
      <c r="O143" s="29">
        <v>336.73</v>
      </c>
      <c r="P143" s="29">
        <v>1407.94</v>
      </c>
      <c r="Q143" s="29">
        <v>0</v>
      </c>
      <c r="R143" s="29">
        <v>253.43</v>
      </c>
      <c r="S143" s="29">
        <v>1661.37</v>
      </c>
      <c r="T143" s="29">
        <v>14</v>
      </c>
    </row>
    <row r="144" spans="2:20" hidden="1" outlineLevel="2">
      <c r="B144" s="29">
        <v>957254</v>
      </c>
      <c r="C144" s="29">
        <v>67</v>
      </c>
      <c r="D144" s="29" t="s">
        <v>591</v>
      </c>
      <c r="E144" s="29">
        <v>13077</v>
      </c>
      <c r="F144" s="29" t="s">
        <v>631</v>
      </c>
      <c r="G144" s="263">
        <v>42088</v>
      </c>
      <c r="H144" s="29">
        <v>4</v>
      </c>
      <c r="I144" s="29">
        <v>25125</v>
      </c>
      <c r="J144" s="29">
        <v>28</v>
      </c>
      <c r="K144" s="29" t="e">
        <f>VLOOKUP(J144,#REF!,2,0)</f>
        <v>#REF!</v>
      </c>
      <c r="L144" s="29">
        <v>5510</v>
      </c>
      <c r="M144" s="29" t="s">
        <v>603</v>
      </c>
      <c r="N144" s="29">
        <v>5</v>
      </c>
      <c r="O144" s="29">
        <v>56.76</v>
      </c>
      <c r="P144" s="29">
        <v>1407.94</v>
      </c>
      <c r="Q144" s="29">
        <v>0</v>
      </c>
      <c r="R144" s="29">
        <v>253.43</v>
      </c>
      <c r="S144" s="29">
        <v>1661.37</v>
      </c>
      <c r="T144" s="29">
        <v>14</v>
      </c>
    </row>
    <row r="145" spans="2:20" hidden="1" outlineLevel="2">
      <c r="B145" s="29">
        <v>957254</v>
      </c>
      <c r="C145" s="29">
        <v>67</v>
      </c>
      <c r="D145" s="29" t="s">
        <v>591</v>
      </c>
      <c r="E145" s="29">
        <v>13077</v>
      </c>
      <c r="F145" s="29" t="s">
        <v>631</v>
      </c>
      <c r="G145" s="263">
        <v>42088</v>
      </c>
      <c r="H145" s="29">
        <v>4</v>
      </c>
      <c r="I145" s="29">
        <v>25125</v>
      </c>
      <c r="J145" s="29">
        <v>28</v>
      </c>
      <c r="K145" s="29" t="e">
        <f>VLOOKUP(J145,#REF!,2,0)</f>
        <v>#REF!</v>
      </c>
      <c r="L145" s="29">
        <v>3349</v>
      </c>
      <c r="M145" s="29" t="s">
        <v>627</v>
      </c>
      <c r="N145" s="29">
        <v>60</v>
      </c>
      <c r="O145" s="29">
        <v>216.71</v>
      </c>
      <c r="P145" s="29">
        <v>1407.94</v>
      </c>
      <c r="Q145" s="29">
        <v>0</v>
      </c>
      <c r="R145" s="29">
        <v>253.43</v>
      </c>
      <c r="S145" s="29">
        <v>1661.37</v>
      </c>
      <c r="T145" s="29">
        <v>14</v>
      </c>
    </row>
    <row r="146" spans="2:20" hidden="1" outlineLevel="2">
      <c r="B146" s="29">
        <v>959117</v>
      </c>
      <c r="C146" s="29">
        <v>67</v>
      </c>
      <c r="D146" s="29" t="s">
        <v>591</v>
      </c>
      <c r="E146" s="29">
        <v>3716</v>
      </c>
      <c r="F146" s="29" t="s">
        <v>649</v>
      </c>
      <c r="G146" s="263">
        <v>42088</v>
      </c>
      <c r="H146" s="29">
        <v>4</v>
      </c>
      <c r="I146" s="29">
        <v>25156</v>
      </c>
      <c r="J146" s="29">
        <v>28</v>
      </c>
      <c r="K146" s="29" t="e">
        <f>VLOOKUP(J146,#REF!,2,0)</f>
        <v>#REF!</v>
      </c>
      <c r="L146" s="29">
        <v>3342</v>
      </c>
      <c r="M146" s="29" t="s">
        <v>628</v>
      </c>
      <c r="N146" s="29">
        <v>2</v>
      </c>
      <c r="O146" s="29">
        <v>26.84</v>
      </c>
      <c r="P146" s="29">
        <v>26.84</v>
      </c>
      <c r="Q146" s="29">
        <v>0</v>
      </c>
      <c r="R146" s="29">
        <v>4.83</v>
      </c>
      <c r="S146" s="29">
        <v>31.67</v>
      </c>
      <c r="T146" s="29">
        <v>8</v>
      </c>
    </row>
    <row r="147" spans="2:20" hidden="1" outlineLevel="2">
      <c r="B147" s="29">
        <v>959122</v>
      </c>
      <c r="C147" s="29">
        <v>67</v>
      </c>
      <c r="D147" s="29" t="s">
        <v>591</v>
      </c>
      <c r="E147" s="29">
        <v>3925</v>
      </c>
      <c r="F147" s="29" t="s">
        <v>650</v>
      </c>
      <c r="G147" s="263">
        <v>42088</v>
      </c>
      <c r="H147" s="29">
        <v>4</v>
      </c>
      <c r="I147" s="29">
        <v>25160</v>
      </c>
      <c r="J147" s="29">
        <v>28</v>
      </c>
      <c r="K147" s="29" t="e">
        <f>VLOOKUP(J147,#REF!,2,0)</f>
        <v>#REF!</v>
      </c>
      <c r="L147" s="29">
        <v>3342</v>
      </c>
      <c r="M147" s="29" t="s">
        <v>628</v>
      </c>
      <c r="N147" s="29">
        <v>2</v>
      </c>
      <c r="O147" s="29">
        <v>26.84</v>
      </c>
      <c r="P147" s="29">
        <v>201.51</v>
      </c>
      <c r="Q147" s="29">
        <v>0</v>
      </c>
      <c r="R147" s="29">
        <v>36.270000000000003</v>
      </c>
      <c r="S147" s="29">
        <v>237.78</v>
      </c>
      <c r="T147" s="29">
        <v>8</v>
      </c>
    </row>
    <row r="148" spans="2:20" hidden="1" outlineLevel="2">
      <c r="B148" s="29">
        <v>957147</v>
      </c>
      <c r="C148" s="29">
        <v>67</v>
      </c>
      <c r="D148" s="29" t="s">
        <v>591</v>
      </c>
      <c r="E148" s="29">
        <v>16684</v>
      </c>
      <c r="F148" s="29" t="s">
        <v>642</v>
      </c>
      <c r="G148" s="263">
        <v>42088</v>
      </c>
      <c r="H148" s="29">
        <v>4</v>
      </c>
      <c r="I148" s="29">
        <v>25123</v>
      </c>
      <c r="J148" s="29">
        <v>28</v>
      </c>
      <c r="K148" s="29" t="e">
        <f>VLOOKUP(J148,#REF!,2,0)</f>
        <v>#REF!</v>
      </c>
      <c r="L148" s="29">
        <v>2005</v>
      </c>
      <c r="M148" s="29" t="s">
        <v>644</v>
      </c>
      <c r="N148" s="29">
        <v>4</v>
      </c>
      <c r="O148" s="29">
        <v>46.71</v>
      </c>
      <c r="P148" s="29">
        <v>1672.96</v>
      </c>
      <c r="Q148" s="29">
        <v>70.73</v>
      </c>
      <c r="R148" s="29">
        <v>301.13</v>
      </c>
      <c r="S148" s="29">
        <v>2044.82</v>
      </c>
      <c r="T148" s="29">
        <v>11</v>
      </c>
    </row>
    <row r="149" spans="2:20" hidden="1" outlineLevel="2">
      <c r="B149" s="29">
        <v>957147</v>
      </c>
      <c r="C149" s="29">
        <v>67</v>
      </c>
      <c r="D149" s="29" t="s">
        <v>591</v>
      </c>
      <c r="E149" s="29">
        <v>16684</v>
      </c>
      <c r="F149" s="29" t="s">
        <v>642</v>
      </c>
      <c r="G149" s="263">
        <v>42088</v>
      </c>
      <c r="H149" s="29">
        <v>4</v>
      </c>
      <c r="I149" s="29">
        <v>25123</v>
      </c>
      <c r="J149" s="29">
        <v>28</v>
      </c>
      <c r="K149" s="29" t="e">
        <f>VLOOKUP(J149,#REF!,2,0)</f>
        <v>#REF!</v>
      </c>
      <c r="L149" s="29">
        <v>15663</v>
      </c>
      <c r="M149" s="29" t="s">
        <v>651</v>
      </c>
      <c r="N149" s="29">
        <v>1</v>
      </c>
      <c r="O149" s="29">
        <v>27.72</v>
      </c>
      <c r="P149" s="29">
        <v>1672.96</v>
      </c>
      <c r="Q149" s="29">
        <v>70.73</v>
      </c>
      <c r="R149" s="29">
        <v>301.13</v>
      </c>
      <c r="S149" s="29">
        <v>2044.82</v>
      </c>
      <c r="T149" s="29">
        <v>11</v>
      </c>
    </row>
    <row r="150" spans="2:20" hidden="1" outlineLevel="2">
      <c r="B150" s="29">
        <v>957147</v>
      </c>
      <c r="C150" s="29">
        <v>67</v>
      </c>
      <c r="D150" s="29" t="s">
        <v>591</v>
      </c>
      <c r="E150" s="29">
        <v>16684</v>
      </c>
      <c r="F150" s="29" t="s">
        <v>642</v>
      </c>
      <c r="G150" s="263">
        <v>42088</v>
      </c>
      <c r="H150" s="29">
        <v>4</v>
      </c>
      <c r="I150" s="29">
        <v>25123</v>
      </c>
      <c r="J150" s="29">
        <v>28</v>
      </c>
      <c r="K150" s="29" t="e">
        <f>VLOOKUP(J150,#REF!,2,0)</f>
        <v>#REF!</v>
      </c>
      <c r="L150" s="29">
        <v>2015</v>
      </c>
      <c r="M150" s="29" t="s">
        <v>639</v>
      </c>
      <c r="N150" s="29">
        <v>8</v>
      </c>
      <c r="O150" s="29">
        <v>80.290000000000006</v>
      </c>
      <c r="P150" s="29">
        <v>1672.96</v>
      </c>
      <c r="Q150" s="29">
        <v>70.73</v>
      </c>
      <c r="R150" s="29">
        <v>301.13</v>
      </c>
      <c r="S150" s="29">
        <v>2044.82</v>
      </c>
      <c r="T150" s="29">
        <v>11</v>
      </c>
    </row>
    <row r="151" spans="2:20" hidden="1" outlineLevel="2">
      <c r="B151" s="29">
        <v>957147</v>
      </c>
      <c r="C151" s="29">
        <v>67</v>
      </c>
      <c r="D151" s="29" t="s">
        <v>591</v>
      </c>
      <c r="E151" s="29">
        <v>16684</v>
      </c>
      <c r="F151" s="29" t="s">
        <v>642</v>
      </c>
      <c r="G151" s="263">
        <v>42088</v>
      </c>
      <c r="H151" s="29">
        <v>4</v>
      </c>
      <c r="I151" s="29">
        <v>25123</v>
      </c>
      <c r="J151" s="29">
        <v>28</v>
      </c>
      <c r="K151" s="29" t="e">
        <f>VLOOKUP(J151,#REF!,2,0)</f>
        <v>#REF!</v>
      </c>
      <c r="L151" s="29">
        <v>2018</v>
      </c>
      <c r="M151" s="29" t="s">
        <v>595</v>
      </c>
      <c r="N151" s="29">
        <v>7</v>
      </c>
      <c r="O151" s="29">
        <v>90.27</v>
      </c>
      <c r="P151" s="29">
        <v>1672.96</v>
      </c>
      <c r="Q151" s="29">
        <v>70.73</v>
      </c>
      <c r="R151" s="29">
        <v>301.13</v>
      </c>
      <c r="S151" s="29">
        <v>2044.82</v>
      </c>
      <c r="T151" s="29">
        <v>11</v>
      </c>
    </row>
    <row r="152" spans="2:20" hidden="1" outlineLevel="2">
      <c r="B152" s="29">
        <v>957147</v>
      </c>
      <c r="C152" s="29">
        <v>67</v>
      </c>
      <c r="D152" s="29" t="s">
        <v>591</v>
      </c>
      <c r="E152" s="29">
        <v>16684</v>
      </c>
      <c r="F152" s="29" t="s">
        <v>642</v>
      </c>
      <c r="G152" s="263">
        <v>42088</v>
      </c>
      <c r="H152" s="29">
        <v>4</v>
      </c>
      <c r="I152" s="29">
        <v>25123</v>
      </c>
      <c r="J152" s="29">
        <v>28</v>
      </c>
      <c r="K152" s="29" t="e">
        <f>VLOOKUP(J152,#REF!,2,0)</f>
        <v>#REF!</v>
      </c>
      <c r="L152" s="29">
        <v>8196</v>
      </c>
      <c r="M152" s="29" t="s">
        <v>597</v>
      </c>
      <c r="N152" s="29">
        <v>1</v>
      </c>
      <c r="O152" s="29">
        <v>3.85</v>
      </c>
      <c r="P152" s="29">
        <v>1672.96</v>
      </c>
      <c r="Q152" s="29">
        <v>70.73</v>
      </c>
      <c r="R152" s="29">
        <v>301.13</v>
      </c>
      <c r="S152" s="29">
        <v>2044.82</v>
      </c>
      <c r="T152" s="29">
        <v>11</v>
      </c>
    </row>
    <row r="153" spans="2:20" hidden="1" outlineLevel="2">
      <c r="B153" s="29">
        <v>957147</v>
      </c>
      <c r="C153" s="29">
        <v>67</v>
      </c>
      <c r="D153" s="29" t="s">
        <v>591</v>
      </c>
      <c r="E153" s="29">
        <v>16684</v>
      </c>
      <c r="F153" s="29" t="s">
        <v>642</v>
      </c>
      <c r="G153" s="263">
        <v>42088</v>
      </c>
      <c r="H153" s="29">
        <v>4</v>
      </c>
      <c r="I153" s="29">
        <v>25123</v>
      </c>
      <c r="J153" s="29">
        <v>28</v>
      </c>
      <c r="K153" s="29" t="e">
        <f>VLOOKUP(J153,#REF!,2,0)</f>
        <v>#REF!</v>
      </c>
      <c r="L153" s="29">
        <v>8197</v>
      </c>
      <c r="M153" s="29" t="s">
        <v>645</v>
      </c>
      <c r="N153" s="29">
        <v>1</v>
      </c>
      <c r="O153" s="29">
        <v>5.13</v>
      </c>
      <c r="P153" s="29">
        <v>1672.96</v>
      </c>
      <c r="Q153" s="29">
        <v>70.73</v>
      </c>
      <c r="R153" s="29">
        <v>301.13</v>
      </c>
      <c r="S153" s="29">
        <v>2044.82</v>
      </c>
      <c r="T153" s="29">
        <v>11</v>
      </c>
    </row>
    <row r="154" spans="2:20" hidden="1" outlineLevel="2">
      <c r="B154" s="29">
        <v>957147</v>
      </c>
      <c r="C154" s="29">
        <v>67</v>
      </c>
      <c r="D154" s="29" t="s">
        <v>591</v>
      </c>
      <c r="E154" s="29">
        <v>16684</v>
      </c>
      <c r="F154" s="29" t="s">
        <v>642</v>
      </c>
      <c r="G154" s="263">
        <v>42088</v>
      </c>
      <c r="H154" s="29">
        <v>4</v>
      </c>
      <c r="I154" s="29">
        <v>25123</v>
      </c>
      <c r="J154" s="29">
        <v>28</v>
      </c>
      <c r="K154" s="29" t="e">
        <f>VLOOKUP(J154,#REF!,2,0)</f>
        <v>#REF!</v>
      </c>
      <c r="L154" s="29">
        <v>9993</v>
      </c>
      <c r="M154" s="29" t="s">
        <v>598</v>
      </c>
      <c r="N154" s="29">
        <v>1</v>
      </c>
      <c r="O154" s="29">
        <v>12.52</v>
      </c>
      <c r="P154" s="29">
        <v>1672.96</v>
      </c>
      <c r="Q154" s="29">
        <v>70.73</v>
      </c>
      <c r="R154" s="29">
        <v>301.13</v>
      </c>
      <c r="S154" s="29">
        <v>2044.82</v>
      </c>
      <c r="T154" s="29">
        <v>11</v>
      </c>
    </row>
    <row r="155" spans="2:20" hidden="1" outlineLevel="2">
      <c r="B155" s="29">
        <v>957147</v>
      </c>
      <c r="C155" s="29">
        <v>67</v>
      </c>
      <c r="D155" s="29" t="s">
        <v>591</v>
      </c>
      <c r="E155" s="29">
        <v>16684</v>
      </c>
      <c r="F155" s="29" t="s">
        <v>642</v>
      </c>
      <c r="G155" s="263">
        <v>42088</v>
      </c>
      <c r="H155" s="29">
        <v>4</v>
      </c>
      <c r="I155" s="29">
        <v>25123</v>
      </c>
      <c r="J155" s="29">
        <v>28</v>
      </c>
      <c r="K155" s="29" t="e">
        <f>VLOOKUP(J155,#REF!,2,0)</f>
        <v>#REF!</v>
      </c>
      <c r="L155" s="29">
        <v>9993</v>
      </c>
      <c r="M155" s="29" t="s">
        <v>598</v>
      </c>
      <c r="N155" s="29">
        <v>1</v>
      </c>
      <c r="O155" s="29">
        <v>12.52</v>
      </c>
      <c r="P155" s="29">
        <v>1672.96</v>
      </c>
      <c r="Q155" s="29">
        <v>70.73</v>
      </c>
      <c r="R155" s="29">
        <v>301.13</v>
      </c>
      <c r="S155" s="29">
        <v>2044.82</v>
      </c>
      <c r="T155" s="29">
        <v>11</v>
      </c>
    </row>
    <row r="156" spans="2:20" hidden="1" outlineLevel="2">
      <c r="B156" s="29">
        <v>957147</v>
      </c>
      <c r="C156" s="29">
        <v>67</v>
      </c>
      <c r="D156" s="29" t="s">
        <v>591</v>
      </c>
      <c r="E156" s="29">
        <v>16684</v>
      </c>
      <c r="F156" s="29" t="s">
        <v>642</v>
      </c>
      <c r="G156" s="263">
        <v>42088</v>
      </c>
      <c r="H156" s="29">
        <v>4</v>
      </c>
      <c r="I156" s="29">
        <v>25123</v>
      </c>
      <c r="J156" s="29">
        <v>28</v>
      </c>
      <c r="K156" s="29" t="e">
        <f>VLOOKUP(J156,#REF!,2,0)</f>
        <v>#REF!</v>
      </c>
      <c r="L156" s="29">
        <v>8198</v>
      </c>
      <c r="M156" s="29" t="s">
        <v>611</v>
      </c>
      <c r="N156" s="29">
        <v>5</v>
      </c>
      <c r="O156" s="29">
        <v>25.2</v>
      </c>
      <c r="P156" s="29">
        <v>1672.96</v>
      </c>
      <c r="Q156" s="29">
        <v>70.73</v>
      </c>
      <c r="R156" s="29">
        <v>301.13</v>
      </c>
      <c r="S156" s="29">
        <v>2044.82</v>
      </c>
      <c r="T156" s="29">
        <v>11</v>
      </c>
    </row>
    <row r="157" spans="2:20" hidden="1" outlineLevel="2">
      <c r="B157" s="29">
        <v>957147</v>
      </c>
      <c r="C157" s="29">
        <v>67</v>
      </c>
      <c r="D157" s="29" t="s">
        <v>591</v>
      </c>
      <c r="E157" s="29">
        <v>16684</v>
      </c>
      <c r="F157" s="29" t="s">
        <v>642</v>
      </c>
      <c r="G157" s="263">
        <v>42088</v>
      </c>
      <c r="H157" s="29">
        <v>4</v>
      </c>
      <c r="I157" s="29">
        <v>25123</v>
      </c>
      <c r="J157" s="29">
        <v>28</v>
      </c>
      <c r="K157" s="29" t="e">
        <f>VLOOKUP(J157,#REF!,2,0)</f>
        <v>#REF!</v>
      </c>
      <c r="L157" s="29">
        <v>8199</v>
      </c>
      <c r="M157" s="29" t="s">
        <v>612</v>
      </c>
      <c r="N157" s="29">
        <v>5</v>
      </c>
      <c r="O157" s="29">
        <v>31.53</v>
      </c>
      <c r="P157" s="29">
        <v>1672.96</v>
      </c>
      <c r="Q157" s="29">
        <v>70.73</v>
      </c>
      <c r="R157" s="29">
        <v>301.13</v>
      </c>
      <c r="S157" s="29">
        <v>2044.82</v>
      </c>
      <c r="T157" s="29">
        <v>11</v>
      </c>
    </row>
    <row r="158" spans="2:20" hidden="1" outlineLevel="2">
      <c r="B158" s="29">
        <v>957147</v>
      </c>
      <c r="C158" s="29">
        <v>67</v>
      </c>
      <c r="D158" s="29" t="s">
        <v>591</v>
      </c>
      <c r="E158" s="29">
        <v>16684</v>
      </c>
      <c r="F158" s="29" t="s">
        <v>642</v>
      </c>
      <c r="G158" s="263">
        <v>42088</v>
      </c>
      <c r="H158" s="29">
        <v>4</v>
      </c>
      <c r="I158" s="29">
        <v>25123</v>
      </c>
      <c r="J158" s="29">
        <v>28</v>
      </c>
      <c r="K158" s="29" t="e">
        <f>VLOOKUP(J158,#REF!,2,0)</f>
        <v>#REF!</v>
      </c>
      <c r="L158" s="29">
        <v>2043</v>
      </c>
      <c r="M158" s="29" t="s">
        <v>599</v>
      </c>
      <c r="N158" s="29">
        <v>6</v>
      </c>
      <c r="O158" s="29">
        <v>44.71</v>
      </c>
      <c r="P158" s="29">
        <v>1672.96</v>
      </c>
      <c r="Q158" s="29">
        <v>70.73</v>
      </c>
      <c r="R158" s="29">
        <v>301.13</v>
      </c>
      <c r="S158" s="29">
        <v>2044.82</v>
      </c>
      <c r="T158" s="29">
        <v>11</v>
      </c>
    </row>
    <row r="159" spans="2:20" hidden="1" outlineLevel="2">
      <c r="B159" s="29">
        <v>957147</v>
      </c>
      <c r="C159" s="29">
        <v>67</v>
      </c>
      <c r="D159" s="29" t="s">
        <v>591</v>
      </c>
      <c r="E159" s="29">
        <v>16684</v>
      </c>
      <c r="F159" s="29" t="s">
        <v>642</v>
      </c>
      <c r="G159" s="263">
        <v>42088</v>
      </c>
      <c r="H159" s="29">
        <v>4</v>
      </c>
      <c r="I159" s="29">
        <v>25123</v>
      </c>
      <c r="J159" s="29">
        <v>28</v>
      </c>
      <c r="K159" s="29" t="e">
        <f>VLOOKUP(J159,#REF!,2,0)</f>
        <v>#REF!</v>
      </c>
      <c r="L159" s="29">
        <v>15694</v>
      </c>
      <c r="M159" s="29" t="s">
        <v>615</v>
      </c>
      <c r="N159" s="29">
        <v>2</v>
      </c>
      <c r="O159" s="29">
        <v>70.73</v>
      </c>
      <c r="P159" s="29">
        <v>1672.96</v>
      </c>
      <c r="Q159" s="29">
        <v>70.73</v>
      </c>
      <c r="R159" s="29">
        <v>301.13</v>
      </c>
      <c r="S159" s="29">
        <v>2044.82</v>
      </c>
      <c r="T159" s="29">
        <v>11</v>
      </c>
    </row>
    <row r="160" spans="2:20" hidden="1" outlineLevel="2">
      <c r="B160" s="29">
        <v>957147</v>
      </c>
      <c r="C160" s="29">
        <v>67</v>
      </c>
      <c r="D160" s="29" t="s">
        <v>591</v>
      </c>
      <c r="E160" s="29">
        <v>16684</v>
      </c>
      <c r="F160" s="29" t="s">
        <v>642</v>
      </c>
      <c r="G160" s="263">
        <v>42088</v>
      </c>
      <c r="H160" s="29">
        <v>4</v>
      </c>
      <c r="I160" s="29">
        <v>25123</v>
      </c>
      <c r="J160" s="29">
        <v>28</v>
      </c>
      <c r="K160" s="29" t="e">
        <f>VLOOKUP(J160,#REF!,2,0)</f>
        <v>#REF!</v>
      </c>
      <c r="L160" s="29">
        <v>3342</v>
      </c>
      <c r="M160" s="29" t="s">
        <v>628</v>
      </c>
      <c r="N160" s="29">
        <v>10</v>
      </c>
      <c r="O160" s="29">
        <v>130.41</v>
      </c>
      <c r="P160" s="29">
        <v>1672.96</v>
      </c>
      <c r="Q160" s="29">
        <v>70.73</v>
      </c>
      <c r="R160" s="29">
        <v>301.13</v>
      </c>
      <c r="S160" s="29">
        <v>2044.82</v>
      </c>
      <c r="T160" s="29">
        <v>11</v>
      </c>
    </row>
    <row r="161" spans="2:20" hidden="1" outlineLevel="2">
      <c r="B161" s="29">
        <v>957147</v>
      </c>
      <c r="C161" s="29">
        <v>67</v>
      </c>
      <c r="D161" s="29" t="s">
        <v>591</v>
      </c>
      <c r="E161" s="29">
        <v>16684</v>
      </c>
      <c r="F161" s="29" t="s">
        <v>642</v>
      </c>
      <c r="G161" s="263">
        <v>42088</v>
      </c>
      <c r="H161" s="29">
        <v>4</v>
      </c>
      <c r="I161" s="29">
        <v>25123</v>
      </c>
      <c r="J161" s="29">
        <v>28</v>
      </c>
      <c r="K161" s="29" t="e">
        <f>VLOOKUP(J161,#REF!,2,0)</f>
        <v>#REF!</v>
      </c>
      <c r="L161" s="29">
        <v>3345</v>
      </c>
      <c r="M161" s="29" t="s">
        <v>630</v>
      </c>
      <c r="N161" s="29">
        <v>5</v>
      </c>
      <c r="O161" s="29">
        <v>28.41</v>
      </c>
      <c r="P161" s="29">
        <v>1672.96</v>
      </c>
      <c r="Q161" s="29">
        <v>70.73</v>
      </c>
      <c r="R161" s="29">
        <v>301.13</v>
      </c>
      <c r="S161" s="29">
        <v>2044.82</v>
      </c>
      <c r="T161" s="29">
        <v>11</v>
      </c>
    </row>
    <row r="162" spans="2:20" hidden="1" outlineLevel="2">
      <c r="B162" s="29">
        <v>957147</v>
      </c>
      <c r="C162" s="29">
        <v>67</v>
      </c>
      <c r="D162" s="29" t="s">
        <v>591</v>
      </c>
      <c r="E162" s="29">
        <v>16684</v>
      </c>
      <c r="F162" s="29" t="s">
        <v>642</v>
      </c>
      <c r="G162" s="263">
        <v>42088</v>
      </c>
      <c r="H162" s="29">
        <v>4</v>
      </c>
      <c r="I162" s="29">
        <v>25123</v>
      </c>
      <c r="J162" s="29">
        <v>28</v>
      </c>
      <c r="K162" s="29" t="e">
        <f>VLOOKUP(J162,#REF!,2,0)</f>
        <v>#REF!</v>
      </c>
      <c r="L162" s="29">
        <v>3346</v>
      </c>
      <c r="M162" s="29" t="s">
        <v>602</v>
      </c>
      <c r="N162" s="29">
        <v>2</v>
      </c>
      <c r="O162" s="29">
        <v>6.99</v>
      </c>
      <c r="P162" s="29">
        <v>1672.96</v>
      </c>
      <c r="Q162" s="29">
        <v>70.73</v>
      </c>
      <c r="R162" s="29">
        <v>301.13</v>
      </c>
      <c r="S162" s="29">
        <v>2044.82</v>
      </c>
      <c r="T162" s="29">
        <v>11</v>
      </c>
    </row>
    <row r="163" spans="2:20" hidden="1" outlineLevel="2">
      <c r="B163" s="29">
        <v>957147</v>
      </c>
      <c r="C163" s="29">
        <v>67</v>
      </c>
      <c r="D163" s="29" t="s">
        <v>591</v>
      </c>
      <c r="E163" s="29">
        <v>16684</v>
      </c>
      <c r="F163" s="29" t="s">
        <v>642</v>
      </c>
      <c r="G163" s="263">
        <v>42088</v>
      </c>
      <c r="H163" s="29">
        <v>4</v>
      </c>
      <c r="I163" s="29">
        <v>25123</v>
      </c>
      <c r="J163" s="29">
        <v>28</v>
      </c>
      <c r="K163" s="29" t="e">
        <f>VLOOKUP(J163,#REF!,2,0)</f>
        <v>#REF!</v>
      </c>
      <c r="L163" s="29">
        <v>5510</v>
      </c>
      <c r="M163" s="29" t="s">
        <v>603</v>
      </c>
      <c r="N163" s="29">
        <v>1</v>
      </c>
      <c r="O163" s="29">
        <v>11.58</v>
      </c>
      <c r="P163" s="29">
        <v>1672.96</v>
      </c>
      <c r="Q163" s="29">
        <v>70.73</v>
      </c>
      <c r="R163" s="29">
        <v>301.13</v>
      </c>
      <c r="S163" s="29">
        <v>2044.82</v>
      </c>
      <c r="T163" s="29">
        <v>11</v>
      </c>
    </row>
    <row r="164" spans="2:20" hidden="1" outlineLevel="2">
      <c r="B164" s="29">
        <v>957147</v>
      </c>
      <c r="C164" s="29">
        <v>67</v>
      </c>
      <c r="D164" s="29" t="s">
        <v>591</v>
      </c>
      <c r="E164" s="29">
        <v>16684</v>
      </c>
      <c r="F164" s="29" t="s">
        <v>642</v>
      </c>
      <c r="G164" s="263">
        <v>42088</v>
      </c>
      <c r="H164" s="29">
        <v>4</v>
      </c>
      <c r="I164" s="29">
        <v>25123</v>
      </c>
      <c r="J164" s="29">
        <v>28</v>
      </c>
      <c r="K164" s="29" t="e">
        <f>VLOOKUP(J164,#REF!,2,0)</f>
        <v>#REF!</v>
      </c>
      <c r="L164" s="29">
        <v>5511</v>
      </c>
      <c r="M164" s="29" t="s">
        <v>641</v>
      </c>
      <c r="N164" s="29">
        <v>1</v>
      </c>
      <c r="O164" s="29">
        <v>23.96</v>
      </c>
      <c r="P164" s="29">
        <v>1672.96</v>
      </c>
      <c r="Q164" s="29">
        <v>70.73</v>
      </c>
      <c r="R164" s="29">
        <v>301.13</v>
      </c>
      <c r="S164" s="29">
        <v>2044.82</v>
      </c>
      <c r="T164" s="29">
        <v>11</v>
      </c>
    </row>
    <row r="165" spans="2:20" hidden="1" outlineLevel="2">
      <c r="B165" s="29">
        <v>957147</v>
      </c>
      <c r="C165" s="29">
        <v>67</v>
      </c>
      <c r="D165" s="29" t="s">
        <v>591</v>
      </c>
      <c r="E165" s="29">
        <v>16684</v>
      </c>
      <c r="F165" s="29" t="s">
        <v>642</v>
      </c>
      <c r="G165" s="263">
        <v>42088</v>
      </c>
      <c r="H165" s="29">
        <v>4</v>
      </c>
      <c r="I165" s="29">
        <v>25123</v>
      </c>
      <c r="J165" s="29">
        <v>28</v>
      </c>
      <c r="K165" s="29" t="e">
        <f>VLOOKUP(J165,#REF!,2,0)</f>
        <v>#REF!</v>
      </c>
      <c r="L165" s="29">
        <v>3349</v>
      </c>
      <c r="M165" s="29" t="s">
        <v>627</v>
      </c>
      <c r="N165" s="29">
        <v>22</v>
      </c>
      <c r="O165" s="29">
        <v>81.08</v>
      </c>
      <c r="P165" s="29">
        <v>1672.96</v>
      </c>
      <c r="Q165" s="29">
        <v>70.73</v>
      </c>
      <c r="R165" s="29">
        <v>301.13</v>
      </c>
      <c r="S165" s="29">
        <v>2044.82</v>
      </c>
      <c r="T165" s="29">
        <v>11</v>
      </c>
    </row>
    <row r="166" spans="2:20" hidden="1" outlineLevel="2">
      <c r="B166" s="29">
        <v>956714</v>
      </c>
      <c r="C166" s="29">
        <v>67</v>
      </c>
      <c r="D166" s="29" t="s">
        <v>591</v>
      </c>
      <c r="E166" s="29">
        <v>17037</v>
      </c>
      <c r="F166" s="29" t="s">
        <v>652</v>
      </c>
      <c r="G166" s="263">
        <v>42088</v>
      </c>
      <c r="H166" s="29">
        <v>4</v>
      </c>
      <c r="I166" s="29">
        <v>25120</v>
      </c>
      <c r="J166" s="29">
        <v>28</v>
      </c>
      <c r="K166" s="29" t="e">
        <f>VLOOKUP(J166,#REF!,2,0)</f>
        <v>#REF!</v>
      </c>
      <c r="L166" s="29">
        <v>2870</v>
      </c>
      <c r="M166" s="29" t="s">
        <v>593</v>
      </c>
      <c r="N166" s="29">
        <v>1</v>
      </c>
      <c r="O166" s="29">
        <v>20.79</v>
      </c>
      <c r="P166" s="29">
        <v>226.73</v>
      </c>
      <c r="Q166" s="29">
        <v>141.12</v>
      </c>
      <c r="R166" s="29">
        <v>40.81</v>
      </c>
      <c r="S166" s="29">
        <v>408.66</v>
      </c>
      <c r="T166" s="29">
        <v>11</v>
      </c>
    </row>
    <row r="167" spans="2:20" hidden="1" outlineLevel="2">
      <c r="B167" s="29">
        <v>956714</v>
      </c>
      <c r="C167" s="29">
        <v>67</v>
      </c>
      <c r="D167" s="29" t="s">
        <v>591</v>
      </c>
      <c r="E167" s="29">
        <v>17037</v>
      </c>
      <c r="F167" s="29" t="s">
        <v>652</v>
      </c>
      <c r="G167" s="263">
        <v>42088</v>
      </c>
      <c r="H167" s="29">
        <v>4</v>
      </c>
      <c r="I167" s="29">
        <v>25120</v>
      </c>
      <c r="J167" s="29">
        <v>28</v>
      </c>
      <c r="K167" s="29" t="e">
        <f>VLOOKUP(J167,#REF!,2,0)</f>
        <v>#REF!</v>
      </c>
      <c r="L167" s="29">
        <v>2031</v>
      </c>
      <c r="M167" s="29" t="s">
        <v>653</v>
      </c>
      <c r="N167" s="29">
        <v>1</v>
      </c>
      <c r="O167" s="29">
        <v>7.33</v>
      </c>
      <c r="P167" s="29">
        <v>226.73</v>
      </c>
      <c r="Q167" s="29">
        <v>141.12</v>
      </c>
      <c r="R167" s="29">
        <v>40.81</v>
      </c>
      <c r="S167" s="29">
        <v>408.66</v>
      </c>
      <c r="T167" s="29">
        <v>11</v>
      </c>
    </row>
    <row r="168" spans="2:20" hidden="1" outlineLevel="2">
      <c r="B168" s="29">
        <v>956714</v>
      </c>
      <c r="C168" s="29">
        <v>67</v>
      </c>
      <c r="D168" s="29" t="s">
        <v>591</v>
      </c>
      <c r="E168" s="29">
        <v>17037</v>
      </c>
      <c r="F168" s="29" t="s">
        <v>652</v>
      </c>
      <c r="G168" s="263">
        <v>42088</v>
      </c>
      <c r="H168" s="29">
        <v>4</v>
      </c>
      <c r="I168" s="29">
        <v>25120</v>
      </c>
      <c r="J168" s="29">
        <v>28</v>
      </c>
      <c r="K168" s="29" t="e">
        <f>VLOOKUP(J168,#REF!,2,0)</f>
        <v>#REF!</v>
      </c>
      <c r="L168" s="29">
        <v>15249</v>
      </c>
      <c r="M168" s="29" t="s">
        <v>600</v>
      </c>
      <c r="N168" s="29">
        <v>1</v>
      </c>
      <c r="O168" s="29">
        <v>14.85</v>
      </c>
      <c r="P168" s="29">
        <v>226.73</v>
      </c>
      <c r="Q168" s="29">
        <v>141.12</v>
      </c>
      <c r="R168" s="29">
        <v>40.81</v>
      </c>
      <c r="S168" s="29">
        <v>408.66</v>
      </c>
      <c r="T168" s="29">
        <v>11</v>
      </c>
    </row>
    <row r="169" spans="2:20" hidden="1" outlineLevel="2">
      <c r="B169" s="29">
        <v>956714</v>
      </c>
      <c r="C169" s="29">
        <v>67</v>
      </c>
      <c r="D169" s="29" t="s">
        <v>591</v>
      </c>
      <c r="E169" s="29">
        <v>17037</v>
      </c>
      <c r="F169" s="29" t="s">
        <v>652</v>
      </c>
      <c r="G169" s="263">
        <v>42088</v>
      </c>
      <c r="H169" s="29">
        <v>4</v>
      </c>
      <c r="I169" s="29">
        <v>25120</v>
      </c>
      <c r="J169" s="29">
        <v>28</v>
      </c>
      <c r="K169" s="29" t="e">
        <f>VLOOKUP(J169,#REF!,2,0)</f>
        <v>#REF!</v>
      </c>
      <c r="L169" s="29">
        <v>10340</v>
      </c>
      <c r="M169" s="29" t="s">
        <v>601</v>
      </c>
      <c r="N169" s="29">
        <v>10</v>
      </c>
      <c r="O169" s="29">
        <v>141.12</v>
      </c>
      <c r="P169" s="29">
        <v>226.73</v>
      </c>
      <c r="Q169" s="29">
        <v>141.12</v>
      </c>
      <c r="R169" s="29">
        <v>40.81</v>
      </c>
      <c r="S169" s="29">
        <v>408.66</v>
      </c>
      <c r="T169" s="29">
        <v>11</v>
      </c>
    </row>
    <row r="170" spans="2:20" hidden="1" outlineLevel="2">
      <c r="B170" s="29">
        <v>956714</v>
      </c>
      <c r="C170" s="29">
        <v>67</v>
      </c>
      <c r="D170" s="29" t="s">
        <v>591</v>
      </c>
      <c r="E170" s="29">
        <v>17037</v>
      </c>
      <c r="F170" s="29" t="s">
        <v>652</v>
      </c>
      <c r="G170" s="263">
        <v>42088</v>
      </c>
      <c r="H170" s="29">
        <v>4</v>
      </c>
      <c r="I170" s="29">
        <v>25120</v>
      </c>
      <c r="J170" s="29">
        <v>28</v>
      </c>
      <c r="K170" s="29" t="e">
        <f>VLOOKUP(J170,#REF!,2,0)</f>
        <v>#REF!</v>
      </c>
      <c r="L170" s="29">
        <v>3354</v>
      </c>
      <c r="M170" s="29" t="s">
        <v>654</v>
      </c>
      <c r="N170" s="29">
        <v>1</v>
      </c>
      <c r="O170" s="29">
        <v>14.4</v>
      </c>
      <c r="P170" s="29">
        <v>226.73</v>
      </c>
      <c r="Q170" s="29">
        <v>141.12</v>
      </c>
      <c r="R170" s="29">
        <v>40.81</v>
      </c>
      <c r="S170" s="29">
        <v>408.66</v>
      </c>
      <c r="T170" s="29">
        <v>11</v>
      </c>
    </row>
    <row r="171" spans="2:20" hidden="1" outlineLevel="2">
      <c r="B171" s="29">
        <v>959083</v>
      </c>
      <c r="C171" s="29">
        <v>67</v>
      </c>
      <c r="D171" s="29" t="s">
        <v>591</v>
      </c>
      <c r="E171" s="29">
        <v>1370</v>
      </c>
      <c r="F171" s="29" t="s">
        <v>655</v>
      </c>
      <c r="G171" s="263">
        <v>42088</v>
      </c>
      <c r="H171" s="29">
        <v>4</v>
      </c>
      <c r="I171" s="29">
        <v>25139</v>
      </c>
      <c r="J171" s="29">
        <v>28</v>
      </c>
      <c r="K171" s="29" t="e">
        <f>VLOOKUP(J171,#REF!,2,0)</f>
        <v>#REF!</v>
      </c>
      <c r="L171" s="29">
        <v>9993</v>
      </c>
      <c r="M171" s="29" t="s">
        <v>598</v>
      </c>
      <c r="N171" s="29">
        <v>4</v>
      </c>
      <c r="O171" s="29">
        <v>50.08</v>
      </c>
      <c r="P171" s="29">
        <v>220.11</v>
      </c>
      <c r="Q171" s="29">
        <v>0</v>
      </c>
      <c r="R171" s="29">
        <v>39.619999999999997</v>
      </c>
      <c r="S171" s="29">
        <v>259.73</v>
      </c>
      <c r="T171" s="29">
        <v>10</v>
      </c>
    </row>
    <row r="172" spans="2:20" hidden="1" outlineLevel="2">
      <c r="B172" s="29">
        <v>959084</v>
      </c>
      <c r="C172" s="29">
        <v>67</v>
      </c>
      <c r="D172" s="29" t="s">
        <v>591</v>
      </c>
      <c r="E172" s="29">
        <v>1556</v>
      </c>
      <c r="F172" s="29" t="s">
        <v>656</v>
      </c>
      <c r="G172" s="263">
        <v>42088</v>
      </c>
      <c r="H172" s="29">
        <v>4</v>
      </c>
      <c r="I172" s="29">
        <v>25140</v>
      </c>
      <c r="J172" s="29">
        <v>28</v>
      </c>
      <c r="K172" s="29" t="e">
        <f>VLOOKUP(J172,#REF!,2,0)</f>
        <v>#REF!</v>
      </c>
      <c r="L172" s="29">
        <v>9993</v>
      </c>
      <c r="M172" s="29" t="s">
        <v>598</v>
      </c>
      <c r="N172" s="29">
        <v>2</v>
      </c>
      <c r="O172" s="29">
        <v>25.04</v>
      </c>
      <c r="P172" s="29">
        <v>118.15</v>
      </c>
      <c r="Q172" s="29">
        <v>0</v>
      </c>
      <c r="R172" s="29">
        <v>21.27</v>
      </c>
      <c r="S172" s="29">
        <v>139.41999999999999</v>
      </c>
      <c r="T172" s="29">
        <v>10</v>
      </c>
    </row>
    <row r="173" spans="2:20" hidden="1" outlineLevel="2">
      <c r="B173" s="29">
        <v>959100</v>
      </c>
      <c r="C173" s="29">
        <v>67</v>
      </c>
      <c r="D173" s="29" t="s">
        <v>591</v>
      </c>
      <c r="E173" s="29">
        <v>17028</v>
      </c>
      <c r="F173" s="29" t="s">
        <v>657</v>
      </c>
      <c r="G173" s="263">
        <v>42088</v>
      </c>
      <c r="H173" s="29">
        <v>4</v>
      </c>
      <c r="I173" s="29">
        <v>25151</v>
      </c>
      <c r="J173" s="29">
        <v>28</v>
      </c>
      <c r="K173" s="29" t="e">
        <f>VLOOKUP(J173,#REF!,2,0)</f>
        <v>#REF!</v>
      </c>
      <c r="L173" s="29">
        <v>9993</v>
      </c>
      <c r="M173" s="29" t="s">
        <v>598</v>
      </c>
      <c r="N173" s="29">
        <v>2</v>
      </c>
      <c r="O173" s="29">
        <v>25.04</v>
      </c>
      <c r="P173" s="29">
        <v>276.01</v>
      </c>
      <c r="Q173" s="29">
        <v>0</v>
      </c>
      <c r="R173" s="29">
        <v>49.68</v>
      </c>
      <c r="S173" s="29">
        <v>325.69</v>
      </c>
      <c r="T173" s="29">
        <v>11</v>
      </c>
    </row>
    <row r="174" spans="2:20" hidden="1" outlineLevel="2">
      <c r="B174" s="29">
        <v>959100</v>
      </c>
      <c r="C174" s="29">
        <v>67</v>
      </c>
      <c r="D174" s="29" t="s">
        <v>591</v>
      </c>
      <c r="E174" s="29">
        <v>17028</v>
      </c>
      <c r="F174" s="29" t="s">
        <v>657</v>
      </c>
      <c r="G174" s="263">
        <v>42088</v>
      </c>
      <c r="H174" s="29">
        <v>4</v>
      </c>
      <c r="I174" s="29">
        <v>25151</v>
      </c>
      <c r="J174" s="29">
        <v>28</v>
      </c>
      <c r="K174" s="29" t="e">
        <f>VLOOKUP(J174,#REF!,2,0)</f>
        <v>#REF!</v>
      </c>
      <c r="L174" s="29">
        <v>3342</v>
      </c>
      <c r="M174" s="29" t="s">
        <v>628</v>
      </c>
      <c r="N174" s="29">
        <v>2</v>
      </c>
      <c r="O174" s="29">
        <v>26.84</v>
      </c>
      <c r="P174" s="29">
        <v>276.01</v>
      </c>
      <c r="Q174" s="29">
        <v>0</v>
      </c>
      <c r="R174" s="29">
        <v>49.68</v>
      </c>
      <c r="S174" s="29">
        <v>325.69</v>
      </c>
      <c r="T174" s="29">
        <v>11</v>
      </c>
    </row>
    <row r="175" spans="2:20" hidden="1" outlineLevel="2">
      <c r="B175" s="29">
        <v>959119</v>
      </c>
      <c r="C175" s="29">
        <v>67</v>
      </c>
      <c r="D175" s="29" t="s">
        <v>591</v>
      </c>
      <c r="E175" s="29">
        <v>3346</v>
      </c>
      <c r="F175" s="29" t="s">
        <v>658</v>
      </c>
      <c r="G175" s="263">
        <v>42088</v>
      </c>
      <c r="H175" s="29">
        <v>4</v>
      </c>
      <c r="I175" s="29">
        <v>25157</v>
      </c>
      <c r="J175" s="29">
        <v>28</v>
      </c>
      <c r="K175" s="29" t="e">
        <f>VLOOKUP(J175,#REF!,2,0)</f>
        <v>#REF!</v>
      </c>
      <c r="L175" s="29">
        <v>9993</v>
      </c>
      <c r="M175" s="29" t="s">
        <v>598</v>
      </c>
      <c r="N175" s="29">
        <v>2</v>
      </c>
      <c r="O175" s="29">
        <v>25.04</v>
      </c>
      <c r="P175" s="29">
        <v>76.67</v>
      </c>
      <c r="Q175" s="29">
        <v>0</v>
      </c>
      <c r="R175" s="29">
        <v>13.8</v>
      </c>
      <c r="S175" s="29">
        <v>90.47</v>
      </c>
      <c r="T175" s="29">
        <v>8</v>
      </c>
    </row>
    <row r="176" spans="2:20" hidden="1" outlineLevel="2">
      <c r="B176" s="29">
        <v>959119</v>
      </c>
      <c r="C176" s="29">
        <v>67</v>
      </c>
      <c r="D176" s="29" t="s">
        <v>591</v>
      </c>
      <c r="E176" s="29">
        <v>3346</v>
      </c>
      <c r="F176" s="29" t="s">
        <v>658</v>
      </c>
      <c r="G176" s="263">
        <v>42088</v>
      </c>
      <c r="H176" s="29">
        <v>4</v>
      </c>
      <c r="I176" s="29">
        <v>25157</v>
      </c>
      <c r="J176" s="29">
        <v>28</v>
      </c>
      <c r="K176" s="29" t="e">
        <f>VLOOKUP(J176,#REF!,2,0)</f>
        <v>#REF!</v>
      </c>
      <c r="L176" s="29">
        <v>3342</v>
      </c>
      <c r="M176" s="29" t="s">
        <v>628</v>
      </c>
      <c r="N176" s="29">
        <v>3</v>
      </c>
      <c r="O176" s="29">
        <v>40.26</v>
      </c>
      <c r="P176" s="29">
        <v>76.67</v>
      </c>
      <c r="Q176" s="29">
        <v>0</v>
      </c>
      <c r="R176" s="29">
        <v>13.8</v>
      </c>
      <c r="S176" s="29">
        <v>90.47</v>
      </c>
      <c r="T176" s="29">
        <v>8</v>
      </c>
    </row>
    <row r="177" spans="2:20" hidden="1" outlineLevel="2">
      <c r="B177" s="29">
        <v>959119</v>
      </c>
      <c r="C177" s="29">
        <v>67</v>
      </c>
      <c r="D177" s="29" t="s">
        <v>591</v>
      </c>
      <c r="E177" s="29">
        <v>3346</v>
      </c>
      <c r="F177" s="29" t="s">
        <v>658</v>
      </c>
      <c r="G177" s="263">
        <v>42088</v>
      </c>
      <c r="H177" s="29">
        <v>4</v>
      </c>
      <c r="I177" s="29">
        <v>25157</v>
      </c>
      <c r="J177" s="29">
        <v>28</v>
      </c>
      <c r="K177" s="29" t="e">
        <f>VLOOKUP(J177,#REF!,2,0)</f>
        <v>#REF!</v>
      </c>
      <c r="L177" s="29">
        <v>3345</v>
      </c>
      <c r="M177" s="29" t="s">
        <v>630</v>
      </c>
      <c r="N177" s="29">
        <v>2</v>
      </c>
      <c r="O177" s="29">
        <v>11.37</v>
      </c>
      <c r="P177" s="29">
        <v>76.67</v>
      </c>
      <c r="Q177" s="29">
        <v>0</v>
      </c>
      <c r="R177" s="29">
        <v>13.8</v>
      </c>
      <c r="S177" s="29">
        <v>90.47</v>
      </c>
      <c r="T177" s="29">
        <v>8</v>
      </c>
    </row>
    <row r="178" spans="2:20" hidden="1" outlineLevel="2">
      <c r="B178" s="29">
        <v>959128</v>
      </c>
      <c r="C178" s="29">
        <v>67</v>
      </c>
      <c r="D178" s="29" t="s">
        <v>591</v>
      </c>
      <c r="E178" s="29">
        <v>14050</v>
      </c>
      <c r="F178" s="29" t="s">
        <v>617</v>
      </c>
      <c r="G178" s="263">
        <v>42088</v>
      </c>
      <c r="H178" s="29">
        <v>4</v>
      </c>
      <c r="I178" s="29">
        <v>25164</v>
      </c>
      <c r="J178" s="29">
        <v>28</v>
      </c>
      <c r="K178" s="29" t="e">
        <f>VLOOKUP(J178,#REF!,2,0)</f>
        <v>#REF!</v>
      </c>
      <c r="L178" s="29">
        <v>9993</v>
      </c>
      <c r="M178" s="29" t="s">
        <v>598</v>
      </c>
      <c r="N178" s="29">
        <v>2</v>
      </c>
      <c r="O178" s="29">
        <v>25.04</v>
      </c>
      <c r="P178" s="29">
        <v>209.18</v>
      </c>
      <c r="Q178" s="29">
        <v>0</v>
      </c>
      <c r="R178" s="29">
        <v>37.65</v>
      </c>
      <c r="S178" s="29">
        <v>246.83</v>
      </c>
      <c r="T178" s="29">
        <v>5</v>
      </c>
    </row>
    <row r="179" spans="2:20" hidden="1" outlineLevel="2">
      <c r="B179" s="29">
        <v>959128</v>
      </c>
      <c r="C179" s="29">
        <v>67</v>
      </c>
      <c r="D179" s="29" t="s">
        <v>591</v>
      </c>
      <c r="E179" s="29">
        <v>14050</v>
      </c>
      <c r="F179" s="29" t="s">
        <v>617</v>
      </c>
      <c r="G179" s="263">
        <v>42088</v>
      </c>
      <c r="H179" s="29">
        <v>4</v>
      </c>
      <c r="I179" s="29">
        <v>25164</v>
      </c>
      <c r="J179" s="29">
        <v>28</v>
      </c>
      <c r="K179" s="29" t="e">
        <f>VLOOKUP(J179,#REF!,2,0)</f>
        <v>#REF!</v>
      </c>
      <c r="L179" s="29">
        <v>3342</v>
      </c>
      <c r="M179" s="29" t="s">
        <v>628</v>
      </c>
      <c r="N179" s="29">
        <v>1</v>
      </c>
      <c r="O179" s="29">
        <v>13.42</v>
      </c>
      <c r="P179" s="29">
        <v>209.18</v>
      </c>
      <c r="Q179" s="29">
        <v>0</v>
      </c>
      <c r="R179" s="29">
        <v>37.65</v>
      </c>
      <c r="S179" s="29">
        <v>246.83</v>
      </c>
      <c r="T179" s="29">
        <v>5</v>
      </c>
    </row>
    <row r="180" spans="2:20" hidden="1" outlineLevel="2">
      <c r="B180" s="29">
        <v>959197</v>
      </c>
      <c r="C180" s="29">
        <v>67</v>
      </c>
      <c r="D180" s="29" t="s">
        <v>591</v>
      </c>
      <c r="E180" s="29">
        <v>15484</v>
      </c>
      <c r="F180" s="29" t="s">
        <v>623</v>
      </c>
      <c r="G180" s="263">
        <v>42089</v>
      </c>
      <c r="H180" s="29">
        <v>4</v>
      </c>
      <c r="I180" s="29">
        <v>25196</v>
      </c>
      <c r="J180" s="29">
        <v>28</v>
      </c>
      <c r="K180" s="29" t="e">
        <f>VLOOKUP(J180,#REF!,2,0)</f>
        <v>#REF!</v>
      </c>
      <c r="L180" s="29">
        <v>9993</v>
      </c>
      <c r="M180" s="29" t="s">
        <v>598</v>
      </c>
      <c r="N180" s="29">
        <v>2</v>
      </c>
      <c r="O180" s="29">
        <v>25.04</v>
      </c>
      <c r="P180" s="29">
        <v>477.16</v>
      </c>
      <c r="Q180" s="29">
        <v>0</v>
      </c>
      <c r="R180" s="29">
        <v>85.89</v>
      </c>
      <c r="S180" s="29">
        <v>563.04999999999995</v>
      </c>
      <c r="T180" s="29">
        <v>19</v>
      </c>
    </row>
    <row r="181" spans="2:20" hidden="1" outlineLevel="2">
      <c r="B181" s="29">
        <v>959197</v>
      </c>
      <c r="C181" s="29">
        <v>67</v>
      </c>
      <c r="D181" s="29" t="s">
        <v>591</v>
      </c>
      <c r="E181" s="29">
        <v>15484</v>
      </c>
      <c r="F181" s="29" t="s">
        <v>623</v>
      </c>
      <c r="G181" s="263">
        <v>42089</v>
      </c>
      <c r="H181" s="29">
        <v>4</v>
      </c>
      <c r="I181" s="29">
        <v>25196</v>
      </c>
      <c r="J181" s="29">
        <v>28</v>
      </c>
      <c r="K181" s="29" t="e">
        <f>VLOOKUP(J181,#REF!,2,0)</f>
        <v>#REF!</v>
      </c>
      <c r="L181" s="29">
        <v>3342</v>
      </c>
      <c r="M181" s="29" t="s">
        <v>628</v>
      </c>
      <c r="N181" s="29">
        <v>2</v>
      </c>
      <c r="O181" s="29">
        <v>26.84</v>
      </c>
      <c r="P181" s="29">
        <v>477.16</v>
      </c>
      <c r="Q181" s="29">
        <v>0</v>
      </c>
      <c r="R181" s="29">
        <v>85.89</v>
      </c>
      <c r="S181" s="29">
        <v>563.04999999999995</v>
      </c>
      <c r="T181" s="29">
        <v>19</v>
      </c>
    </row>
    <row r="182" spans="2:20" hidden="1" outlineLevel="2">
      <c r="B182" s="29">
        <v>959197</v>
      </c>
      <c r="C182" s="29">
        <v>67</v>
      </c>
      <c r="D182" s="29" t="s">
        <v>591</v>
      </c>
      <c r="E182" s="29">
        <v>15484</v>
      </c>
      <c r="F182" s="29" t="s">
        <v>623</v>
      </c>
      <c r="G182" s="263">
        <v>42089</v>
      </c>
      <c r="H182" s="29">
        <v>4</v>
      </c>
      <c r="I182" s="29">
        <v>25196</v>
      </c>
      <c r="J182" s="29">
        <v>28</v>
      </c>
      <c r="K182" s="29" t="e">
        <f>VLOOKUP(J182,#REF!,2,0)</f>
        <v>#REF!</v>
      </c>
      <c r="L182" s="29">
        <v>3345</v>
      </c>
      <c r="M182" s="29" t="s">
        <v>630</v>
      </c>
      <c r="N182" s="29">
        <v>5</v>
      </c>
      <c r="O182" s="29">
        <v>28.41</v>
      </c>
      <c r="P182" s="29">
        <v>477.16</v>
      </c>
      <c r="Q182" s="29">
        <v>0</v>
      </c>
      <c r="R182" s="29">
        <v>85.89</v>
      </c>
      <c r="S182" s="29">
        <v>563.04999999999995</v>
      </c>
      <c r="T182" s="29">
        <v>19</v>
      </c>
    </row>
    <row r="183" spans="2:20" hidden="1" outlineLevel="2">
      <c r="B183" s="29">
        <v>959195</v>
      </c>
      <c r="C183" s="29">
        <v>67</v>
      </c>
      <c r="D183" s="29" t="s">
        <v>591</v>
      </c>
      <c r="E183" s="29">
        <v>14408</v>
      </c>
      <c r="F183" s="29" t="s">
        <v>659</v>
      </c>
      <c r="G183" s="263">
        <v>42089</v>
      </c>
      <c r="H183" s="29">
        <v>4</v>
      </c>
      <c r="I183" s="29">
        <v>25194</v>
      </c>
      <c r="J183" s="29">
        <v>28</v>
      </c>
      <c r="K183" s="29" t="e">
        <f>VLOOKUP(J183,#REF!,2,0)</f>
        <v>#REF!</v>
      </c>
      <c r="L183" s="29">
        <v>9993</v>
      </c>
      <c r="M183" s="29" t="s">
        <v>598</v>
      </c>
      <c r="N183" s="29">
        <v>1</v>
      </c>
      <c r="O183" s="29">
        <v>12.52</v>
      </c>
      <c r="P183" s="29">
        <v>197.9</v>
      </c>
      <c r="Q183" s="29">
        <v>0</v>
      </c>
      <c r="R183" s="29">
        <v>35.619999999999997</v>
      </c>
      <c r="S183" s="29">
        <v>233.52</v>
      </c>
      <c r="T183" s="29">
        <v>19</v>
      </c>
    </row>
    <row r="184" spans="2:20" hidden="1" outlineLevel="2">
      <c r="B184" s="29">
        <v>959195</v>
      </c>
      <c r="C184" s="29">
        <v>67</v>
      </c>
      <c r="D184" s="29" t="s">
        <v>591</v>
      </c>
      <c r="E184" s="29">
        <v>14408</v>
      </c>
      <c r="F184" s="29" t="s">
        <v>659</v>
      </c>
      <c r="G184" s="263">
        <v>42089</v>
      </c>
      <c r="H184" s="29">
        <v>4</v>
      </c>
      <c r="I184" s="29">
        <v>25194</v>
      </c>
      <c r="J184" s="29">
        <v>28</v>
      </c>
      <c r="K184" s="29" t="e">
        <f>VLOOKUP(J184,#REF!,2,0)</f>
        <v>#REF!</v>
      </c>
      <c r="L184" s="29">
        <v>3342</v>
      </c>
      <c r="M184" s="29" t="s">
        <v>628</v>
      </c>
      <c r="N184" s="29">
        <v>1</v>
      </c>
      <c r="O184" s="29">
        <v>13.42</v>
      </c>
      <c r="P184" s="29">
        <v>197.9</v>
      </c>
      <c r="Q184" s="29">
        <v>0</v>
      </c>
      <c r="R184" s="29">
        <v>35.619999999999997</v>
      </c>
      <c r="S184" s="29">
        <v>233.52</v>
      </c>
      <c r="T184" s="29">
        <v>19</v>
      </c>
    </row>
    <row r="185" spans="2:20" hidden="1" outlineLevel="2">
      <c r="B185" s="29">
        <v>959198</v>
      </c>
      <c r="C185" s="29">
        <v>67</v>
      </c>
      <c r="D185" s="29" t="s">
        <v>591</v>
      </c>
      <c r="E185" s="29">
        <v>14985</v>
      </c>
      <c r="F185" s="29" t="s">
        <v>660</v>
      </c>
      <c r="G185" s="263">
        <v>42089</v>
      </c>
      <c r="H185" s="29">
        <v>4</v>
      </c>
      <c r="I185" s="29">
        <v>25198</v>
      </c>
      <c r="J185" s="29">
        <v>28</v>
      </c>
      <c r="K185" s="29" t="e">
        <f>VLOOKUP(J185,#REF!,2,0)</f>
        <v>#REF!</v>
      </c>
      <c r="L185" s="29">
        <v>9993</v>
      </c>
      <c r="M185" s="29" t="s">
        <v>598</v>
      </c>
      <c r="N185" s="29">
        <v>2</v>
      </c>
      <c r="O185" s="29">
        <v>25.04</v>
      </c>
      <c r="P185" s="29">
        <v>87.42</v>
      </c>
      <c r="Q185" s="29">
        <v>0</v>
      </c>
      <c r="R185" s="29">
        <v>15.74</v>
      </c>
      <c r="S185" s="29">
        <v>103.16</v>
      </c>
      <c r="T185" s="29">
        <v>19</v>
      </c>
    </row>
    <row r="186" spans="2:20" hidden="1" outlineLevel="2">
      <c r="B186" s="29">
        <v>959206</v>
      </c>
      <c r="C186" s="29">
        <v>67</v>
      </c>
      <c r="D186" s="29" t="s">
        <v>591</v>
      </c>
      <c r="E186" s="29">
        <v>13077</v>
      </c>
      <c r="F186" s="29" t="s">
        <v>631</v>
      </c>
      <c r="G186" s="263">
        <v>42089</v>
      </c>
      <c r="H186" s="29">
        <v>4</v>
      </c>
      <c r="I186" s="29">
        <v>25208</v>
      </c>
      <c r="J186" s="29">
        <v>28</v>
      </c>
      <c r="K186" s="29" t="e">
        <f>VLOOKUP(J186,#REF!,2,0)</f>
        <v>#REF!</v>
      </c>
      <c r="L186" s="29">
        <v>9993</v>
      </c>
      <c r="M186" s="29" t="s">
        <v>598</v>
      </c>
      <c r="N186" s="29">
        <v>20</v>
      </c>
      <c r="O186" s="29">
        <v>238.78</v>
      </c>
      <c r="P186" s="29">
        <v>238.78</v>
      </c>
      <c r="Q186" s="29">
        <v>0</v>
      </c>
      <c r="R186" s="29">
        <v>42.98</v>
      </c>
      <c r="S186" s="29">
        <v>281.76</v>
      </c>
      <c r="T186" s="29">
        <v>14</v>
      </c>
    </row>
    <row r="187" spans="2:20" hidden="1" outlineLevel="2">
      <c r="B187" s="29">
        <v>956507</v>
      </c>
      <c r="C187" s="29">
        <v>67</v>
      </c>
      <c r="D187" s="29" t="s">
        <v>591</v>
      </c>
      <c r="E187" s="29">
        <v>1646</v>
      </c>
      <c r="F187" s="29" t="s">
        <v>661</v>
      </c>
      <c r="G187" s="263">
        <v>42088</v>
      </c>
      <c r="H187" s="29">
        <v>4</v>
      </c>
      <c r="I187" s="29">
        <v>25115</v>
      </c>
      <c r="J187" s="29">
        <v>28</v>
      </c>
      <c r="K187" s="29" t="e">
        <f>VLOOKUP(J187,#REF!,2,0)</f>
        <v>#REF!</v>
      </c>
      <c r="L187" s="29">
        <v>2005</v>
      </c>
      <c r="M187" s="29" t="s">
        <v>644</v>
      </c>
      <c r="N187" s="29">
        <v>2</v>
      </c>
      <c r="O187" s="29">
        <v>23.36</v>
      </c>
      <c r="P187" s="29">
        <v>1461.54</v>
      </c>
      <c r="Q187" s="29">
        <v>288.11</v>
      </c>
      <c r="R187" s="29">
        <v>263.08</v>
      </c>
      <c r="S187" s="29">
        <v>2012.73</v>
      </c>
      <c r="T187" s="29">
        <v>14</v>
      </c>
    </row>
    <row r="188" spans="2:20" hidden="1" outlineLevel="2">
      <c r="B188" s="29">
        <v>956507</v>
      </c>
      <c r="C188" s="29">
        <v>67</v>
      </c>
      <c r="D188" s="29" t="s">
        <v>591</v>
      </c>
      <c r="E188" s="29">
        <v>1646</v>
      </c>
      <c r="F188" s="29" t="s">
        <v>661</v>
      </c>
      <c r="G188" s="263">
        <v>42088</v>
      </c>
      <c r="H188" s="29">
        <v>4</v>
      </c>
      <c r="I188" s="29">
        <v>25115</v>
      </c>
      <c r="J188" s="29">
        <v>28</v>
      </c>
      <c r="K188" s="29" t="e">
        <f>VLOOKUP(J188,#REF!,2,0)</f>
        <v>#REF!</v>
      </c>
      <c r="L188" s="29">
        <v>2013</v>
      </c>
      <c r="M188" s="29" t="s">
        <v>662</v>
      </c>
      <c r="N188" s="29">
        <v>6</v>
      </c>
      <c r="O188" s="29">
        <v>20.79</v>
      </c>
      <c r="P188" s="29">
        <v>1461.54</v>
      </c>
      <c r="Q188" s="29">
        <v>288.11</v>
      </c>
      <c r="R188" s="29">
        <v>263.08</v>
      </c>
      <c r="S188" s="29">
        <v>2012.73</v>
      </c>
      <c r="T188" s="29">
        <v>14</v>
      </c>
    </row>
    <row r="189" spans="2:20" hidden="1" outlineLevel="2">
      <c r="B189" s="29">
        <v>956507</v>
      </c>
      <c r="C189" s="29">
        <v>67</v>
      </c>
      <c r="D189" s="29" t="s">
        <v>591</v>
      </c>
      <c r="E189" s="29">
        <v>1646</v>
      </c>
      <c r="F189" s="29" t="s">
        <v>661</v>
      </c>
      <c r="G189" s="263">
        <v>42088</v>
      </c>
      <c r="H189" s="29">
        <v>4</v>
      </c>
      <c r="I189" s="29">
        <v>25115</v>
      </c>
      <c r="J189" s="29">
        <v>28</v>
      </c>
      <c r="K189" s="29" t="e">
        <f>VLOOKUP(J189,#REF!,2,0)</f>
        <v>#REF!</v>
      </c>
      <c r="L189" s="29">
        <v>2015</v>
      </c>
      <c r="M189" s="29" t="s">
        <v>639</v>
      </c>
      <c r="N189" s="29">
        <v>5</v>
      </c>
      <c r="O189" s="29">
        <v>50.18</v>
      </c>
      <c r="P189" s="29">
        <v>1461.54</v>
      </c>
      <c r="Q189" s="29">
        <v>288.11</v>
      </c>
      <c r="R189" s="29">
        <v>263.08</v>
      </c>
      <c r="S189" s="29">
        <v>2012.73</v>
      </c>
      <c r="T189" s="29">
        <v>14</v>
      </c>
    </row>
    <row r="190" spans="2:20" hidden="1" outlineLevel="2">
      <c r="B190" s="29">
        <v>956507</v>
      </c>
      <c r="C190" s="29">
        <v>67</v>
      </c>
      <c r="D190" s="29" t="s">
        <v>591</v>
      </c>
      <c r="E190" s="29">
        <v>1646</v>
      </c>
      <c r="F190" s="29" t="s">
        <v>661</v>
      </c>
      <c r="G190" s="263">
        <v>42088</v>
      </c>
      <c r="H190" s="29">
        <v>4</v>
      </c>
      <c r="I190" s="29">
        <v>25115</v>
      </c>
      <c r="J190" s="29">
        <v>28</v>
      </c>
      <c r="K190" s="29" t="e">
        <f>VLOOKUP(J190,#REF!,2,0)</f>
        <v>#REF!</v>
      </c>
      <c r="L190" s="29">
        <v>5504</v>
      </c>
      <c r="M190" s="29" t="s">
        <v>594</v>
      </c>
      <c r="N190" s="29">
        <v>8</v>
      </c>
      <c r="O190" s="29">
        <v>47.38</v>
      </c>
      <c r="P190" s="29">
        <v>1461.54</v>
      </c>
      <c r="Q190" s="29">
        <v>288.11</v>
      </c>
      <c r="R190" s="29">
        <v>263.08</v>
      </c>
      <c r="S190" s="29">
        <v>2012.73</v>
      </c>
      <c r="T190" s="29">
        <v>14</v>
      </c>
    </row>
    <row r="191" spans="2:20" hidden="1" outlineLevel="2">
      <c r="B191" s="29">
        <v>956507</v>
      </c>
      <c r="C191" s="29">
        <v>67</v>
      </c>
      <c r="D191" s="29" t="s">
        <v>591</v>
      </c>
      <c r="E191" s="29">
        <v>1646</v>
      </c>
      <c r="F191" s="29" t="s">
        <v>661</v>
      </c>
      <c r="G191" s="263">
        <v>42088</v>
      </c>
      <c r="H191" s="29">
        <v>4</v>
      </c>
      <c r="I191" s="29">
        <v>25115</v>
      </c>
      <c r="J191" s="29">
        <v>28</v>
      </c>
      <c r="K191" s="29" t="e">
        <f>VLOOKUP(J191,#REF!,2,0)</f>
        <v>#REF!</v>
      </c>
      <c r="L191" s="29">
        <v>10646</v>
      </c>
      <c r="M191" s="29" t="s">
        <v>610</v>
      </c>
      <c r="N191" s="29">
        <v>6</v>
      </c>
      <c r="O191" s="29">
        <v>13.13</v>
      </c>
      <c r="P191" s="29">
        <v>1461.54</v>
      </c>
      <c r="Q191" s="29">
        <v>288.11</v>
      </c>
      <c r="R191" s="29">
        <v>263.08</v>
      </c>
      <c r="S191" s="29">
        <v>2012.73</v>
      </c>
      <c r="T191" s="29">
        <v>14</v>
      </c>
    </row>
    <row r="192" spans="2:20" hidden="1" outlineLevel="2">
      <c r="B192" s="29">
        <v>956507</v>
      </c>
      <c r="C192" s="29">
        <v>67</v>
      </c>
      <c r="D192" s="29" t="s">
        <v>591</v>
      </c>
      <c r="E192" s="29">
        <v>1646</v>
      </c>
      <c r="F192" s="29" t="s">
        <v>661</v>
      </c>
      <c r="G192" s="263">
        <v>42088</v>
      </c>
      <c r="H192" s="29">
        <v>4</v>
      </c>
      <c r="I192" s="29">
        <v>25115</v>
      </c>
      <c r="J192" s="29">
        <v>28</v>
      </c>
      <c r="K192" s="29" t="e">
        <f>VLOOKUP(J192,#REF!,2,0)</f>
        <v>#REF!</v>
      </c>
      <c r="L192" s="29">
        <v>2018</v>
      </c>
      <c r="M192" s="29" t="s">
        <v>595</v>
      </c>
      <c r="N192" s="29">
        <v>5</v>
      </c>
      <c r="O192" s="29">
        <v>64.48</v>
      </c>
      <c r="P192" s="29">
        <v>1461.54</v>
      </c>
      <c r="Q192" s="29">
        <v>288.11</v>
      </c>
      <c r="R192" s="29">
        <v>263.08</v>
      </c>
      <c r="S192" s="29">
        <v>2012.73</v>
      </c>
      <c r="T192" s="29">
        <v>14</v>
      </c>
    </row>
    <row r="193" spans="2:20" hidden="1" outlineLevel="2">
      <c r="B193" s="29">
        <v>956507</v>
      </c>
      <c r="C193" s="29">
        <v>67</v>
      </c>
      <c r="D193" s="29" t="s">
        <v>591</v>
      </c>
      <c r="E193" s="29">
        <v>1646</v>
      </c>
      <c r="F193" s="29" t="s">
        <v>661</v>
      </c>
      <c r="G193" s="263">
        <v>42088</v>
      </c>
      <c r="H193" s="29">
        <v>4</v>
      </c>
      <c r="I193" s="29">
        <v>25115</v>
      </c>
      <c r="J193" s="29">
        <v>28</v>
      </c>
      <c r="K193" s="29" t="e">
        <f>VLOOKUP(J193,#REF!,2,0)</f>
        <v>#REF!</v>
      </c>
      <c r="L193" s="29">
        <v>5541</v>
      </c>
      <c r="M193" s="29" t="s">
        <v>663</v>
      </c>
      <c r="N193" s="29">
        <v>10</v>
      </c>
      <c r="O193" s="29">
        <v>136.88999999999999</v>
      </c>
      <c r="P193" s="29">
        <v>1461.54</v>
      </c>
      <c r="Q193" s="29">
        <v>288.11</v>
      </c>
      <c r="R193" s="29">
        <v>263.08</v>
      </c>
      <c r="S193" s="29">
        <v>2012.73</v>
      </c>
      <c r="T193" s="29">
        <v>14</v>
      </c>
    </row>
    <row r="194" spans="2:20" hidden="1" outlineLevel="2">
      <c r="B194" s="29">
        <v>956507</v>
      </c>
      <c r="C194" s="29">
        <v>67</v>
      </c>
      <c r="D194" s="29" t="s">
        <v>591</v>
      </c>
      <c r="E194" s="29">
        <v>1646</v>
      </c>
      <c r="F194" s="29" t="s">
        <v>661</v>
      </c>
      <c r="G194" s="263">
        <v>42088</v>
      </c>
      <c r="H194" s="29">
        <v>4</v>
      </c>
      <c r="I194" s="29">
        <v>25115</v>
      </c>
      <c r="J194" s="29">
        <v>28</v>
      </c>
      <c r="K194" s="29" t="e">
        <f>VLOOKUP(J194,#REF!,2,0)</f>
        <v>#REF!</v>
      </c>
      <c r="L194" s="29">
        <v>5359</v>
      </c>
      <c r="M194" s="29" t="s">
        <v>596</v>
      </c>
      <c r="N194" s="29">
        <v>12</v>
      </c>
      <c r="O194" s="29">
        <v>418.61</v>
      </c>
      <c r="P194" s="29">
        <v>1461.54</v>
      </c>
      <c r="Q194" s="29">
        <v>288.11</v>
      </c>
      <c r="R194" s="29">
        <v>263.08</v>
      </c>
      <c r="S194" s="29">
        <v>2012.73</v>
      </c>
      <c r="T194" s="29">
        <v>14</v>
      </c>
    </row>
    <row r="195" spans="2:20" hidden="1" outlineLevel="2">
      <c r="B195" s="29">
        <v>956507</v>
      </c>
      <c r="C195" s="29">
        <v>67</v>
      </c>
      <c r="D195" s="29" t="s">
        <v>591</v>
      </c>
      <c r="E195" s="29">
        <v>1646</v>
      </c>
      <c r="F195" s="29" t="s">
        <v>661</v>
      </c>
      <c r="G195" s="263">
        <v>42088</v>
      </c>
      <c r="H195" s="29">
        <v>4</v>
      </c>
      <c r="I195" s="29">
        <v>25115</v>
      </c>
      <c r="J195" s="29">
        <v>28</v>
      </c>
      <c r="K195" s="29" t="e">
        <f>VLOOKUP(J195,#REF!,2,0)</f>
        <v>#REF!</v>
      </c>
      <c r="L195" s="29">
        <v>8197</v>
      </c>
      <c r="M195" s="29" t="s">
        <v>645</v>
      </c>
      <c r="N195" s="29">
        <v>2</v>
      </c>
      <c r="O195" s="29">
        <v>9.9</v>
      </c>
      <c r="P195" s="29">
        <v>1461.54</v>
      </c>
      <c r="Q195" s="29">
        <v>288.11</v>
      </c>
      <c r="R195" s="29">
        <v>263.08</v>
      </c>
      <c r="S195" s="29">
        <v>2012.73</v>
      </c>
      <c r="T195" s="29">
        <v>14</v>
      </c>
    </row>
    <row r="196" spans="2:20" hidden="1" outlineLevel="2">
      <c r="B196" s="29">
        <v>956507</v>
      </c>
      <c r="C196" s="29">
        <v>67</v>
      </c>
      <c r="D196" s="29" t="s">
        <v>591</v>
      </c>
      <c r="E196" s="29">
        <v>1646</v>
      </c>
      <c r="F196" s="29" t="s">
        <v>661</v>
      </c>
      <c r="G196" s="263">
        <v>42088</v>
      </c>
      <c r="H196" s="29">
        <v>4</v>
      </c>
      <c r="I196" s="29">
        <v>25115</v>
      </c>
      <c r="J196" s="29">
        <v>28</v>
      </c>
      <c r="K196" s="29" t="e">
        <f>VLOOKUP(J196,#REF!,2,0)</f>
        <v>#REF!</v>
      </c>
      <c r="L196" s="29">
        <v>8197</v>
      </c>
      <c r="M196" s="29" t="s">
        <v>645</v>
      </c>
      <c r="N196" s="29">
        <v>8</v>
      </c>
      <c r="O196" s="29">
        <v>39.6</v>
      </c>
      <c r="P196" s="29">
        <v>1461.54</v>
      </c>
      <c r="Q196" s="29">
        <v>288.11</v>
      </c>
      <c r="R196" s="29">
        <v>263.08</v>
      </c>
      <c r="S196" s="29">
        <v>2012.73</v>
      </c>
      <c r="T196" s="29">
        <v>14</v>
      </c>
    </row>
    <row r="197" spans="2:20" hidden="1" outlineLevel="2">
      <c r="B197" s="29">
        <v>956507</v>
      </c>
      <c r="C197" s="29">
        <v>67</v>
      </c>
      <c r="D197" s="29" t="s">
        <v>591</v>
      </c>
      <c r="E197" s="29">
        <v>1646</v>
      </c>
      <c r="F197" s="29" t="s">
        <v>661</v>
      </c>
      <c r="G197" s="263">
        <v>42088</v>
      </c>
      <c r="H197" s="29">
        <v>4</v>
      </c>
      <c r="I197" s="29">
        <v>25115</v>
      </c>
      <c r="J197" s="29">
        <v>28</v>
      </c>
      <c r="K197" s="29" t="e">
        <f>VLOOKUP(J197,#REF!,2,0)</f>
        <v>#REF!</v>
      </c>
      <c r="L197" s="29">
        <v>9993</v>
      </c>
      <c r="M197" s="29" t="s">
        <v>598</v>
      </c>
      <c r="N197" s="29">
        <v>2</v>
      </c>
      <c r="O197" s="29">
        <v>25.04</v>
      </c>
      <c r="P197" s="29">
        <v>1461.54</v>
      </c>
      <c r="Q197" s="29">
        <v>288.11</v>
      </c>
      <c r="R197" s="29">
        <v>263.08</v>
      </c>
      <c r="S197" s="29">
        <v>2012.73</v>
      </c>
      <c r="T197" s="29">
        <v>14</v>
      </c>
    </row>
    <row r="198" spans="2:20" hidden="1" outlineLevel="2">
      <c r="B198" s="29">
        <v>956507</v>
      </c>
      <c r="C198" s="29">
        <v>67</v>
      </c>
      <c r="D198" s="29" t="s">
        <v>591</v>
      </c>
      <c r="E198" s="29">
        <v>1646</v>
      </c>
      <c r="F198" s="29" t="s">
        <v>661</v>
      </c>
      <c r="G198" s="263">
        <v>42088</v>
      </c>
      <c r="H198" s="29">
        <v>4</v>
      </c>
      <c r="I198" s="29">
        <v>25115</v>
      </c>
      <c r="J198" s="29">
        <v>28</v>
      </c>
      <c r="K198" s="29" t="e">
        <f>VLOOKUP(J198,#REF!,2,0)</f>
        <v>#REF!</v>
      </c>
      <c r="L198" s="29">
        <v>8198</v>
      </c>
      <c r="M198" s="29" t="s">
        <v>611</v>
      </c>
      <c r="N198" s="29">
        <v>8</v>
      </c>
      <c r="O198" s="29">
        <v>40.32</v>
      </c>
      <c r="P198" s="29">
        <v>1461.54</v>
      </c>
      <c r="Q198" s="29">
        <v>288.11</v>
      </c>
      <c r="R198" s="29">
        <v>263.08</v>
      </c>
      <c r="S198" s="29">
        <v>2012.73</v>
      </c>
      <c r="T198" s="29">
        <v>14</v>
      </c>
    </row>
    <row r="199" spans="2:20" hidden="1" outlineLevel="2">
      <c r="B199" s="29">
        <v>956507</v>
      </c>
      <c r="C199" s="29">
        <v>67</v>
      </c>
      <c r="D199" s="29" t="s">
        <v>591</v>
      </c>
      <c r="E199" s="29">
        <v>1646</v>
      </c>
      <c r="F199" s="29" t="s">
        <v>661</v>
      </c>
      <c r="G199" s="263">
        <v>42088</v>
      </c>
      <c r="H199" s="29">
        <v>4</v>
      </c>
      <c r="I199" s="29">
        <v>25115</v>
      </c>
      <c r="J199" s="29">
        <v>28</v>
      </c>
      <c r="K199" s="29" t="e">
        <f>VLOOKUP(J199,#REF!,2,0)</f>
        <v>#REF!</v>
      </c>
      <c r="L199" s="29">
        <v>10367</v>
      </c>
      <c r="M199" s="29" t="s">
        <v>640</v>
      </c>
      <c r="N199" s="29">
        <v>100</v>
      </c>
      <c r="O199" s="29">
        <v>45.95</v>
      </c>
      <c r="P199" s="29">
        <v>1461.54</v>
      </c>
      <c r="Q199" s="29">
        <v>288.11</v>
      </c>
      <c r="R199" s="29">
        <v>263.08</v>
      </c>
      <c r="S199" s="29">
        <v>2012.73</v>
      </c>
      <c r="T199" s="29">
        <v>14</v>
      </c>
    </row>
    <row r="200" spans="2:20" hidden="1" outlineLevel="2">
      <c r="B200" s="29">
        <v>956507</v>
      </c>
      <c r="C200" s="29">
        <v>67</v>
      </c>
      <c r="D200" s="29" t="s">
        <v>591</v>
      </c>
      <c r="E200" s="29">
        <v>1646</v>
      </c>
      <c r="F200" s="29" t="s">
        <v>661</v>
      </c>
      <c r="G200" s="263">
        <v>42088</v>
      </c>
      <c r="H200" s="29">
        <v>4</v>
      </c>
      <c r="I200" s="29">
        <v>25115</v>
      </c>
      <c r="J200" s="29">
        <v>28</v>
      </c>
      <c r="K200" s="29" t="e">
        <f>VLOOKUP(J200,#REF!,2,0)</f>
        <v>#REF!</v>
      </c>
      <c r="L200" s="29">
        <v>2031</v>
      </c>
      <c r="M200" s="29" t="s">
        <v>653</v>
      </c>
      <c r="N200" s="29">
        <v>6</v>
      </c>
      <c r="O200" s="29">
        <v>42.77</v>
      </c>
      <c r="P200" s="29">
        <v>1461.54</v>
      </c>
      <c r="Q200" s="29">
        <v>288.11</v>
      </c>
      <c r="R200" s="29">
        <v>263.08</v>
      </c>
      <c r="S200" s="29">
        <v>2012.73</v>
      </c>
      <c r="T200" s="29">
        <v>14</v>
      </c>
    </row>
    <row r="201" spans="2:20" hidden="1" outlineLevel="2">
      <c r="B201" s="29">
        <v>956507</v>
      </c>
      <c r="C201" s="29">
        <v>67</v>
      </c>
      <c r="D201" s="29" t="s">
        <v>591</v>
      </c>
      <c r="E201" s="29">
        <v>1646</v>
      </c>
      <c r="F201" s="29" t="s">
        <v>661</v>
      </c>
      <c r="G201" s="263">
        <v>42088</v>
      </c>
      <c r="H201" s="29">
        <v>4</v>
      </c>
      <c r="I201" s="29">
        <v>25115</v>
      </c>
      <c r="J201" s="29">
        <v>28</v>
      </c>
      <c r="K201" s="29" t="e">
        <f>VLOOKUP(J201,#REF!,2,0)</f>
        <v>#REF!</v>
      </c>
      <c r="L201" s="29">
        <v>2037</v>
      </c>
      <c r="M201" s="29" t="s">
        <v>613</v>
      </c>
      <c r="N201" s="29">
        <v>8</v>
      </c>
      <c r="O201" s="29">
        <v>53.4</v>
      </c>
      <c r="P201" s="29">
        <v>1461.54</v>
      </c>
      <c r="Q201" s="29">
        <v>288.11</v>
      </c>
      <c r="R201" s="29">
        <v>263.08</v>
      </c>
      <c r="S201" s="29">
        <v>2012.73</v>
      </c>
      <c r="T201" s="29">
        <v>14</v>
      </c>
    </row>
    <row r="202" spans="2:20" hidden="1" outlineLevel="2">
      <c r="B202" s="29">
        <v>956507</v>
      </c>
      <c r="C202" s="29">
        <v>67</v>
      </c>
      <c r="D202" s="29" t="s">
        <v>591</v>
      </c>
      <c r="E202" s="29">
        <v>1646</v>
      </c>
      <c r="F202" s="29" t="s">
        <v>661</v>
      </c>
      <c r="G202" s="263">
        <v>42088</v>
      </c>
      <c r="H202" s="29">
        <v>4</v>
      </c>
      <c r="I202" s="29">
        <v>25115</v>
      </c>
      <c r="J202" s="29">
        <v>28</v>
      </c>
      <c r="K202" s="29" t="e">
        <f>VLOOKUP(J202,#REF!,2,0)</f>
        <v>#REF!</v>
      </c>
      <c r="L202" s="29">
        <v>2042</v>
      </c>
      <c r="M202" s="29" t="s">
        <v>664</v>
      </c>
      <c r="N202" s="29">
        <v>5</v>
      </c>
      <c r="O202" s="29">
        <v>79.599999999999994</v>
      </c>
      <c r="P202" s="29">
        <v>1461.54</v>
      </c>
      <c r="Q202" s="29">
        <v>288.11</v>
      </c>
      <c r="R202" s="29">
        <v>263.08</v>
      </c>
      <c r="S202" s="29">
        <v>2012.73</v>
      </c>
      <c r="T202" s="29">
        <v>14</v>
      </c>
    </row>
    <row r="203" spans="2:20" hidden="1" outlineLevel="2">
      <c r="B203" s="29">
        <v>956507</v>
      </c>
      <c r="C203" s="29">
        <v>67</v>
      </c>
      <c r="D203" s="29" t="s">
        <v>591</v>
      </c>
      <c r="E203" s="29">
        <v>1646</v>
      </c>
      <c r="F203" s="29" t="s">
        <v>661</v>
      </c>
      <c r="G203" s="263">
        <v>42088</v>
      </c>
      <c r="H203" s="29">
        <v>4</v>
      </c>
      <c r="I203" s="29">
        <v>25115</v>
      </c>
      <c r="J203" s="29">
        <v>28</v>
      </c>
      <c r="K203" s="29" t="e">
        <f>VLOOKUP(J203,#REF!,2,0)</f>
        <v>#REF!</v>
      </c>
      <c r="L203" s="29">
        <v>2043</v>
      </c>
      <c r="M203" s="29" t="s">
        <v>599</v>
      </c>
      <c r="N203" s="29">
        <v>12</v>
      </c>
      <c r="O203" s="29">
        <v>86.94</v>
      </c>
      <c r="P203" s="29">
        <v>1461.54</v>
      </c>
      <c r="Q203" s="29">
        <v>288.11</v>
      </c>
      <c r="R203" s="29">
        <v>263.08</v>
      </c>
      <c r="S203" s="29">
        <v>2012.73</v>
      </c>
      <c r="T203" s="29">
        <v>14</v>
      </c>
    </row>
    <row r="204" spans="2:20" hidden="1" outlineLevel="2">
      <c r="B204" s="29">
        <v>956507</v>
      </c>
      <c r="C204" s="29">
        <v>67</v>
      </c>
      <c r="D204" s="29" t="s">
        <v>591</v>
      </c>
      <c r="E204" s="29">
        <v>1646</v>
      </c>
      <c r="F204" s="29" t="s">
        <v>661</v>
      </c>
      <c r="G204" s="263">
        <v>42088</v>
      </c>
      <c r="H204" s="29">
        <v>4</v>
      </c>
      <c r="I204" s="29">
        <v>25115</v>
      </c>
      <c r="J204" s="29">
        <v>28</v>
      </c>
      <c r="K204" s="29" t="e">
        <f>VLOOKUP(J204,#REF!,2,0)</f>
        <v>#REF!</v>
      </c>
      <c r="L204" s="29">
        <v>10340</v>
      </c>
      <c r="M204" s="29" t="s">
        <v>601</v>
      </c>
      <c r="N204" s="29">
        <v>6</v>
      </c>
      <c r="O204" s="29">
        <v>86.4</v>
      </c>
      <c r="P204" s="29">
        <v>1461.54</v>
      </c>
      <c r="Q204" s="29">
        <v>288.11</v>
      </c>
      <c r="R204" s="29">
        <v>263.08</v>
      </c>
      <c r="S204" s="29">
        <v>2012.73</v>
      </c>
      <c r="T204" s="29">
        <v>14</v>
      </c>
    </row>
    <row r="205" spans="2:20" hidden="1" outlineLevel="2">
      <c r="B205" s="29">
        <v>956507</v>
      </c>
      <c r="C205" s="29">
        <v>67</v>
      </c>
      <c r="D205" s="29" t="s">
        <v>591</v>
      </c>
      <c r="E205" s="29">
        <v>1646</v>
      </c>
      <c r="F205" s="29" t="s">
        <v>661</v>
      </c>
      <c r="G205" s="263">
        <v>42088</v>
      </c>
      <c r="H205" s="29">
        <v>4</v>
      </c>
      <c r="I205" s="29">
        <v>25115</v>
      </c>
      <c r="J205" s="29">
        <v>28</v>
      </c>
      <c r="K205" s="29" t="e">
        <f>VLOOKUP(J205,#REF!,2,0)</f>
        <v>#REF!</v>
      </c>
      <c r="L205" s="29">
        <v>15694</v>
      </c>
      <c r="M205" s="29" t="s">
        <v>615</v>
      </c>
      <c r="N205" s="29">
        <v>2</v>
      </c>
      <c r="O205" s="29">
        <v>70.73</v>
      </c>
      <c r="P205" s="29">
        <v>1461.54</v>
      </c>
      <c r="Q205" s="29">
        <v>288.11</v>
      </c>
      <c r="R205" s="29">
        <v>263.08</v>
      </c>
      <c r="S205" s="29">
        <v>2012.73</v>
      </c>
      <c r="T205" s="29">
        <v>14</v>
      </c>
    </row>
    <row r="206" spans="2:20" hidden="1" outlineLevel="2">
      <c r="B206" s="29">
        <v>956507</v>
      </c>
      <c r="C206" s="29">
        <v>67</v>
      </c>
      <c r="D206" s="29" t="s">
        <v>591</v>
      </c>
      <c r="E206" s="29">
        <v>1646</v>
      </c>
      <c r="F206" s="29" t="s">
        <v>661</v>
      </c>
      <c r="G206" s="263">
        <v>42088</v>
      </c>
      <c r="H206" s="29">
        <v>4</v>
      </c>
      <c r="I206" s="29">
        <v>25115</v>
      </c>
      <c r="J206" s="29">
        <v>28</v>
      </c>
      <c r="K206" s="29" t="e">
        <f>VLOOKUP(J206,#REF!,2,0)</f>
        <v>#REF!</v>
      </c>
      <c r="L206" s="29">
        <v>3342</v>
      </c>
      <c r="M206" s="29" t="s">
        <v>628</v>
      </c>
      <c r="N206" s="29">
        <v>5</v>
      </c>
      <c r="O206" s="29">
        <v>66.150000000000006</v>
      </c>
      <c r="P206" s="29">
        <v>1461.54</v>
      </c>
      <c r="Q206" s="29">
        <v>288.11</v>
      </c>
      <c r="R206" s="29">
        <v>263.08</v>
      </c>
      <c r="S206" s="29">
        <v>2012.73</v>
      </c>
      <c r="T206" s="29">
        <v>14</v>
      </c>
    </row>
    <row r="207" spans="2:20" hidden="1" outlineLevel="2">
      <c r="B207" s="29">
        <v>956507</v>
      </c>
      <c r="C207" s="29">
        <v>67</v>
      </c>
      <c r="D207" s="29" t="s">
        <v>591</v>
      </c>
      <c r="E207" s="29">
        <v>1646</v>
      </c>
      <c r="F207" s="29" t="s">
        <v>661</v>
      </c>
      <c r="G207" s="263">
        <v>42088</v>
      </c>
      <c r="H207" s="29">
        <v>4</v>
      </c>
      <c r="I207" s="29">
        <v>25115</v>
      </c>
      <c r="J207" s="29">
        <v>28</v>
      </c>
      <c r="K207" s="29" t="e">
        <f>VLOOKUP(J207,#REF!,2,0)</f>
        <v>#REF!</v>
      </c>
      <c r="L207" s="29">
        <v>3345</v>
      </c>
      <c r="M207" s="29" t="s">
        <v>630</v>
      </c>
      <c r="N207" s="29">
        <v>4</v>
      </c>
      <c r="O207" s="29">
        <v>22.73</v>
      </c>
      <c r="P207" s="29">
        <v>1461.54</v>
      </c>
      <c r="Q207" s="29">
        <v>288.11</v>
      </c>
      <c r="R207" s="29">
        <v>263.08</v>
      </c>
      <c r="S207" s="29">
        <v>2012.73</v>
      </c>
      <c r="T207" s="29">
        <v>14</v>
      </c>
    </row>
    <row r="208" spans="2:20" hidden="1" outlineLevel="2">
      <c r="B208" s="29">
        <v>956507</v>
      </c>
      <c r="C208" s="29">
        <v>67</v>
      </c>
      <c r="D208" s="29" t="s">
        <v>591</v>
      </c>
      <c r="E208" s="29">
        <v>1646</v>
      </c>
      <c r="F208" s="29" t="s">
        <v>661</v>
      </c>
      <c r="G208" s="263">
        <v>42088</v>
      </c>
      <c r="H208" s="29">
        <v>4</v>
      </c>
      <c r="I208" s="29">
        <v>25115</v>
      </c>
      <c r="J208" s="29">
        <v>28</v>
      </c>
      <c r="K208" s="29" t="e">
        <f>VLOOKUP(J208,#REF!,2,0)</f>
        <v>#REF!</v>
      </c>
      <c r="L208" s="29">
        <v>3346</v>
      </c>
      <c r="M208" s="29" t="s">
        <v>602</v>
      </c>
      <c r="N208" s="29">
        <v>2</v>
      </c>
      <c r="O208" s="29">
        <v>6.99</v>
      </c>
      <c r="P208" s="29">
        <v>1461.54</v>
      </c>
      <c r="Q208" s="29">
        <v>288.11</v>
      </c>
      <c r="R208" s="29">
        <v>263.08</v>
      </c>
      <c r="S208" s="29">
        <v>2012.73</v>
      </c>
      <c r="T208" s="29">
        <v>14</v>
      </c>
    </row>
    <row r="209" spans="2:20" hidden="1" outlineLevel="2">
      <c r="B209" s="29">
        <v>956507</v>
      </c>
      <c r="C209" s="29">
        <v>67</v>
      </c>
      <c r="D209" s="29" t="s">
        <v>591</v>
      </c>
      <c r="E209" s="29">
        <v>1646</v>
      </c>
      <c r="F209" s="29" t="s">
        <v>661</v>
      </c>
      <c r="G209" s="263">
        <v>42088</v>
      </c>
      <c r="H209" s="29">
        <v>4</v>
      </c>
      <c r="I209" s="29">
        <v>25115</v>
      </c>
      <c r="J209" s="29">
        <v>28</v>
      </c>
      <c r="K209" s="29" t="e">
        <f>VLOOKUP(J209,#REF!,2,0)</f>
        <v>#REF!</v>
      </c>
      <c r="L209" s="29">
        <v>10569</v>
      </c>
      <c r="M209" s="29" t="s">
        <v>616</v>
      </c>
      <c r="N209" s="29">
        <v>6</v>
      </c>
      <c r="O209" s="29">
        <v>130.97999999999999</v>
      </c>
      <c r="P209" s="29">
        <v>1461.54</v>
      </c>
      <c r="Q209" s="29">
        <v>288.11</v>
      </c>
      <c r="R209" s="29">
        <v>263.08</v>
      </c>
      <c r="S209" s="29">
        <v>2012.73</v>
      </c>
      <c r="T209" s="29">
        <v>14</v>
      </c>
    </row>
    <row r="210" spans="2:20" hidden="1" outlineLevel="2">
      <c r="B210" s="29">
        <v>956507</v>
      </c>
      <c r="C210" s="29">
        <v>67</v>
      </c>
      <c r="D210" s="29" t="s">
        <v>591</v>
      </c>
      <c r="E210" s="29">
        <v>1646</v>
      </c>
      <c r="F210" s="29" t="s">
        <v>661</v>
      </c>
      <c r="G210" s="263">
        <v>42088</v>
      </c>
      <c r="H210" s="29">
        <v>4</v>
      </c>
      <c r="I210" s="29">
        <v>25115</v>
      </c>
      <c r="J210" s="29">
        <v>28</v>
      </c>
      <c r="K210" s="29" t="e">
        <f>VLOOKUP(J210,#REF!,2,0)</f>
        <v>#REF!</v>
      </c>
      <c r="L210" s="29">
        <v>15250</v>
      </c>
      <c r="M210" s="29" t="s">
        <v>607</v>
      </c>
      <c r="N210" s="29">
        <v>1</v>
      </c>
      <c r="O210" s="29">
        <v>50.69</v>
      </c>
      <c r="P210" s="29">
        <v>1461.54</v>
      </c>
      <c r="Q210" s="29">
        <v>288.11</v>
      </c>
      <c r="R210" s="29">
        <v>263.08</v>
      </c>
      <c r="S210" s="29">
        <v>2012.73</v>
      </c>
      <c r="T210" s="29">
        <v>14</v>
      </c>
    </row>
    <row r="211" spans="2:20" hidden="1" outlineLevel="2">
      <c r="B211" s="29">
        <v>956507</v>
      </c>
      <c r="C211" s="29">
        <v>67</v>
      </c>
      <c r="D211" s="29" t="s">
        <v>591</v>
      </c>
      <c r="E211" s="29">
        <v>1646</v>
      </c>
      <c r="F211" s="29" t="s">
        <v>661</v>
      </c>
      <c r="G211" s="263">
        <v>42088</v>
      </c>
      <c r="H211" s="29">
        <v>4</v>
      </c>
      <c r="I211" s="29">
        <v>25115</v>
      </c>
      <c r="J211" s="29">
        <v>28</v>
      </c>
      <c r="K211" s="29" t="e">
        <f>VLOOKUP(J211,#REF!,2,0)</f>
        <v>#REF!</v>
      </c>
      <c r="L211" s="29">
        <v>10563</v>
      </c>
      <c r="M211" s="29" t="s">
        <v>604</v>
      </c>
      <c r="N211" s="29">
        <v>5</v>
      </c>
      <c r="O211" s="29">
        <v>116.64</v>
      </c>
      <c r="P211" s="29">
        <v>1461.54</v>
      </c>
      <c r="Q211" s="29">
        <v>288.11</v>
      </c>
      <c r="R211" s="29">
        <v>263.08</v>
      </c>
      <c r="S211" s="29">
        <v>2012.73</v>
      </c>
      <c r="T211" s="29">
        <v>14</v>
      </c>
    </row>
    <row r="212" spans="2:20" hidden="1" outlineLevel="2">
      <c r="B212" s="29">
        <v>956508</v>
      </c>
      <c r="C212" s="29">
        <v>67</v>
      </c>
      <c r="D212" s="29" t="s">
        <v>591</v>
      </c>
      <c r="E212" s="29">
        <v>1646</v>
      </c>
      <c r="F212" s="29" t="s">
        <v>661</v>
      </c>
      <c r="G212" s="263">
        <v>42088</v>
      </c>
      <c r="H212" s="29">
        <v>4</v>
      </c>
      <c r="I212" s="29">
        <v>25114</v>
      </c>
      <c r="J212" s="29">
        <v>28</v>
      </c>
      <c r="K212" s="29" t="e">
        <f>VLOOKUP(J212,#REF!,2,0)</f>
        <v>#REF!</v>
      </c>
      <c r="L212" s="29">
        <v>3354</v>
      </c>
      <c r="M212" s="29" t="s">
        <v>654</v>
      </c>
      <c r="N212" s="29">
        <v>3</v>
      </c>
      <c r="O212" s="29">
        <v>43.2</v>
      </c>
      <c r="P212" s="29">
        <v>43.2</v>
      </c>
      <c r="Q212" s="29">
        <v>0</v>
      </c>
      <c r="R212" s="29">
        <v>7.78</v>
      </c>
      <c r="S212" s="29">
        <v>50.98</v>
      </c>
      <c r="T212" s="29">
        <v>14</v>
      </c>
    </row>
    <row r="213" spans="2:20" hidden="1" outlineLevel="2">
      <c r="B213" s="29">
        <v>959855</v>
      </c>
      <c r="C213" s="29">
        <v>67</v>
      </c>
      <c r="D213" s="29" t="s">
        <v>591</v>
      </c>
      <c r="E213" s="29">
        <v>17056</v>
      </c>
      <c r="F213" s="29" t="s">
        <v>665</v>
      </c>
      <c r="G213" s="263">
        <v>42094</v>
      </c>
      <c r="H213" s="29">
        <v>4</v>
      </c>
      <c r="I213" s="29">
        <v>25574</v>
      </c>
      <c r="J213" s="29">
        <v>28</v>
      </c>
      <c r="K213" s="29" t="e">
        <f>VLOOKUP(J213,#REF!,2,0)</f>
        <v>#REF!</v>
      </c>
      <c r="L213" s="29">
        <v>3342</v>
      </c>
      <c r="M213" s="29" t="s">
        <v>628</v>
      </c>
      <c r="N213" s="29">
        <v>1</v>
      </c>
      <c r="O213" s="29">
        <v>13.42</v>
      </c>
      <c r="P213" s="29">
        <v>149.03</v>
      </c>
      <c r="Q213" s="29">
        <v>0</v>
      </c>
      <c r="R213" s="29">
        <v>26.83</v>
      </c>
      <c r="S213" s="29">
        <v>175.86</v>
      </c>
      <c r="T213" s="29">
        <v>11</v>
      </c>
    </row>
    <row r="214" spans="2:20" outlineLevel="1" collapsed="1">
      <c r="G214" s="263"/>
      <c r="K214" s="59" t="s">
        <v>666</v>
      </c>
      <c r="O214" s="29">
        <f>SUBTOTAL(9,O40:O213)</f>
        <v>8690.0299999999988</v>
      </c>
    </row>
    <row r="215" spans="2:20" hidden="1" outlineLevel="2">
      <c r="B215" s="29">
        <v>956511</v>
      </c>
      <c r="C215" s="29">
        <v>67</v>
      </c>
      <c r="D215" s="29" t="s">
        <v>591</v>
      </c>
      <c r="E215" s="29">
        <v>14608</v>
      </c>
      <c r="F215" s="29" t="s">
        <v>592</v>
      </c>
      <c r="G215" s="263">
        <v>42065</v>
      </c>
      <c r="H215" s="29">
        <v>4</v>
      </c>
      <c r="I215" s="29">
        <v>23614</v>
      </c>
      <c r="J215" s="29">
        <v>27</v>
      </c>
      <c r="K215" s="29" t="e">
        <f>VLOOKUP(J215,#REF!,2,0)</f>
        <v>#REF!</v>
      </c>
      <c r="L215" s="29">
        <v>1919</v>
      </c>
      <c r="M215" s="29" t="s">
        <v>667</v>
      </c>
      <c r="N215" s="29">
        <v>2</v>
      </c>
      <c r="O215" s="29">
        <v>40.76</v>
      </c>
      <c r="P215" s="29">
        <v>2447.0300000000002</v>
      </c>
      <c r="Q215" s="29">
        <v>276.48</v>
      </c>
      <c r="R215" s="29">
        <v>440.47</v>
      </c>
      <c r="S215" s="29">
        <v>3163.98</v>
      </c>
      <c r="T215" s="29">
        <v>10</v>
      </c>
    </row>
    <row r="216" spans="2:20" hidden="1" outlineLevel="2">
      <c r="B216" s="29">
        <v>956511</v>
      </c>
      <c r="C216" s="29">
        <v>67</v>
      </c>
      <c r="D216" s="29" t="s">
        <v>591</v>
      </c>
      <c r="E216" s="29">
        <v>14608</v>
      </c>
      <c r="F216" s="29" t="s">
        <v>592</v>
      </c>
      <c r="G216" s="263">
        <v>42065</v>
      </c>
      <c r="H216" s="29">
        <v>4</v>
      </c>
      <c r="I216" s="29">
        <v>23614</v>
      </c>
      <c r="J216" s="29">
        <v>27</v>
      </c>
      <c r="K216" s="29" t="e">
        <f>VLOOKUP(J216,#REF!,2,0)</f>
        <v>#REF!</v>
      </c>
      <c r="L216" s="29">
        <v>12943</v>
      </c>
      <c r="M216" s="29" t="s">
        <v>668</v>
      </c>
      <c r="N216" s="29">
        <v>12</v>
      </c>
      <c r="O216" s="29">
        <v>101.69</v>
      </c>
      <c r="P216" s="29">
        <v>2447.0300000000002</v>
      </c>
      <c r="Q216" s="29">
        <v>276.48</v>
      </c>
      <c r="R216" s="29">
        <v>440.47</v>
      </c>
      <c r="S216" s="29">
        <v>3163.98</v>
      </c>
      <c r="T216" s="29">
        <v>10</v>
      </c>
    </row>
    <row r="217" spans="2:20" hidden="1" outlineLevel="2">
      <c r="B217" s="29">
        <v>956511</v>
      </c>
      <c r="C217" s="29">
        <v>67</v>
      </c>
      <c r="D217" s="29" t="s">
        <v>591</v>
      </c>
      <c r="E217" s="29">
        <v>14608</v>
      </c>
      <c r="F217" s="29" t="s">
        <v>592</v>
      </c>
      <c r="G217" s="263">
        <v>42065</v>
      </c>
      <c r="H217" s="29">
        <v>4</v>
      </c>
      <c r="I217" s="29">
        <v>23614</v>
      </c>
      <c r="J217" s="29">
        <v>27</v>
      </c>
      <c r="K217" s="29" t="e">
        <f>VLOOKUP(J217,#REF!,2,0)</f>
        <v>#REF!</v>
      </c>
      <c r="L217" s="29">
        <v>13192</v>
      </c>
      <c r="M217" s="29" t="s">
        <v>669</v>
      </c>
      <c r="N217" s="29">
        <v>6</v>
      </c>
      <c r="O217" s="29">
        <v>162.72</v>
      </c>
      <c r="P217" s="29">
        <v>2447.0300000000002</v>
      </c>
      <c r="Q217" s="29">
        <v>276.48</v>
      </c>
      <c r="R217" s="29">
        <v>440.47</v>
      </c>
      <c r="S217" s="29">
        <v>3163.98</v>
      </c>
      <c r="T217" s="29">
        <v>10</v>
      </c>
    </row>
    <row r="218" spans="2:20" hidden="1" outlineLevel="2">
      <c r="B218" s="29">
        <v>956511</v>
      </c>
      <c r="C218" s="29">
        <v>67</v>
      </c>
      <c r="D218" s="29" t="s">
        <v>591</v>
      </c>
      <c r="E218" s="29">
        <v>14608</v>
      </c>
      <c r="F218" s="29" t="s">
        <v>592</v>
      </c>
      <c r="G218" s="263">
        <v>42065</v>
      </c>
      <c r="H218" s="29">
        <v>4</v>
      </c>
      <c r="I218" s="29">
        <v>23614</v>
      </c>
      <c r="J218" s="29">
        <v>27</v>
      </c>
      <c r="K218" s="29" t="e">
        <f>VLOOKUP(J218,#REF!,2,0)</f>
        <v>#REF!</v>
      </c>
      <c r="L218" s="29">
        <v>13192</v>
      </c>
      <c r="M218" s="29" t="s">
        <v>669</v>
      </c>
      <c r="N218" s="29">
        <v>6</v>
      </c>
      <c r="O218" s="29">
        <v>162.72</v>
      </c>
      <c r="P218" s="29">
        <v>2447.0300000000002</v>
      </c>
      <c r="Q218" s="29">
        <v>276.48</v>
      </c>
      <c r="R218" s="29">
        <v>440.47</v>
      </c>
      <c r="S218" s="29">
        <v>3163.98</v>
      </c>
      <c r="T218" s="29">
        <v>10</v>
      </c>
    </row>
    <row r="219" spans="2:20" hidden="1" outlineLevel="2">
      <c r="B219" s="29">
        <v>956511</v>
      </c>
      <c r="C219" s="29">
        <v>67</v>
      </c>
      <c r="D219" s="29" t="s">
        <v>591</v>
      </c>
      <c r="E219" s="29">
        <v>14608</v>
      </c>
      <c r="F219" s="29" t="s">
        <v>592</v>
      </c>
      <c r="G219" s="263">
        <v>42065</v>
      </c>
      <c r="H219" s="29">
        <v>4</v>
      </c>
      <c r="I219" s="29">
        <v>23614</v>
      </c>
      <c r="J219" s="29">
        <v>27</v>
      </c>
      <c r="K219" s="29" t="e">
        <f>VLOOKUP(J219,#REF!,2,0)</f>
        <v>#REF!</v>
      </c>
      <c r="L219" s="29">
        <v>1912</v>
      </c>
      <c r="M219" s="29" t="s">
        <v>670</v>
      </c>
      <c r="N219" s="29">
        <v>24</v>
      </c>
      <c r="O219" s="29">
        <v>135.22999999999999</v>
      </c>
      <c r="P219" s="29">
        <v>2447.0300000000002</v>
      </c>
      <c r="Q219" s="29">
        <v>276.48</v>
      </c>
      <c r="R219" s="29">
        <v>440.47</v>
      </c>
      <c r="S219" s="29">
        <v>3163.98</v>
      </c>
      <c r="T219" s="29">
        <v>10</v>
      </c>
    </row>
    <row r="220" spans="2:20" hidden="1" outlineLevel="2">
      <c r="B220" s="29">
        <v>956511</v>
      </c>
      <c r="C220" s="29">
        <v>67</v>
      </c>
      <c r="D220" s="29" t="s">
        <v>591</v>
      </c>
      <c r="E220" s="29">
        <v>14608</v>
      </c>
      <c r="F220" s="29" t="s">
        <v>592</v>
      </c>
      <c r="G220" s="263">
        <v>42065</v>
      </c>
      <c r="H220" s="29">
        <v>4</v>
      </c>
      <c r="I220" s="29">
        <v>23614</v>
      </c>
      <c r="J220" s="29">
        <v>27</v>
      </c>
      <c r="K220" s="29" t="e">
        <f>VLOOKUP(J220,#REF!,2,0)</f>
        <v>#REF!</v>
      </c>
      <c r="L220" s="29">
        <v>5332</v>
      </c>
      <c r="M220" s="29" t="s">
        <v>671</v>
      </c>
      <c r="N220" s="29">
        <v>12</v>
      </c>
      <c r="O220" s="29">
        <v>70.53</v>
      </c>
      <c r="P220" s="29">
        <v>2447.0300000000002</v>
      </c>
      <c r="Q220" s="29">
        <v>276.48</v>
      </c>
      <c r="R220" s="29">
        <v>440.47</v>
      </c>
      <c r="S220" s="29">
        <v>3163.98</v>
      </c>
      <c r="T220" s="29">
        <v>10</v>
      </c>
    </row>
    <row r="221" spans="2:20" hidden="1" outlineLevel="2">
      <c r="B221" s="29">
        <v>956511</v>
      </c>
      <c r="C221" s="29">
        <v>67</v>
      </c>
      <c r="D221" s="29" t="s">
        <v>591</v>
      </c>
      <c r="E221" s="29">
        <v>14608</v>
      </c>
      <c r="F221" s="29" t="s">
        <v>592</v>
      </c>
      <c r="G221" s="263">
        <v>42065</v>
      </c>
      <c r="H221" s="29">
        <v>4</v>
      </c>
      <c r="I221" s="29">
        <v>23614</v>
      </c>
      <c r="J221" s="29">
        <v>27</v>
      </c>
      <c r="K221" s="29" t="e">
        <f>VLOOKUP(J221,#REF!,2,0)</f>
        <v>#REF!</v>
      </c>
      <c r="L221" s="29">
        <v>1887</v>
      </c>
      <c r="M221" s="29" t="s">
        <v>672</v>
      </c>
      <c r="N221" s="29">
        <v>12</v>
      </c>
      <c r="O221" s="29">
        <v>101.7</v>
      </c>
      <c r="P221" s="29">
        <v>2447.0300000000002</v>
      </c>
      <c r="Q221" s="29">
        <v>276.48</v>
      </c>
      <c r="R221" s="29">
        <v>440.47</v>
      </c>
      <c r="S221" s="29">
        <v>3163.98</v>
      </c>
      <c r="T221" s="29">
        <v>10</v>
      </c>
    </row>
    <row r="222" spans="2:20" hidden="1" outlineLevel="2">
      <c r="B222" s="29">
        <v>956511</v>
      </c>
      <c r="C222" s="29">
        <v>67</v>
      </c>
      <c r="D222" s="29" t="s">
        <v>591</v>
      </c>
      <c r="E222" s="29">
        <v>14608</v>
      </c>
      <c r="F222" s="29" t="s">
        <v>592</v>
      </c>
      <c r="G222" s="263">
        <v>42065</v>
      </c>
      <c r="H222" s="29">
        <v>4</v>
      </c>
      <c r="I222" s="29">
        <v>23614</v>
      </c>
      <c r="J222" s="29">
        <v>27</v>
      </c>
      <c r="K222" s="29" t="e">
        <f>VLOOKUP(J222,#REF!,2,0)</f>
        <v>#REF!</v>
      </c>
      <c r="L222" s="29">
        <v>12495</v>
      </c>
      <c r="M222" s="29" t="s">
        <v>673</v>
      </c>
      <c r="N222" s="29">
        <v>6</v>
      </c>
      <c r="O222" s="29">
        <v>111.88</v>
      </c>
      <c r="P222" s="29">
        <v>2447.0300000000002</v>
      </c>
      <c r="Q222" s="29">
        <v>276.48</v>
      </c>
      <c r="R222" s="29">
        <v>440.47</v>
      </c>
      <c r="S222" s="29">
        <v>3163.98</v>
      </c>
      <c r="T222" s="29">
        <v>10</v>
      </c>
    </row>
    <row r="223" spans="2:20" hidden="1" outlineLevel="2">
      <c r="B223" s="29">
        <v>956511</v>
      </c>
      <c r="C223" s="29">
        <v>67</v>
      </c>
      <c r="D223" s="29" t="s">
        <v>591</v>
      </c>
      <c r="E223" s="29">
        <v>14608</v>
      </c>
      <c r="F223" s="29" t="s">
        <v>592</v>
      </c>
      <c r="G223" s="263">
        <v>42065</v>
      </c>
      <c r="H223" s="29">
        <v>4</v>
      </c>
      <c r="I223" s="29">
        <v>23614</v>
      </c>
      <c r="J223" s="29">
        <v>27</v>
      </c>
      <c r="K223" s="29" t="e">
        <f>VLOOKUP(J223,#REF!,2,0)</f>
        <v>#REF!</v>
      </c>
      <c r="L223" s="29">
        <v>5420</v>
      </c>
      <c r="M223" s="29" t="s">
        <v>674</v>
      </c>
      <c r="N223" s="29">
        <v>12</v>
      </c>
      <c r="O223" s="29">
        <v>152.56</v>
      </c>
      <c r="P223" s="29">
        <v>2447.0300000000002</v>
      </c>
      <c r="Q223" s="29">
        <v>276.48</v>
      </c>
      <c r="R223" s="29">
        <v>440.47</v>
      </c>
      <c r="S223" s="29">
        <v>3163.98</v>
      </c>
      <c r="T223" s="29">
        <v>10</v>
      </c>
    </row>
    <row r="224" spans="2:20" hidden="1" outlineLevel="2">
      <c r="B224" s="29">
        <v>956511</v>
      </c>
      <c r="C224" s="29">
        <v>67</v>
      </c>
      <c r="D224" s="29" t="s">
        <v>591</v>
      </c>
      <c r="E224" s="29">
        <v>14608</v>
      </c>
      <c r="F224" s="29" t="s">
        <v>592</v>
      </c>
      <c r="G224" s="263">
        <v>42065</v>
      </c>
      <c r="H224" s="29">
        <v>4</v>
      </c>
      <c r="I224" s="29">
        <v>23614</v>
      </c>
      <c r="J224" s="29">
        <v>27</v>
      </c>
      <c r="K224" s="29" t="e">
        <f>VLOOKUP(J224,#REF!,2,0)</f>
        <v>#REF!</v>
      </c>
      <c r="L224" s="29">
        <v>1889</v>
      </c>
      <c r="M224" s="29" t="s">
        <v>675</v>
      </c>
      <c r="N224" s="29">
        <v>3</v>
      </c>
      <c r="O224" s="29">
        <v>53.39</v>
      </c>
      <c r="P224" s="29">
        <v>2447.0300000000002</v>
      </c>
      <c r="Q224" s="29">
        <v>276.48</v>
      </c>
      <c r="R224" s="29">
        <v>440.47</v>
      </c>
      <c r="S224" s="29">
        <v>3163.98</v>
      </c>
      <c r="T224" s="29">
        <v>10</v>
      </c>
    </row>
    <row r="225" spans="2:20" hidden="1" outlineLevel="2">
      <c r="B225" s="29">
        <v>956511</v>
      </c>
      <c r="C225" s="29">
        <v>67</v>
      </c>
      <c r="D225" s="29" t="s">
        <v>591</v>
      </c>
      <c r="E225" s="29">
        <v>14608</v>
      </c>
      <c r="F225" s="29" t="s">
        <v>592</v>
      </c>
      <c r="G225" s="263">
        <v>42065</v>
      </c>
      <c r="H225" s="29">
        <v>4</v>
      </c>
      <c r="I225" s="29">
        <v>23614</v>
      </c>
      <c r="J225" s="29">
        <v>27</v>
      </c>
      <c r="K225" s="29" t="e">
        <f>VLOOKUP(J225,#REF!,2,0)</f>
        <v>#REF!</v>
      </c>
      <c r="L225" s="29">
        <v>14009</v>
      </c>
      <c r="M225" s="29" t="s">
        <v>676</v>
      </c>
      <c r="N225" s="29">
        <v>6</v>
      </c>
      <c r="O225" s="29">
        <v>152.53</v>
      </c>
      <c r="P225" s="29">
        <v>2447.0300000000002</v>
      </c>
      <c r="Q225" s="29">
        <v>276.48</v>
      </c>
      <c r="R225" s="29">
        <v>440.47</v>
      </c>
      <c r="S225" s="29">
        <v>3163.98</v>
      </c>
      <c r="T225" s="29">
        <v>10</v>
      </c>
    </row>
    <row r="226" spans="2:20" hidden="1" outlineLevel="2">
      <c r="B226" s="29">
        <v>956511</v>
      </c>
      <c r="C226" s="29">
        <v>67</v>
      </c>
      <c r="D226" s="29" t="s">
        <v>591</v>
      </c>
      <c r="E226" s="29">
        <v>14608</v>
      </c>
      <c r="F226" s="29" t="s">
        <v>592</v>
      </c>
      <c r="G226" s="263">
        <v>42065</v>
      </c>
      <c r="H226" s="29">
        <v>4</v>
      </c>
      <c r="I226" s="29">
        <v>23614</v>
      </c>
      <c r="J226" s="29">
        <v>27</v>
      </c>
      <c r="K226" s="29" t="e">
        <f>VLOOKUP(J226,#REF!,2,0)</f>
        <v>#REF!</v>
      </c>
      <c r="L226" s="29">
        <v>15323</v>
      </c>
      <c r="M226" s="29" t="s">
        <v>677</v>
      </c>
      <c r="N226" s="29">
        <v>10</v>
      </c>
      <c r="O226" s="29">
        <v>322.06</v>
      </c>
      <c r="P226" s="29">
        <v>2447.0300000000002</v>
      </c>
      <c r="Q226" s="29">
        <v>276.48</v>
      </c>
      <c r="R226" s="29">
        <v>440.47</v>
      </c>
      <c r="S226" s="29">
        <v>3163.98</v>
      </c>
      <c r="T226" s="29">
        <v>10</v>
      </c>
    </row>
    <row r="227" spans="2:20" hidden="1" outlineLevel="2">
      <c r="B227" s="29">
        <v>956511</v>
      </c>
      <c r="C227" s="29">
        <v>67</v>
      </c>
      <c r="D227" s="29" t="s">
        <v>591</v>
      </c>
      <c r="E227" s="29">
        <v>14608</v>
      </c>
      <c r="F227" s="29" t="s">
        <v>592</v>
      </c>
      <c r="G227" s="263">
        <v>42065</v>
      </c>
      <c r="H227" s="29">
        <v>4</v>
      </c>
      <c r="I227" s="29">
        <v>23614</v>
      </c>
      <c r="J227" s="29">
        <v>27</v>
      </c>
      <c r="K227" s="29" t="e">
        <f>VLOOKUP(J227,#REF!,2,0)</f>
        <v>#REF!</v>
      </c>
      <c r="L227" s="29">
        <v>14545</v>
      </c>
      <c r="M227" s="29" t="s">
        <v>678</v>
      </c>
      <c r="N227" s="29">
        <v>6</v>
      </c>
      <c r="O227" s="29">
        <v>142.37</v>
      </c>
      <c r="P227" s="29">
        <v>2447.0300000000002</v>
      </c>
      <c r="Q227" s="29">
        <v>276.48</v>
      </c>
      <c r="R227" s="29">
        <v>440.47</v>
      </c>
      <c r="S227" s="29">
        <v>3163.98</v>
      </c>
      <c r="T227" s="29">
        <v>10</v>
      </c>
    </row>
    <row r="228" spans="2:20" hidden="1" outlineLevel="2">
      <c r="B228" s="29">
        <v>956511</v>
      </c>
      <c r="C228" s="29">
        <v>67</v>
      </c>
      <c r="D228" s="29" t="s">
        <v>591</v>
      </c>
      <c r="E228" s="29">
        <v>14608</v>
      </c>
      <c r="F228" s="29" t="s">
        <v>592</v>
      </c>
      <c r="G228" s="263">
        <v>42065</v>
      </c>
      <c r="H228" s="29">
        <v>4</v>
      </c>
      <c r="I228" s="29">
        <v>23614</v>
      </c>
      <c r="J228" s="29">
        <v>27</v>
      </c>
      <c r="K228" s="29" t="e">
        <f>VLOOKUP(J228,#REF!,2,0)</f>
        <v>#REF!</v>
      </c>
      <c r="L228" s="29">
        <v>12558</v>
      </c>
      <c r="M228" s="29" t="s">
        <v>679</v>
      </c>
      <c r="N228" s="29">
        <v>3</v>
      </c>
      <c r="O228" s="29">
        <v>133.13999999999999</v>
      </c>
      <c r="P228" s="29">
        <v>2447.0300000000002</v>
      </c>
      <c r="Q228" s="29">
        <v>276.48</v>
      </c>
      <c r="R228" s="29">
        <v>440.47</v>
      </c>
      <c r="S228" s="29">
        <v>3163.98</v>
      </c>
      <c r="T228" s="29">
        <v>10</v>
      </c>
    </row>
    <row r="229" spans="2:20" hidden="1" outlineLevel="2">
      <c r="B229" s="29">
        <v>956718</v>
      </c>
      <c r="C229" s="29">
        <v>67</v>
      </c>
      <c r="D229" s="29" t="s">
        <v>591</v>
      </c>
      <c r="E229" s="29">
        <v>14765</v>
      </c>
      <c r="F229" s="29" t="s">
        <v>605</v>
      </c>
      <c r="G229" s="263">
        <v>42067</v>
      </c>
      <c r="H229" s="29">
        <v>4</v>
      </c>
      <c r="I229" s="29">
        <v>23759</v>
      </c>
      <c r="J229" s="29">
        <v>27</v>
      </c>
      <c r="K229" s="29" t="e">
        <f>VLOOKUP(J229,#REF!,2,0)</f>
        <v>#REF!</v>
      </c>
      <c r="L229" s="29">
        <v>12943</v>
      </c>
      <c r="M229" s="29" t="s">
        <v>668</v>
      </c>
      <c r="N229" s="29">
        <v>2</v>
      </c>
      <c r="O229" s="29">
        <v>17.059999999999999</v>
      </c>
      <c r="P229" s="29">
        <v>212.34</v>
      </c>
      <c r="Q229" s="29">
        <v>0</v>
      </c>
      <c r="R229" s="29">
        <v>38.22</v>
      </c>
      <c r="S229" s="29">
        <v>250.56</v>
      </c>
      <c r="T229" s="29">
        <v>10</v>
      </c>
    </row>
    <row r="230" spans="2:20" hidden="1" outlineLevel="2">
      <c r="B230" s="29">
        <v>956718</v>
      </c>
      <c r="C230" s="29">
        <v>67</v>
      </c>
      <c r="D230" s="29" t="s">
        <v>591</v>
      </c>
      <c r="E230" s="29">
        <v>14765</v>
      </c>
      <c r="F230" s="29" t="s">
        <v>605</v>
      </c>
      <c r="G230" s="263">
        <v>42067</v>
      </c>
      <c r="H230" s="29">
        <v>4</v>
      </c>
      <c r="I230" s="29">
        <v>23759</v>
      </c>
      <c r="J230" s="29">
        <v>27</v>
      </c>
      <c r="K230" s="29" t="e">
        <f>VLOOKUP(J230,#REF!,2,0)</f>
        <v>#REF!</v>
      </c>
      <c r="L230" s="29">
        <v>1889</v>
      </c>
      <c r="M230" s="29" t="s">
        <v>675</v>
      </c>
      <c r="N230" s="29">
        <v>2</v>
      </c>
      <c r="O230" s="29">
        <v>44.55</v>
      </c>
      <c r="P230" s="29">
        <v>212.34</v>
      </c>
      <c r="Q230" s="29">
        <v>0</v>
      </c>
      <c r="R230" s="29">
        <v>38.22</v>
      </c>
      <c r="S230" s="29">
        <v>250.56</v>
      </c>
      <c r="T230" s="29">
        <v>10</v>
      </c>
    </row>
    <row r="231" spans="2:20" hidden="1" outlineLevel="2">
      <c r="B231" s="29">
        <v>956718</v>
      </c>
      <c r="C231" s="29">
        <v>67</v>
      </c>
      <c r="D231" s="29" t="s">
        <v>591</v>
      </c>
      <c r="E231" s="29">
        <v>14765</v>
      </c>
      <c r="F231" s="29" t="s">
        <v>605</v>
      </c>
      <c r="G231" s="263">
        <v>42067</v>
      </c>
      <c r="H231" s="29">
        <v>4</v>
      </c>
      <c r="I231" s="29">
        <v>23759</v>
      </c>
      <c r="J231" s="29">
        <v>27</v>
      </c>
      <c r="K231" s="29" t="e">
        <f>VLOOKUP(J231,#REF!,2,0)</f>
        <v>#REF!</v>
      </c>
      <c r="L231" s="29">
        <v>1896</v>
      </c>
      <c r="M231" s="29" t="s">
        <v>680</v>
      </c>
      <c r="N231" s="29">
        <v>2</v>
      </c>
      <c r="O231" s="29">
        <v>19.899999999999999</v>
      </c>
      <c r="P231" s="29">
        <v>212.34</v>
      </c>
      <c r="Q231" s="29">
        <v>0</v>
      </c>
      <c r="R231" s="29">
        <v>38.22</v>
      </c>
      <c r="S231" s="29">
        <v>250.56</v>
      </c>
      <c r="T231" s="29">
        <v>10</v>
      </c>
    </row>
    <row r="232" spans="2:20" hidden="1" outlineLevel="2">
      <c r="B232" s="29">
        <v>957125</v>
      </c>
      <c r="C232" s="29">
        <v>67</v>
      </c>
      <c r="D232" s="29" t="s">
        <v>591</v>
      </c>
      <c r="E232" s="29">
        <v>14050</v>
      </c>
      <c r="F232" s="29" t="s">
        <v>617</v>
      </c>
      <c r="G232" s="263">
        <v>42072</v>
      </c>
      <c r="H232" s="29">
        <v>4</v>
      </c>
      <c r="I232" s="29">
        <v>23984</v>
      </c>
      <c r="J232" s="29">
        <v>27</v>
      </c>
      <c r="K232" s="29" t="e">
        <f>VLOOKUP(J232,#REF!,2,0)</f>
        <v>#REF!</v>
      </c>
      <c r="L232" s="29">
        <v>1889</v>
      </c>
      <c r="M232" s="29" t="s">
        <v>675</v>
      </c>
      <c r="N232" s="29">
        <v>1</v>
      </c>
      <c r="O232" s="29">
        <v>22.28</v>
      </c>
      <c r="P232" s="29">
        <v>50.32</v>
      </c>
      <c r="Q232" s="29">
        <v>35.369999999999997</v>
      </c>
      <c r="R232" s="29">
        <v>9.06</v>
      </c>
      <c r="S232" s="29">
        <v>94.75</v>
      </c>
      <c r="T232" s="29">
        <v>5</v>
      </c>
    </row>
    <row r="233" spans="2:20" hidden="1" outlineLevel="2">
      <c r="B233" s="29">
        <v>957204</v>
      </c>
      <c r="C233" s="29">
        <v>67</v>
      </c>
      <c r="D233" s="29" t="s">
        <v>591</v>
      </c>
      <c r="E233" s="29">
        <v>17402</v>
      </c>
      <c r="F233" s="29" t="s">
        <v>681</v>
      </c>
      <c r="G233" s="263">
        <v>42073</v>
      </c>
      <c r="H233" s="29">
        <v>4</v>
      </c>
      <c r="I233" s="29">
        <v>24029</v>
      </c>
      <c r="J233" s="29">
        <v>27</v>
      </c>
      <c r="K233" s="29" t="e">
        <f>VLOOKUP(J233,#REF!,2,0)</f>
        <v>#REF!</v>
      </c>
      <c r="L233" s="29">
        <v>1915</v>
      </c>
      <c r="M233" s="29" t="s">
        <v>682</v>
      </c>
      <c r="N233" s="29">
        <v>3</v>
      </c>
      <c r="O233" s="29">
        <v>26.93</v>
      </c>
      <c r="P233" s="29">
        <v>250.17</v>
      </c>
      <c r="Q233" s="29">
        <v>0</v>
      </c>
      <c r="R233" s="29">
        <v>45.03</v>
      </c>
      <c r="S233" s="29">
        <v>295.2</v>
      </c>
      <c r="T233" s="29">
        <v>8</v>
      </c>
    </row>
    <row r="234" spans="2:20" hidden="1" outlineLevel="2">
      <c r="B234" s="29">
        <v>957441</v>
      </c>
      <c r="C234" s="29">
        <v>67</v>
      </c>
      <c r="D234" s="29" t="s">
        <v>591</v>
      </c>
      <c r="E234" s="29">
        <v>1577</v>
      </c>
      <c r="F234" s="29" t="s">
        <v>683</v>
      </c>
      <c r="G234" s="263">
        <v>42074</v>
      </c>
      <c r="H234" s="29">
        <v>4</v>
      </c>
      <c r="I234" s="29">
        <v>24187</v>
      </c>
      <c r="J234" s="29">
        <v>27</v>
      </c>
      <c r="K234" s="29" t="e">
        <f>VLOOKUP(J234,#REF!,2,0)</f>
        <v>#REF!</v>
      </c>
      <c r="L234" s="29">
        <v>1912</v>
      </c>
      <c r="M234" s="29" t="s">
        <v>670</v>
      </c>
      <c r="N234" s="29">
        <v>12</v>
      </c>
      <c r="O234" s="29">
        <v>67.62</v>
      </c>
      <c r="P234" s="29">
        <v>303.18</v>
      </c>
      <c r="Q234" s="29">
        <v>0</v>
      </c>
      <c r="R234" s="29">
        <v>54.57</v>
      </c>
      <c r="S234" s="29">
        <v>357.75</v>
      </c>
      <c r="T234" s="29">
        <v>19</v>
      </c>
    </row>
    <row r="235" spans="2:20" hidden="1" outlineLevel="2">
      <c r="B235" s="29">
        <v>957441</v>
      </c>
      <c r="C235" s="29">
        <v>67</v>
      </c>
      <c r="D235" s="29" t="s">
        <v>591</v>
      </c>
      <c r="E235" s="29">
        <v>1577</v>
      </c>
      <c r="F235" s="29" t="s">
        <v>683</v>
      </c>
      <c r="G235" s="263">
        <v>42074</v>
      </c>
      <c r="H235" s="29">
        <v>4</v>
      </c>
      <c r="I235" s="29">
        <v>24187</v>
      </c>
      <c r="J235" s="29">
        <v>27</v>
      </c>
      <c r="K235" s="29" t="e">
        <f>VLOOKUP(J235,#REF!,2,0)</f>
        <v>#REF!</v>
      </c>
      <c r="L235" s="29">
        <v>5332</v>
      </c>
      <c r="M235" s="29" t="s">
        <v>671</v>
      </c>
      <c r="N235" s="29">
        <v>24</v>
      </c>
      <c r="O235" s="29">
        <v>129.30000000000001</v>
      </c>
      <c r="P235" s="29">
        <v>303.18</v>
      </c>
      <c r="Q235" s="29">
        <v>0</v>
      </c>
      <c r="R235" s="29">
        <v>54.57</v>
      </c>
      <c r="S235" s="29">
        <v>357.75</v>
      </c>
      <c r="T235" s="29">
        <v>19</v>
      </c>
    </row>
    <row r="236" spans="2:20" hidden="1" outlineLevel="2">
      <c r="B236" s="29">
        <v>957441</v>
      </c>
      <c r="C236" s="29">
        <v>67</v>
      </c>
      <c r="D236" s="29" t="s">
        <v>591</v>
      </c>
      <c r="E236" s="29">
        <v>1577</v>
      </c>
      <c r="F236" s="29" t="s">
        <v>683</v>
      </c>
      <c r="G236" s="263">
        <v>42074</v>
      </c>
      <c r="H236" s="29">
        <v>4</v>
      </c>
      <c r="I236" s="29">
        <v>24187</v>
      </c>
      <c r="J236" s="29">
        <v>27</v>
      </c>
      <c r="K236" s="29" t="e">
        <f>VLOOKUP(J236,#REF!,2,0)</f>
        <v>#REF!</v>
      </c>
      <c r="L236" s="29">
        <v>12559</v>
      </c>
      <c r="M236" s="29" t="s">
        <v>684</v>
      </c>
      <c r="N236" s="29">
        <v>3</v>
      </c>
      <c r="O236" s="29">
        <v>27.93</v>
      </c>
      <c r="P236" s="29">
        <v>303.18</v>
      </c>
      <c r="Q236" s="29">
        <v>0</v>
      </c>
      <c r="R236" s="29">
        <v>54.57</v>
      </c>
      <c r="S236" s="29">
        <v>357.75</v>
      </c>
      <c r="T236" s="29">
        <v>19</v>
      </c>
    </row>
    <row r="237" spans="2:20" hidden="1" outlineLevel="2">
      <c r="B237" s="29">
        <v>957440</v>
      </c>
      <c r="C237" s="29">
        <v>67</v>
      </c>
      <c r="D237" s="29" t="s">
        <v>591</v>
      </c>
      <c r="E237" s="29">
        <v>15484</v>
      </c>
      <c r="F237" s="29" t="s">
        <v>623</v>
      </c>
      <c r="G237" s="263">
        <v>42074</v>
      </c>
      <c r="H237" s="29">
        <v>4</v>
      </c>
      <c r="I237" s="29">
        <v>24188</v>
      </c>
      <c r="J237" s="29">
        <v>27</v>
      </c>
      <c r="K237" s="29" t="e">
        <f>VLOOKUP(J237,#REF!,2,0)</f>
        <v>#REF!</v>
      </c>
      <c r="L237" s="29">
        <v>1887</v>
      </c>
      <c r="M237" s="29" t="s">
        <v>672</v>
      </c>
      <c r="N237" s="29">
        <v>4</v>
      </c>
      <c r="O237" s="29">
        <v>66.95</v>
      </c>
      <c r="P237" s="29">
        <v>443.05</v>
      </c>
      <c r="Q237" s="29">
        <v>0</v>
      </c>
      <c r="R237" s="29">
        <v>79.75</v>
      </c>
      <c r="S237" s="29">
        <v>522.79999999999995</v>
      </c>
      <c r="T237" s="29">
        <v>19</v>
      </c>
    </row>
    <row r="238" spans="2:20" hidden="1" outlineLevel="2">
      <c r="B238" s="29">
        <v>957440</v>
      </c>
      <c r="C238" s="29">
        <v>67</v>
      </c>
      <c r="D238" s="29" t="s">
        <v>591</v>
      </c>
      <c r="E238" s="29">
        <v>15484</v>
      </c>
      <c r="F238" s="29" t="s">
        <v>623</v>
      </c>
      <c r="G238" s="263">
        <v>42074</v>
      </c>
      <c r="H238" s="29">
        <v>4</v>
      </c>
      <c r="I238" s="29">
        <v>24188</v>
      </c>
      <c r="J238" s="29">
        <v>27</v>
      </c>
      <c r="K238" s="29" t="e">
        <f>VLOOKUP(J238,#REF!,2,0)</f>
        <v>#REF!</v>
      </c>
      <c r="L238" s="29">
        <v>1889</v>
      </c>
      <c r="M238" s="29" t="s">
        <v>675</v>
      </c>
      <c r="N238" s="29">
        <v>4</v>
      </c>
      <c r="O238" s="29">
        <v>89.1</v>
      </c>
      <c r="P238" s="29">
        <v>443.05</v>
      </c>
      <c r="Q238" s="29">
        <v>0</v>
      </c>
      <c r="R238" s="29">
        <v>79.75</v>
      </c>
      <c r="S238" s="29">
        <v>522.79999999999995</v>
      </c>
      <c r="T238" s="29">
        <v>19</v>
      </c>
    </row>
    <row r="239" spans="2:20" hidden="1" outlineLevel="2">
      <c r="B239" s="29">
        <v>959081</v>
      </c>
      <c r="C239" s="29">
        <v>67</v>
      </c>
      <c r="D239" s="29" t="s">
        <v>591</v>
      </c>
      <c r="E239" s="29">
        <v>1762</v>
      </c>
      <c r="F239" s="29" t="s">
        <v>685</v>
      </c>
      <c r="G239" s="263">
        <v>42088</v>
      </c>
      <c r="H239" s="29">
        <v>4</v>
      </c>
      <c r="I239" s="29">
        <v>25137</v>
      </c>
      <c r="J239" s="29">
        <v>27</v>
      </c>
      <c r="K239" s="29" t="e">
        <f>VLOOKUP(J239,#REF!,2,0)</f>
        <v>#REF!</v>
      </c>
      <c r="L239" s="29">
        <v>1893</v>
      </c>
      <c r="M239" s="29" t="s">
        <v>686</v>
      </c>
      <c r="N239" s="29">
        <v>2</v>
      </c>
      <c r="O239" s="29">
        <v>45.86</v>
      </c>
      <c r="P239" s="29">
        <v>239.2</v>
      </c>
      <c r="Q239" s="29">
        <v>0</v>
      </c>
      <c r="R239" s="29">
        <v>43.06</v>
      </c>
      <c r="S239" s="29">
        <v>282.26</v>
      </c>
      <c r="T239" s="29">
        <v>10</v>
      </c>
    </row>
    <row r="240" spans="2:20" hidden="1" outlineLevel="2">
      <c r="B240" s="29">
        <v>959081</v>
      </c>
      <c r="C240" s="29">
        <v>67</v>
      </c>
      <c r="D240" s="29" t="s">
        <v>591</v>
      </c>
      <c r="E240" s="29">
        <v>1762</v>
      </c>
      <c r="F240" s="29" t="s">
        <v>685</v>
      </c>
      <c r="G240" s="263">
        <v>42088</v>
      </c>
      <c r="H240" s="29">
        <v>4</v>
      </c>
      <c r="I240" s="29">
        <v>25137</v>
      </c>
      <c r="J240" s="29">
        <v>27</v>
      </c>
      <c r="K240" s="29" t="e">
        <f>VLOOKUP(J240,#REF!,2,0)</f>
        <v>#REF!</v>
      </c>
      <c r="L240" s="29">
        <v>1896</v>
      </c>
      <c r="M240" s="29" t="s">
        <v>680</v>
      </c>
      <c r="N240" s="29">
        <v>6</v>
      </c>
      <c r="O240" s="29">
        <v>59.71</v>
      </c>
      <c r="P240" s="29">
        <v>239.2</v>
      </c>
      <c r="Q240" s="29">
        <v>0</v>
      </c>
      <c r="R240" s="29">
        <v>43.06</v>
      </c>
      <c r="S240" s="29">
        <v>282.26</v>
      </c>
      <c r="T240" s="29">
        <v>10</v>
      </c>
    </row>
    <row r="241" spans="2:20" hidden="1" outlineLevel="2">
      <c r="B241" s="29">
        <v>959081</v>
      </c>
      <c r="C241" s="29">
        <v>67</v>
      </c>
      <c r="D241" s="29" t="s">
        <v>591</v>
      </c>
      <c r="E241" s="29">
        <v>1762</v>
      </c>
      <c r="F241" s="29" t="s">
        <v>685</v>
      </c>
      <c r="G241" s="263">
        <v>42088</v>
      </c>
      <c r="H241" s="29">
        <v>4</v>
      </c>
      <c r="I241" s="29">
        <v>25137</v>
      </c>
      <c r="J241" s="29">
        <v>27</v>
      </c>
      <c r="K241" s="29" t="e">
        <f>VLOOKUP(J241,#REF!,2,0)</f>
        <v>#REF!</v>
      </c>
      <c r="L241" s="29">
        <v>1897</v>
      </c>
      <c r="M241" s="29" t="s">
        <v>687</v>
      </c>
      <c r="N241" s="29">
        <v>6</v>
      </c>
      <c r="O241" s="29">
        <v>52.2</v>
      </c>
      <c r="P241" s="29">
        <v>239.2</v>
      </c>
      <c r="Q241" s="29">
        <v>0</v>
      </c>
      <c r="R241" s="29">
        <v>43.06</v>
      </c>
      <c r="S241" s="29">
        <v>282.26</v>
      </c>
      <c r="T241" s="29">
        <v>10</v>
      </c>
    </row>
    <row r="242" spans="2:20" hidden="1" outlineLevel="2">
      <c r="B242" s="29">
        <v>959085</v>
      </c>
      <c r="C242" s="29">
        <v>67</v>
      </c>
      <c r="D242" s="29" t="s">
        <v>591</v>
      </c>
      <c r="E242" s="29">
        <v>13104</v>
      </c>
      <c r="F242" s="29" t="s">
        <v>609</v>
      </c>
      <c r="G242" s="263">
        <v>42088</v>
      </c>
      <c r="H242" s="29">
        <v>4</v>
      </c>
      <c r="I242" s="29">
        <v>25141</v>
      </c>
      <c r="J242" s="29">
        <v>27</v>
      </c>
      <c r="K242" s="29" t="e">
        <f>VLOOKUP(J242,#REF!,2,0)</f>
        <v>#REF!</v>
      </c>
      <c r="L242" s="29">
        <v>1912</v>
      </c>
      <c r="M242" s="29" t="s">
        <v>670</v>
      </c>
      <c r="N242" s="29">
        <v>24</v>
      </c>
      <c r="O242" s="29">
        <v>135.22999999999999</v>
      </c>
      <c r="P242" s="29">
        <v>377.23</v>
      </c>
      <c r="Q242" s="29">
        <v>0</v>
      </c>
      <c r="R242" s="29">
        <v>67.900000000000006</v>
      </c>
      <c r="S242" s="29">
        <v>445.13</v>
      </c>
      <c r="T242" s="29">
        <v>10</v>
      </c>
    </row>
    <row r="243" spans="2:20" hidden="1" outlineLevel="2">
      <c r="B243" s="29">
        <v>959085</v>
      </c>
      <c r="C243" s="29">
        <v>67</v>
      </c>
      <c r="D243" s="29" t="s">
        <v>591</v>
      </c>
      <c r="E243" s="29">
        <v>13104</v>
      </c>
      <c r="F243" s="29" t="s">
        <v>609</v>
      </c>
      <c r="G243" s="263">
        <v>42088</v>
      </c>
      <c r="H243" s="29">
        <v>4</v>
      </c>
      <c r="I243" s="29">
        <v>25141</v>
      </c>
      <c r="J243" s="29">
        <v>27</v>
      </c>
      <c r="K243" s="29" t="e">
        <f>VLOOKUP(J243,#REF!,2,0)</f>
        <v>#REF!</v>
      </c>
      <c r="L243" s="29">
        <v>5332</v>
      </c>
      <c r="M243" s="29" t="s">
        <v>671</v>
      </c>
      <c r="N243" s="29">
        <v>24</v>
      </c>
      <c r="O243" s="29">
        <v>129.30000000000001</v>
      </c>
      <c r="P243" s="29">
        <v>377.23</v>
      </c>
      <c r="Q243" s="29">
        <v>0</v>
      </c>
      <c r="R243" s="29">
        <v>67.900000000000006</v>
      </c>
      <c r="S243" s="29">
        <v>445.13</v>
      </c>
      <c r="T243" s="29">
        <v>10</v>
      </c>
    </row>
    <row r="244" spans="2:20" hidden="1" outlineLevel="2">
      <c r="B244" s="29">
        <v>959085</v>
      </c>
      <c r="C244" s="29">
        <v>67</v>
      </c>
      <c r="D244" s="29" t="s">
        <v>591</v>
      </c>
      <c r="E244" s="29">
        <v>13104</v>
      </c>
      <c r="F244" s="29" t="s">
        <v>609</v>
      </c>
      <c r="G244" s="263">
        <v>42088</v>
      </c>
      <c r="H244" s="29">
        <v>4</v>
      </c>
      <c r="I244" s="29">
        <v>25141</v>
      </c>
      <c r="J244" s="29">
        <v>27</v>
      </c>
      <c r="K244" s="29" t="e">
        <f>VLOOKUP(J244,#REF!,2,0)</f>
        <v>#REF!</v>
      </c>
      <c r="L244" s="29">
        <v>12559</v>
      </c>
      <c r="M244" s="29" t="s">
        <v>684</v>
      </c>
      <c r="N244" s="29">
        <v>5</v>
      </c>
      <c r="O244" s="29">
        <v>46.55</v>
      </c>
      <c r="P244" s="29">
        <v>377.23</v>
      </c>
      <c r="Q244" s="29">
        <v>0</v>
      </c>
      <c r="R244" s="29">
        <v>67.900000000000006</v>
      </c>
      <c r="S244" s="29">
        <v>445.13</v>
      </c>
      <c r="T244" s="29">
        <v>10</v>
      </c>
    </row>
    <row r="245" spans="2:20" hidden="1" outlineLevel="2">
      <c r="B245" s="29">
        <v>959086</v>
      </c>
      <c r="C245" s="29">
        <v>67</v>
      </c>
      <c r="D245" s="29" t="s">
        <v>591</v>
      </c>
      <c r="E245" s="29">
        <v>12277</v>
      </c>
      <c r="F245" s="29" t="s">
        <v>688</v>
      </c>
      <c r="G245" s="263">
        <v>42088</v>
      </c>
      <c r="H245" s="29">
        <v>4</v>
      </c>
      <c r="I245" s="29">
        <v>25142</v>
      </c>
      <c r="J245" s="29">
        <v>27</v>
      </c>
      <c r="K245" s="29" t="e">
        <f>VLOOKUP(J245,#REF!,2,0)</f>
        <v>#REF!</v>
      </c>
      <c r="L245" s="29">
        <v>1912</v>
      </c>
      <c r="M245" s="29" t="s">
        <v>670</v>
      </c>
      <c r="N245" s="29">
        <v>12</v>
      </c>
      <c r="O245" s="29">
        <v>67.62</v>
      </c>
      <c r="P245" s="29">
        <v>212.68</v>
      </c>
      <c r="Q245" s="29">
        <v>0</v>
      </c>
      <c r="R245" s="29">
        <v>38.28</v>
      </c>
      <c r="S245" s="29">
        <v>250.96</v>
      </c>
      <c r="T245" s="29">
        <v>10</v>
      </c>
    </row>
    <row r="246" spans="2:20" hidden="1" outlineLevel="2">
      <c r="B246" s="29">
        <v>959086</v>
      </c>
      <c r="C246" s="29">
        <v>67</v>
      </c>
      <c r="D246" s="29" t="s">
        <v>591</v>
      </c>
      <c r="E246" s="29">
        <v>12277</v>
      </c>
      <c r="F246" s="29" t="s">
        <v>688</v>
      </c>
      <c r="G246" s="263">
        <v>42088</v>
      </c>
      <c r="H246" s="29">
        <v>4</v>
      </c>
      <c r="I246" s="29">
        <v>25142</v>
      </c>
      <c r="J246" s="29">
        <v>27</v>
      </c>
      <c r="K246" s="29" t="e">
        <f>VLOOKUP(J246,#REF!,2,0)</f>
        <v>#REF!</v>
      </c>
      <c r="L246" s="29">
        <v>5332</v>
      </c>
      <c r="M246" s="29" t="s">
        <v>671</v>
      </c>
      <c r="N246" s="29">
        <v>12</v>
      </c>
      <c r="O246" s="29">
        <v>70.53</v>
      </c>
      <c r="P246" s="29">
        <v>212.68</v>
      </c>
      <c r="Q246" s="29">
        <v>0</v>
      </c>
      <c r="R246" s="29">
        <v>38.28</v>
      </c>
      <c r="S246" s="29">
        <v>250.96</v>
      </c>
      <c r="T246" s="29">
        <v>10</v>
      </c>
    </row>
    <row r="247" spans="2:20" hidden="1" outlineLevel="2">
      <c r="B247" s="29">
        <v>959087</v>
      </c>
      <c r="C247" s="29">
        <v>67</v>
      </c>
      <c r="D247" s="29" t="s">
        <v>591</v>
      </c>
      <c r="E247" s="29">
        <v>1846</v>
      </c>
      <c r="F247" s="29" t="s">
        <v>608</v>
      </c>
      <c r="G247" s="263">
        <v>42088</v>
      </c>
      <c r="H247" s="29">
        <v>4</v>
      </c>
      <c r="I247" s="29">
        <v>25143</v>
      </c>
      <c r="J247" s="29">
        <v>27</v>
      </c>
      <c r="K247" s="29" t="e">
        <f>VLOOKUP(J247,#REF!,2,0)</f>
        <v>#REF!</v>
      </c>
      <c r="L247" s="29">
        <v>12559</v>
      </c>
      <c r="M247" s="29" t="s">
        <v>684</v>
      </c>
      <c r="N247" s="29">
        <v>6</v>
      </c>
      <c r="O247" s="29">
        <v>55.87</v>
      </c>
      <c r="P247" s="29">
        <v>108.07</v>
      </c>
      <c r="Q247" s="29">
        <v>0</v>
      </c>
      <c r="R247" s="29">
        <v>19.45</v>
      </c>
      <c r="S247" s="29">
        <v>127.52</v>
      </c>
      <c r="T247" s="29">
        <v>11</v>
      </c>
    </row>
    <row r="248" spans="2:20" hidden="1" outlineLevel="2">
      <c r="B248" s="29">
        <v>959087</v>
      </c>
      <c r="C248" s="29">
        <v>67</v>
      </c>
      <c r="D248" s="29" t="s">
        <v>591</v>
      </c>
      <c r="E248" s="29">
        <v>1846</v>
      </c>
      <c r="F248" s="29" t="s">
        <v>608</v>
      </c>
      <c r="G248" s="263">
        <v>42088</v>
      </c>
      <c r="H248" s="29">
        <v>4</v>
      </c>
      <c r="I248" s="29">
        <v>25143</v>
      </c>
      <c r="J248" s="29">
        <v>27</v>
      </c>
      <c r="K248" s="29" t="e">
        <f>VLOOKUP(J248,#REF!,2,0)</f>
        <v>#REF!</v>
      </c>
      <c r="L248" s="29">
        <v>1897</v>
      </c>
      <c r="M248" s="29" t="s">
        <v>687</v>
      </c>
      <c r="N248" s="29">
        <v>6</v>
      </c>
      <c r="O248" s="29">
        <v>52.2</v>
      </c>
      <c r="P248" s="29">
        <v>108.07</v>
      </c>
      <c r="Q248" s="29">
        <v>0</v>
      </c>
      <c r="R248" s="29">
        <v>19.45</v>
      </c>
      <c r="S248" s="29">
        <v>127.52</v>
      </c>
      <c r="T248" s="29">
        <v>11</v>
      </c>
    </row>
    <row r="249" spans="2:20" hidden="1" outlineLevel="2">
      <c r="B249" s="29">
        <v>959089</v>
      </c>
      <c r="C249" s="29">
        <v>67</v>
      </c>
      <c r="D249" s="29" t="s">
        <v>591</v>
      </c>
      <c r="E249" s="29">
        <v>12789</v>
      </c>
      <c r="F249" s="29" t="s">
        <v>689</v>
      </c>
      <c r="G249" s="263">
        <v>42088</v>
      </c>
      <c r="H249" s="29">
        <v>4</v>
      </c>
      <c r="I249" s="29">
        <v>25144</v>
      </c>
      <c r="J249" s="29">
        <v>27</v>
      </c>
      <c r="K249" s="29" t="e">
        <f>VLOOKUP(J249,#REF!,2,0)</f>
        <v>#REF!</v>
      </c>
      <c r="L249" s="29">
        <v>1912</v>
      </c>
      <c r="M249" s="29" t="s">
        <v>670</v>
      </c>
      <c r="N249" s="29">
        <v>12</v>
      </c>
      <c r="O249" s="29">
        <v>67.62</v>
      </c>
      <c r="P249" s="29">
        <v>207.76</v>
      </c>
      <c r="Q249" s="29">
        <v>0</v>
      </c>
      <c r="R249" s="29">
        <v>37.4</v>
      </c>
      <c r="S249" s="29">
        <v>245.16</v>
      </c>
      <c r="T249" s="29">
        <v>11</v>
      </c>
    </row>
    <row r="250" spans="2:20" hidden="1" outlineLevel="2">
      <c r="B250" s="29">
        <v>959089</v>
      </c>
      <c r="C250" s="29">
        <v>67</v>
      </c>
      <c r="D250" s="29" t="s">
        <v>591</v>
      </c>
      <c r="E250" s="29">
        <v>12789</v>
      </c>
      <c r="F250" s="29" t="s">
        <v>689</v>
      </c>
      <c r="G250" s="263">
        <v>42088</v>
      </c>
      <c r="H250" s="29">
        <v>4</v>
      </c>
      <c r="I250" s="29">
        <v>25144</v>
      </c>
      <c r="J250" s="29">
        <v>27</v>
      </c>
      <c r="K250" s="29" t="e">
        <f>VLOOKUP(J250,#REF!,2,0)</f>
        <v>#REF!</v>
      </c>
      <c r="L250" s="29">
        <v>5332</v>
      </c>
      <c r="M250" s="29" t="s">
        <v>671</v>
      </c>
      <c r="N250" s="29">
        <v>12</v>
      </c>
      <c r="O250" s="29">
        <v>70.53</v>
      </c>
      <c r="P250" s="29">
        <v>207.76</v>
      </c>
      <c r="Q250" s="29">
        <v>0</v>
      </c>
      <c r="R250" s="29">
        <v>37.4</v>
      </c>
      <c r="S250" s="29">
        <v>245.16</v>
      </c>
      <c r="T250" s="29">
        <v>11</v>
      </c>
    </row>
    <row r="251" spans="2:20" hidden="1" outlineLevel="2">
      <c r="B251" s="29">
        <v>959089</v>
      </c>
      <c r="C251" s="29">
        <v>67</v>
      </c>
      <c r="D251" s="29" t="s">
        <v>591</v>
      </c>
      <c r="E251" s="29">
        <v>12789</v>
      </c>
      <c r="F251" s="29" t="s">
        <v>689</v>
      </c>
      <c r="G251" s="263">
        <v>42088</v>
      </c>
      <c r="H251" s="29">
        <v>4</v>
      </c>
      <c r="I251" s="29">
        <v>25144</v>
      </c>
      <c r="J251" s="29">
        <v>27</v>
      </c>
      <c r="K251" s="29" t="e">
        <f>VLOOKUP(J251,#REF!,2,0)</f>
        <v>#REF!</v>
      </c>
      <c r="L251" s="29">
        <v>9561</v>
      </c>
      <c r="M251" s="29" t="s">
        <v>690</v>
      </c>
      <c r="N251" s="29">
        <v>24</v>
      </c>
      <c r="O251" s="29">
        <v>69.61</v>
      </c>
      <c r="P251" s="29">
        <v>207.76</v>
      </c>
      <c r="Q251" s="29">
        <v>0</v>
      </c>
      <c r="R251" s="29">
        <v>37.4</v>
      </c>
      <c r="S251" s="29">
        <v>245.16</v>
      </c>
      <c r="T251" s="29">
        <v>11</v>
      </c>
    </row>
    <row r="252" spans="2:20" hidden="1" outlineLevel="2">
      <c r="B252" s="29">
        <v>959113</v>
      </c>
      <c r="C252" s="29">
        <v>67</v>
      </c>
      <c r="D252" s="29" t="s">
        <v>591</v>
      </c>
      <c r="E252" s="29">
        <v>14401</v>
      </c>
      <c r="F252" s="29" t="s">
        <v>620</v>
      </c>
      <c r="G252" s="263">
        <v>42088</v>
      </c>
      <c r="H252" s="29">
        <v>4</v>
      </c>
      <c r="I252" s="29">
        <v>25154</v>
      </c>
      <c r="J252" s="29">
        <v>27</v>
      </c>
      <c r="K252" s="29" t="e">
        <f>VLOOKUP(J252,#REF!,2,0)</f>
        <v>#REF!</v>
      </c>
      <c r="L252" s="29">
        <v>1912</v>
      </c>
      <c r="M252" s="29" t="s">
        <v>670</v>
      </c>
      <c r="N252" s="29">
        <v>6</v>
      </c>
      <c r="O252" s="29">
        <v>34.46</v>
      </c>
      <c r="P252" s="29">
        <v>299.81</v>
      </c>
      <c r="Q252" s="29">
        <v>0</v>
      </c>
      <c r="R252" s="29">
        <v>53.97</v>
      </c>
      <c r="S252" s="29">
        <v>353.78</v>
      </c>
      <c r="T252" s="29">
        <v>8</v>
      </c>
    </row>
    <row r="253" spans="2:20" hidden="1" outlineLevel="2">
      <c r="B253" s="29">
        <v>959113</v>
      </c>
      <c r="C253" s="29">
        <v>67</v>
      </c>
      <c r="D253" s="29" t="s">
        <v>591</v>
      </c>
      <c r="E253" s="29">
        <v>14401</v>
      </c>
      <c r="F253" s="29" t="s">
        <v>620</v>
      </c>
      <c r="G253" s="263">
        <v>42088</v>
      </c>
      <c r="H253" s="29">
        <v>4</v>
      </c>
      <c r="I253" s="29">
        <v>25154</v>
      </c>
      <c r="J253" s="29">
        <v>27</v>
      </c>
      <c r="K253" s="29" t="e">
        <f>VLOOKUP(J253,#REF!,2,0)</f>
        <v>#REF!</v>
      </c>
      <c r="L253" s="29">
        <v>5332</v>
      </c>
      <c r="M253" s="29" t="s">
        <v>671</v>
      </c>
      <c r="N253" s="29">
        <v>6</v>
      </c>
      <c r="O253" s="29">
        <v>35.26</v>
      </c>
      <c r="P253" s="29">
        <v>299.81</v>
      </c>
      <c r="Q253" s="29">
        <v>0</v>
      </c>
      <c r="R253" s="29">
        <v>53.97</v>
      </c>
      <c r="S253" s="29">
        <v>353.78</v>
      </c>
      <c r="T253" s="29">
        <v>8</v>
      </c>
    </row>
    <row r="254" spans="2:20" hidden="1" outlineLevel="2">
      <c r="B254" s="29">
        <v>959113</v>
      </c>
      <c r="C254" s="29">
        <v>67</v>
      </c>
      <c r="D254" s="29" t="s">
        <v>591</v>
      </c>
      <c r="E254" s="29">
        <v>14401</v>
      </c>
      <c r="F254" s="29" t="s">
        <v>620</v>
      </c>
      <c r="G254" s="263">
        <v>42088</v>
      </c>
      <c r="H254" s="29">
        <v>4</v>
      </c>
      <c r="I254" s="29">
        <v>25154</v>
      </c>
      <c r="J254" s="29">
        <v>27</v>
      </c>
      <c r="K254" s="29" t="e">
        <f>VLOOKUP(J254,#REF!,2,0)</f>
        <v>#REF!</v>
      </c>
      <c r="L254" s="29">
        <v>1896</v>
      </c>
      <c r="M254" s="29" t="s">
        <v>680</v>
      </c>
      <c r="N254" s="29">
        <v>2</v>
      </c>
      <c r="O254" s="29">
        <v>19.899999999999999</v>
      </c>
      <c r="P254" s="29">
        <v>299.81</v>
      </c>
      <c r="Q254" s="29">
        <v>0</v>
      </c>
      <c r="R254" s="29">
        <v>53.97</v>
      </c>
      <c r="S254" s="29">
        <v>353.78</v>
      </c>
      <c r="T254" s="29">
        <v>8</v>
      </c>
    </row>
    <row r="255" spans="2:20" hidden="1" outlineLevel="2">
      <c r="B255" s="29">
        <v>959120</v>
      </c>
      <c r="C255" s="29">
        <v>67</v>
      </c>
      <c r="D255" s="29" t="s">
        <v>591</v>
      </c>
      <c r="E255" s="29">
        <v>16690</v>
      </c>
      <c r="F255" s="29" t="s">
        <v>691</v>
      </c>
      <c r="G255" s="263">
        <v>42088</v>
      </c>
      <c r="H255" s="29">
        <v>4</v>
      </c>
      <c r="I255" s="29">
        <v>25158</v>
      </c>
      <c r="J255" s="29">
        <v>27</v>
      </c>
      <c r="K255" s="29" t="e">
        <f>VLOOKUP(J255,#REF!,2,0)</f>
        <v>#REF!</v>
      </c>
      <c r="L255" s="29">
        <v>8274</v>
      </c>
      <c r="M255" s="29" t="s">
        <v>692</v>
      </c>
      <c r="N255" s="29">
        <v>2</v>
      </c>
      <c r="O255" s="29">
        <v>81.27</v>
      </c>
      <c r="P255" s="29">
        <v>139.05000000000001</v>
      </c>
      <c r="Q255" s="29">
        <v>0</v>
      </c>
      <c r="R255" s="29">
        <v>25.03</v>
      </c>
      <c r="S255" s="29">
        <v>164.08</v>
      </c>
      <c r="T255" s="29">
        <v>8</v>
      </c>
    </row>
    <row r="256" spans="2:20" hidden="1" outlineLevel="2">
      <c r="B256" s="29">
        <v>959120</v>
      </c>
      <c r="C256" s="29">
        <v>67</v>
      </c>
      <c r="D256" s="29" t="s">
        <v>591</v>
      </c>
      <c r="E256" s="29">
        <v>16690</v>
      </c>
      <c r="F256" s="29" t="s">
        <v>691</v>
      </c>
      <c r="G256" s="263">
        <v>42088</v>
      </c>
      <c r="H256" s="29">
        <v>4</v>
      </c>
      <c r="I256" s="29">
        <v>25158</v>
      </c>
      <c r="J256" s="29">
        <v>27</v>
      </c>
      <c r="K256" s="29" t="e">
        <f>VLOOKUP(J256,#REF!,2,0)</f>
        <v>#REF!</v>
      </c>
      <c r="L256" s="29">
        <v>12559</v>
      </c>
      <c r="M256" s="29" t="s">
        <v>684</v>
      </c>
      <c r="N256" s="29">
        <v>3</v>
      </c>
      <c r="O256" s="29">
        <v>27.93</v>
      </c>
      <c r="P256" s="29">
        <v>139.05000000000001</v>
      </c>
      <c r="Q256" s="29">
        <v>0</v>
      </c>
      <c r="R256" s="29">
        <v>25.03</v>
      </c>
      <c r="S256" s="29">
        <v>164.08</v>
      </c>
      <c r="T256" s="29">
        <v>8</v>
      </c>
    </row>
    <row r="257" spans="2:20" hidden="1" outlineLevel="2">
      <c r="B257" s="29">
        <v>959120</v>
      </c>
      <c r="C257" s="29">
        <v>67</v>
      </c>
      <c r="D257" s="29" t="s">
        <v>591</v>
      </c>
      <c r="E257" s="29">
        <v>16690</v>
      </c>
      <c r="F257" s="29" t="s">
        <v>691</v>
      </c>
      <c r="G257" s="263">
        <v>42088</v>
      </c>
      <c r="H257" s="29">
        <v>4</v>
      </c>
      <c r="I257" s="29">
        <v>25158</v>
      </c>
      <c r="J257" s="29">
        <v>27</v>
      </c>
      <c r="K257" s="29" t="e">
        <f>VLOOKUP(J257,#REF!,2,0)</f>
        <v>#REF!</v>
      </c>
      <c r="L257" s="29">
        <v>1896</v>
      </c>
      <c r="M257" s="29" t="s">
        <v>680</v>
      </c>
      <c r="N257" s="29">
        <v>2</v>
      </c>
      <c r="O257" s="29">
        <v>19.899999999999999</v>
      </c>
      <c r="P257" s="29">
        <v>139.05000000000001</v>
      </c>
      <c r="Q257" s="29">
        <v>0</v>
      </c>
      <c r="R257" s="29">
        <v>25.03</v>
      </c>
      <c r="S257" s="29">
        <v>164.08</v>
      </c>
      <c r="T257" s="29">
        <v>8</v>
      </c>
    </row>
    <row r="258" spans="2:20" hidden="1" outlineLevel="2">
      <c r="B258" s="29">
        <v>959120</v>
      </c>
      <c r="C258" s="29">
        <v>67</v>
      </c>
      <c r="D258" s="29" t="s">
        <v>591</v>
      </c>
      <c r="E258" s="29">
        <v>16690</v>
      </c>
      <c r="F258" s="29" t="s">
        <v>691</v>
      </c>
      <c r="G258" s="263">
        <v>42088</v>
      </c>
      <c r="H258" s="29">
        <v>4</v>
      </c>
      <c r="I258" s="29">
        <v>25158</v>
      </c>
      <c r="J258" s="29">
        <v>27</v>
      </c>
      <c r="K258" s="29" t="e">
        <f>VLOOKUP(J258,#REF!,2,0)</f>
        <v>#REF!</v>
      </c>
      <c r="L258" s="29">
        <v>1896</v>
      </c>
      <c r="M258" s="29" t="s">
        <v>680</v>
      </c>
      <c r="N258" s="29">
        <v>1</v>
      </c>
      <c r="O258" s="29">
        <v>9.9499999999999993</v>
      </c>
      <c r="P258" s="29">
        <v>139.05000000000001</v>
      </c>
      <c r="Q258" s="29">
        <v>0</v>
      </c>
      <c r="R258" s="29">
        <v>25.03</v>
      </c>
      <c r="S258" s="29">
        <v>164.08</v>
      </c>
      <c r="T258" s="29">
        <v>8</v>
      </c>
    </row>
    <row r="259" spans="2:20" hidden="1" outlineLevel="2">
      <c r="B259" s="29">
        <v>959121</v>
      </c>
      <c r="C259" s="29">
        <v>67</v>
      </c>
      <c r="D259" s="29" t="s">
        <v>591</v>
      </c>
      <c r="E259" s="29">
        <v>17376</v>
      </c>
      <c r="F259" s="29" t="s">
        <v>693</v>
      </c>
      <c r="G259" s="263">
        <v>42088</v>
      </c>
      <c r="H259" s="29">
        <v>4</v>
      </c>
      <c r="I259" s="29">
        <v>25159</v>
      </c>
      <c r="J259" s="29">
        <v>27</v>
      </c>
      <c r="K259" s="29" t="e">
        <f>VLOOKUP(J259,#REF!,2,0)</f>
        <v>#REF!</v>
      </c>
      <c r="L259" s="29">
        <v>1912</v>
      </c>
      <c r="M259" s="29" t="s">
        <v>670</v>
      </c>
      <c r="N259" s="29">
        <v>6</v>
      </c>
      <c r="O259" s="29">
        <v>34.46</v>
      </c>
      <c r="P259" s="29">
        <v>103.11</v>
      </c>
      <c r="Q259" s="29">
        <v>0</v>
      </c>
      <c r="R259" s="29">
        <v>18.559999999999999</v>
      </c>
      <c r="S259" s="29">
        <v>121.67</v>
      </c>
      <c r="T259" s="29">
        <v>8</v>
      </c>
    </row>
    <row r="260" spans="2:20" hidden="1" outlineLevel="2">
      <c r="B260" s="29">
        <v>959121</v>
      </c>
      <c r="C260" s="29">
        <v>67</v>
      </c>
      <c r="D260" s="29" t="s">
        <v>591</v>
      </c>
      <c r="E260" s="29">
        <v>17376</v>
      </c>
      <c r="F260" s="29" t="s">
        <v>693</v>
      </c>
      <c r="G260" s="263">
        <v>42088</v>
      </c>
      <c r="H260" s="29">
        <v>4</v>
      </c>
      <c r="I260" s="29">
        <v>25159</v>
      </c>
      <c r="J260" s="29">
        <v>27</v>
      </c>
      <c r="K260" s="29" t="e">
        <f>VLOOKUP(J260,#REF!,2,0)</f>
        <v>#REF!</v>
      </c>
      <c r="L260" s="29">
        <v>12559</v>
      </c>
      <c r="M260" s="29" t="s">
        <v>684</v>
      </c>
      <c r="N260" s="29">
        <v>3</v>
      </c>
      <c r="O260" s="29">
        <v>27.93</v>
      </c>
      <c r="P260" s="29">
        <v>103.11</v>
      </c>
      <c r="Q260" s="29">
        <v>0</v>
      </c>
      <c r="R260" s="29">
        <v>18.559999999999999</v>
      </c>
      <c r="S260" s="29">
        <v>121.67</v>
      </c>
      <c r="T260" s="29">
        <v>8</v>
      </c>
    </row>
    <row r="261" spans="2:20" hidden="1" outlineLevel="2">
      <c r="B261" s="29">
        <v>959146</v>
      </c>
      <c r="C261" s="29">
        <v>67</v>
      </c>
      <c r="D261" s="29" t="s">
        <v>591</v>
      </c>
      <c r="E261" s="29">
        <v>13740</v>
      </c>
      <c r="F261" s="29" t="s">
        <v>622</v>
      </c>
      <c r="G261" s="263">
        <v>42088</v>
      </c>
      <c r="H261" s="29">
        <v>4</v>
      </c>
      <c r="I261" s="29">
        <v>25188</v>
      </c>
      <c r="J261" s="29">
        <v>27</v>
      </c>
      <c r="K261" s="29" t="e">
        <f>VLOOKUP(J261,#REF!,2,0)</f>
        <v>#REF!</v>
      </c>
      <c r="L261" s="29">
        <v>5332</v>
      </c>
      <c r="M261" s="29" t="s">
        <v>671</v>
      </c>
      <c r="N261" s="29">
        <v>24</v>
      </c>
      <c r="O261" s="29">
        <v>129.30000000000001</v>
      </c>
      <c r="P261" s="29">
        <v>213.73</v>
      </c>
      <c r="Q261" s="29">
        <v>0</v>
      </c>
      <c r="R261" s="29">
        <v>38.47</v>
      </c>
      <c r="S261" s="29">
        <v>252.2</v>
      </c>
      <c r="T261" s="29">
        <v>8</v>
      </c>
    </row>
    <row r="262" spans="2:20" hidden="1" outlineLevel="2">
      <c r="B262" s="29">
        <v>959066</v>
      </c>
      <c r="C262" s="29">
        <v>67</v>
      </c>
      <c r="D262" s="29" t="s">
        <v>591</v>
      </c>
      <c r="E262" s="29">
        <v>13077</v>
      </c>
      <c r="F262" s="29" t="s">
        <v>631</v>
      </c>
      <c r="G262" s="263">
        <v>42088</v>
      </c>
      <c r="H262" s="29">
        <v>4</v>
      </c>
      <c r="I262" s="29">
        <v>25111</v>
      </c>
      <c r="J262" s="29">
        <v>27</v>
      </c>
      <c r="K262" s="29" t="e">
        <f>VLOOKUP(J262,#REF!,2,0)</f>
        <v>#REF!</v>
      </c>
      <c r="L262" s="29">
        <v>1912</v>
      </c>
      <c r="M262" s="29" t="s">
        <v>670</v>
      </c>
      <c r="N262" s="29">
        <v>132</v>
      </c>
      <c r="O262" s="29">
        <v>743.78</v>
      </c>
      <c r="P262" s="29">
        <v>3287.93</v>
      </c>
      <c r="Q262" s="29">
        <v>0</v>
      </c>
      <c r="R262" s="29">
        <v>591.83000000000004</v>
      </c>
      <c r="S262" s="29">
        <v>3879.76</v>
      </c>
      <c r="T262" s="29">
        <v>14</v>
      </c>
    </row>
    <row r="263" spans="2:20" hidden="1" outlineLevel="2">
      <c r="B263" s="29">
        <v>959066</v>
      </c>
      <c r="C263" s="29">
        <v>67</v>
      </c>
      <c r="D263" s="29" t="s">
        <v>591</v>
      </c>
      <c r="E263" s="29">
        <v>13077</v>
      </c>
      <c r="F263" s="29" t="s">
        <v>631</v>
      </c>
      <c r="G263" s="263">
        <v>42088</v>
      </c>
      <c r="H263" s="29">
        <v>4</v>
      </c>
      <c r="I263" s="29">
        <v>25111</v>
      </c>
      <c r="J263" s="29">
        <v>27</v>
      </c>
      <c r="K263" s="29" t="e">
        <f>VLOOKUP(J263,#REF!,2,0)</f>
        <v>#REF!</v>
      </c>
      <c r="L263" s="29">
        <v>1912</v>
      </c>
      <c r="M263" s="29" t="s">
        <v>670</v>
      </c>
      <c r="N263" s="29">
        <v>68</v>
      </c>
      <c r="O263" s="29">
        <v>383.16</v>
      </c>
      <c r="P263" s="29">
        <v>3287.93</v>
      </c>
      <c r="Q263" s="29">
        <v>0</v>
      </c>
      <c r="R263" s="29">
        <v>591.83000000000004</v>
      </c>
      <c r="S263" s="29">
        <v>3879.76</v>
      </c>
      <c r="T263" s="29">
        <v>14</v>
      </c>
    </row>
    <row r="264" spans="2:20" hidden="1" outlineLevel="2">
      <c r="B264" s="29">
        <v>959066</v>
      </c>
      <c r="C264" s="29">
        <v>67</v>
      </c>
      <c r="D264" s="29" t="s">
        <v>591</v>
      </c>
      <c r="E264" s="29">
        <v>13077</v>
      </c>
      <c r="F264" s="29" t="s">
        <v>631</v>
      </c>
      <c r="G264" s="263">
        <v>42088</v>
      </c>
      <c r="H264" s="29">
        <v>4</v>
      </c>
      <c r="I264" s="29">
        <v>25111</v>
      </c>
      <c r="J264" s="29">
        <v>27</v>
      </c>
      <c r="K264" s="29" t="e">
        <f>VLOOKUP(J264,#REF!,2,0)</f>
        <v>#REF!</v>
      </c>
      <c r="L264" s="29">
        <v>5332</v>
      </c>
      <c r="M264" s="29" t="s">
        <v>671</v>
      </c>
      <c r="N264" s="29">
        <v>200</v>
      </c>
      <c r="O264" s="29">
        <v>1022.99</v>
      </c>
      <c r="P264" s="29">
        <v>3287.93</v>
      </c>
      <c r="Q264" s="29">
        <v>0</v>
      </c>
      <c r="R264" s="29">
        <v>591.83000000000004</v>
      </c>
      <c r="S264" s="29">
        <v>3879.76</v>
      </c>
      <c r="T264" s="29">
        <v>14</v>
      </c>
    </row>
    <row r="265" spans="2:20" hidden="1" outlineLevel="2">
      <c r="B265" s="29">
        <v>959066</v>
      </c>
      <c r="C265" s="29">
        <v>67</v>
      </c>
      <c r="D265" s="29" t="s">
        <v>591</v>
      </c>
      <c r="E265" s="29">
        <v>13077</v>
      </c>
      <c r="F265" s="29" t="s">
        <v>631</v>
      </c>
      <c r="G265" s="263">
        <v>42088</v>
      </c>
      <c r="H265" s="29">
        <v>4</v>
      </c>
      <c r="I265" s="29">
        <v>25111</v>
      </c>
      <c r="J265" s="29">
        <v>27</v>
      </c>
      <c r="K265" s="29" t="e">
        <f>VLOOKUP(J265,#REF!,2,0)</f>
        <v>#REF!</v>
      </c>
      <c r="L265" s="29">
        <v>9561</v>
      </c>
      <c r="M265" s="29" t="s">
        <v>690</v>
      </c>
      <c r="N265" s="29">
        <v>100</v>
      </c>
      <c r="O265" s="29">
        <v>255.22</v>
      </c>
      <c r="P265" s="29">
        <v>3287.93</v>
      </c>
      <c r="Q265" s="29">
        <v>0</v>
      </c>
      <c r="R265" s="29">
        <v>591.83000000000004</v>
      </c>
      <c r="S265" s="29">
        <v>3879.76</v>
      </c>
      <c r="T265" s="29">
        <v>14</v>
      </c>
    </row>
    <row r="266" spans="2:20" hidden="1" outlineLevel="2">
      <c r="B266" s="29">
        <v>956733</v>
      </c>
      <c r="C266" s="29">
        <v>67</v>
      </c>
      <c r="D266" s="29" t="s">
        <v>591</v>
      </c>
      <c r="E266" s="29">
        <v>17063</v>
      </c>
      <c r="F266" s="29" t="s">
        <v>632</v>
      </c>
      <c r="G266" s="263">
        <v>42088</v>
      </c>
      <c r="H266" s="29">
        <v>4</v>
      </c>
      <c r="I266" s="29">
        <v>25121</v>
      </c>
      <c r="J266" s="29">
        <v>27</v>
      </c>
      <c r="K266" s="29" t="e">
        <f>VLOOKUP(J266,#REF!,2,0)</f>
        <v>#REF!</v>
      </c>
      <c r="L266" s="29">
        <v>1912</v>
      </c>
      <c r="M266" s="29" t="s">
        <v>670</v>
      </c>
      <c r="N266" s="29">
        <v>12</v>
      </c>
      <c r="O266" s="29">
        <v>67.62</v>
      </c>
      <c r="P266" s="29">
        <v>162.75</v>
      </c>
      <c r="Q266" s="29">
        <v>14.4</v>
      </c>
      <c r="R266" s="29">
        <v>29.3</v>
      </c>
      <c r="S266" s="29">
        <v>206.45</v>
      </c>
      <c r="T266" s="29">
        <v>19</v>
      </c>
    </row>
    <row r="267" spans="2:20" hidden="1" outlineLevel="2">
      <c r="B267" s="29">
        <v>956733</v>
      </c>
      <c r="C267" s="29">
        <v>67</v>
      </c>
      <c r="D267" s="29" t="s">
        <v>591</v>
      </c>
      <c r="E267" s="29">
        <v>17063</v>
      </c>
      <c r="F267" s="29" t="s">
        <v>632</v>
      </c>
      <c r="G267" s="263">
        <v>42088</v>
      </c>
      <c r="H267" s="29">
        <v>4</v>
      </c>
      <c r="I267" s="29">
        <v>25121</v>
      </c>
      <c r="J267" s="29">
        <v>27</v>
      </c>
      <c r="K267" s="29" t="e">
        <f>VLOOKUP(J267,#REF!,2,0)</f>
        <v>#REF!</v>
      </c>
      <c r="L267" s="29">
        <v>8274</v>
      </c>
      <c r="M267" s="29" t="s">
        <v>692</v>
      </c>
      <c r="N267" s="29">
        <v>1</v>
      </c>
      <c r="O267" s="29">
        <v>40.630000000000003</v>
      </c>
      <c r="P267" s="29">
        <v>162.75</v>
      </c>
      <c r="Q267" s="29">
        <v>14.4</v>
      </c>
      <c r="R267" s="29">
        <v>29.3</v>
      </c>
      <c r="S267" s="29">
        <v>206.45</v>
      </c>
      <c r="T267" s="29">
        <v>19</v>
      </c>
    </row>
    <row r="268" spans="2:20" hidden="1" outlineLevel="2">
      <c r="B268" s="29">
        <v>956733</v>
      </c>
      <c r="C268" s="29">
        <v>67</v>
      </c>
      <c r="D268" s="29" t="s">
        <v>591</v>
      </c>
      <c r="E268" s="29">
        <v>17063</v>
      </c>
      <c r="F268" s="29" t="s">
        <v>632</v>
      </c>
      <c r="G268" s="263">
        <v>42088</v>
      </c>
      <c r="H268" s="29">
        <v>4</v>
      </c>
      <c r="I268" s="29">
        <v>25121</v>
      </c>
      <c r="J268" s="29">
        <v>27</v>
      </c>
      <c r="K268" s="29" t="e">
        <f>VLOOKUP(J268,#REF!,2,0)</f>
        <v>#REF!</v>
      </c>
      <c r="L268" s="29">
        <v>1893</v>
      </c>
      <c r="M268" s="29" t="s">
        <v>686</v>
      </c>
      <c r="N268" s="29">
        <v>1</v>
      </c>
      <c r="O268" s="29">
        <v>22.93</v>
      </c>
      <c r="P268" s="29">
        <v>162.75</v>
      </c>
      <c r="Q268" s="29">
        <v>14.4</v>
      </c>
      <c r="R268" s="29">
        <v>29.3</v>
      </c>
      <c r="S268" s="29">
        <v>206.45</v>
      </c>
      <c r="T268" s="29">
        <v>19</v>
      </c>
    </row>
    <row r="269" spans="2:20" hidden="1" outlineLevel="2">
      <c r="B269" s="29">
        <v>956703</v>
      </c>
      <c r="C269" s="29">
        <v>67</v>
      </c>
      <c r="D269" s="29" t="s">
        <v>591</v>
      </c>
      <c r="E269" s="29">
        <v>16340</v>
      </c>
      <c r="F269" s="29" t="s">
        <v>694</v>
      </c>
      <c r="G269" s="263">
        <v>42088</v>
      </c>
      <c r="H269" s="29">
        <v>4</v>
      </c>
      <c r="I269" s="29">
        <v>25118</v>
      </c>
      <c r="J269" s="29">
        <v>27</v>
      </c>
      <c r="K269" s="29" t="e">
        <f>VLOOKUP(J269,#REF!,2,0)</f>
        <v>#REF!</v>
      </c>
      <c r="L269" s="29">
        <v>1912</v>
      </c>
      <c r="M269" s="29" t="s">
        <v>670</v>
      </c>
      <c r="N269" s="29">
        <v>100</v>
      </c>
      <c r="O269" s="29">
        <v>563.47</v>
      </c>
      <c r="P269" s="29">
        <v>1752.03</v>
      </c>
      <c r="Q269" s="29">
        <v>0</v>
      </c>
      <c r="R269" s="29">
        <v>315.37</v>
      </c>
      <c r="S269" s="29">
        <v>2067.4</v>
      </c>
      <c r="T269" s="29">
        <v>5</v>
      </c>
    </row>
    <row r="270" spans="2:20" hidden="1" outlineLevel="2">
      <c r="B270" s="29">
        <v>956703</v>
      </c>
      <c r="C270" s="29">
        <v>67</v>
      </c>
      <c r="D270" s="29" t="s">
        <v>591</v>
      </c>
      <c r="E270" s="29">
        <v>16340</v>
      </c>
      <c r="F270" s="29" t="s">
        <v>694</v>
      </c>
      <c r="G270" s="263">
        <v>42088</v>
      </c>
      <c r="H270" s="29">
        <v>4</v>
      </c>
      <c r="I270" s="29">
        <v>25118</v>
      </c>
      <c r="J270" s="29">
        <v>27</v>
      </c>
      <c r="K270" s="29" t="e">
        <f>VLOOKUP(J270,#REF!,2,0)</f>
        <v>#REF!</v>
      </c>
      <c r="L270" s="29">
        <v>5332</v>
      </c>
      <c r="M270" s="29" t="s">
        <v>671</v>
      </c>
      <c r="N270" s="29">
        <v>100</v>
      </c>
      <c r="O270" s="29">
        <v>511.49</v>
      </c>
      <c r="P270" s="29">
        <v>1752.03</v>
      </c>
      <c r="Q270" s="29">
        <v>0</v>
      </c>
      <c r="R270" s="29">
        <v>315.37</v>
      </c>
      <c r="S270" s="29">
        <v>2067.4</v>
      </c>
      <c r="T270" s="29">
        <v>5</v>
      </c>
    </row>
    <row r="271" spans="2:20" hidden="1" outlineLevel="2">
      <c r="B271" s="29">
        <v>956703</v>
      </c>
      <c r="C271" s="29">
        <v>67</v>
      </c>
      <c r="D271" s="29" t="s">
        <v>591</v>
      </c>
      <c r="E271" s="29">
        <v>16340</v>
      </c>
      <c r="F271" s="29" t="s">
        <v>694</v>
      </c>
      <c r="G271" s="263">
        <v>42088</v>
      </c>
      <c r="H271" s="29">
        <v>4</v>
      </c>
      <c r="I271" s="29">
        <v>25118</v>
      </c>
      <c r="J271" s="29">
        <v>27</v>
      </c>
      <c r="K271" s="29" t="e">
        <f>VLOOKUP(J271,#REF!,2,0)</f>
        <v>#REF!</v>
      </c>
      <c r="L271" s="29">
        <v>9561</v>
      </c>
      <c r="M271" s="29" t="s">
        <v>690</v>
      </c>
      <c r="N271" s="29">
        <v>100</v>
      </c>
      <c r="O271" s="29">
        <v>255.22</v>
      </c>
      <c r="P271" s="29">
        <v>1752.03</v>
      </c>
      <c r="Q271" s="29">
        <v>0</v>
      </c>
      <c r="R271" s="29">
        <v>315.37</v>
      </c>
      <c r="S271" s="29">
        <v>2067.4</v>
      </c>
      <c r="T271" s="29">
        <v>5</v>
      </c>
    </row>
    <row r="272" spans="2:20" hidden="1" outlineLevel="2">
      <c r="B272" s="29">
        <v>956703</v>
      </c>
      <c r="C272" s="29">
        <v>67</v>
      </c>
      <c r="D272" s="29" t="s">
        <v>591</v>
      </c>
      <c r="E272" s="29">
        <v>16340</v>
      </c>
      <c r="F272" s="29" t="s">
        <v>694</v>
      </c>
      <c r="G272" s="263">
        <v>42088</v>
      </c>
      <c r="H272" s="29">
        <v>4</v>
      </c>
      <c r="I272" s="29">
        <v>25118</v>
      </c>
      <c r="J272" s="29">
        <v>27</v>
      </c>
      <c r="K272" s="29" t="e">
        <f>VLOOKUP(J272,#REF!,2,0)</f>
        <v>#REF!</v>
      </c>
      <c r="L272" s="29">
        <v>8274</v>
      </c>
      <c r="M272" s="29" t="s">
        <v>692</v>
      </c>
      <c r="N272" s="29">
        <v>3</v>
      </c>
      <c r="O272" s="29">
        <v>121.9</v>
      </c>
      <c r="P272" s="29">
        <v>1752.03</v>
      </c>
      <c r="Q272" s="29">
        <v>0</v>
      </c>
      <c r="R272" s="29">
        <v>315.37</v>
      </c>
      <c r="S272" s="29">
        <v>2067.4</v>
      </c>
      <c r="T272" s="29">
        <v>5</v>
      </c>
    </row>
    <row r="273" spans="2:20" hidden="1" outlineLevel="2">
      <c r="B273" s="29">
        <v>956703</v>
      </c>
      <c r="C273" s="29">
        <v>67</v>
      </c>
      <c r="D273" s="29" t="s">
        <v>591</v>
      </c>
      <c r="E273" s="29">
        <v>16340</v>
      </c>
      <c r="F273" s="29" t="s">
        <v>694</v>
      </c>
      <c r="G273" s="263">
        <v>42088</v>
      </c>
      <c r="H273" s="29">
        <v>4</v>
      </c>
      <c r="I273" s="29">
        <v>25118</v>
      </c>
      <c r="J273" s="29">
        <v>27</v>
      </c>
      <c r="K273" s="29" t="e">
        <f>VLOOKUP(J273,#REF!,2,0)</f>
        <v>#REF!</v>
      </c>
      <c r="L273" s="29">
        <v>1893</v>
      </c>
      <c r="M273" s="29" t="s">
        <v>686</v>
      </c>
      <c r="N273" s="29">
        <v>3</v>
      </c>
      <c r="O273" s="29">
        <v>68.790000000000006</v>
      </c>
      <c r="P273" s="29">
        <v>1752.03</v>
      </c>
      <c r="Q273" s="29">
        <v>0</v>
      </c>
      <c r="R273" s="29">
        <v>315.37</v>
      </c>
      <c r="S273" s="29">
        <v>2067.4</v>
      </c>
      <c r="T273" s="29">
        <v>5</v>
      </c>
    </row>
    <row r="274" spans="2:20" hidden="1" outlineLevel="2">
      <c r="B274" s="29">
        <v>956703</v>
      </c>
      <c r="C274" s="29">
        <v>67</v>
      </c>
      <c r="D274" s="29" t="s">
        <v>591</v>
      </c>
      <c r="E274" s="29">
        <v>16340</v>
      </c>
      <c r="F274" s="29" t="s">
        <v>694</v>
      </c>
      <c r="G274" s="263">
        <v>42088</v>
      </c>
      <c r="H274" s="29">
        <v>4</v>
      </c>
      <c r="I274" s="29">
        <v>25118</v>
      </c>
      <c r="J274" s="29">
        <v>27</v>
      </c>
      <c r="K274" s="29" t="e">
        <f>VLOOKUP(J274,#REF!,2,0)</f>
        <v>#REF!</v>
      </c>
      <c r="L274" s="29">
        <v>12559</v>
      </c>
      <c r="M274" s="29" t="s">
        <v>684</v>
      </c>
      <c r="N274" s="29">
        <v>12</v>
      </c>
      <c r="O274" s="29">
        <v>111.73</v>
      </c>
      <c r="P274" s="29">
        <v>1752.03</v>
      </c>
      <c r="Q274" s="29">
        <v>0</v>
      </c>
      <c r="R274" s="29">
        <v>315.37</v>
      </c>
      <c r="S274" s="29">
        <v>2067.4</v>
      </c>
      <c r="T274" s="29">
        <v>5</v>
      </c>
    </row>
    <row r="275" spans="2:20" hidden="1" outlineLevel="2">
      <c r="B275" s="29">
        <v>956703</v>
      </c>
      <c r="C275" s="29">
        <v>67</v>
      </c>
      <c r="D275" s="29" t="s">
        <v>591</v>
      </c>
      <c r="E275" s="29">
        <v>16340</v>
      </c>
      <c r="F275" s="29" t="s">
        <v>694</v>
      </c>
      <c r="G275" s="263">
        <v>42088</v>
      </c>
      <c r="H275" s="29">
        <v>4</v>
      </c>
      <c r="I275" s="29">
        <v>25118</v>
      </c>
      <c r="J275" s="29">
        <v>27</v>
      </c>
      <c r="K275" s="29" t="e">
        <f>VLOOKUP(J275,#REF!,2,0)</f>
        <v>#REF!</v>
      </c>
      <c r="L275" s="29">
        <v>1896</v>
      </c>
      <c r="M275" s="29" t="s">
        <v>680</v>
      </c>
      <c r="N275" s="29">
        <v>12</v>
      </c>
      <c r="O275" s="29">
        <v>119.43</v>
      </c>
      <c r="P275" s="29">
        <v>1752.03</v>
      </c>
      <c r="Q275" s="29">
        <v>0</v>
      </c>
      <c r="R275" s="29">
        <v>315.37</v>
      </c>
      <c r="S275" s="29">
        <v>2067.4</v>
      </c>
      <c r="T275" s="29">
        <v>5</v>
      </c>
    </row>
    <row r="276" spans="2:20" hidden="1" outlineLevel="2">
      <c r="B276" s="29">
        <v>959103</v>
      </c>
      <c r="C276" s="29">
        <v>67</v>
      </c>
      <c r="D276" s="29" t="s">
        <v>591</v>
      </c>
      <c r="E276" s="29">
        <v>1711</v>
      </c>
      <c r="F276" s="29" t="s">
        <v>633</v>
      </c>
      <c r="G276" s="263">
        <v>42088</v>
      </c>
      <c r="H276" s="29">
        <v>4</v>
      </c>
      <c r="I276" s="29">
        <v>25153</v>
      </c>
      <c r="J276" s="29">
        <v>27</v>
      </c>
      <c r="K276" s="29" t="e">
        <f>VLOOKUP(J276,#REF!,2,0)</f>
        <v>#REF!</v>
      </c>
      <c r="L276" s="29">
        <v>12559</v>
      </c>
      <c r="M276" s="29" t="s">
        <v>684</v>
      </c>
      <c r="N276" s="29">
        <v>3</v>
      </c>
      <c r="O276" s="29">
        <v>27.93</v>
      </c>
      <c r="P276" s="29">
        <v>40.450000000000003</v>
      </c>
      <c r="Q276" s="29">
        <v>0</v>
      </c>
      <c r="R276" s="29">
        <v>7.28</v>
      </c>
      <c r="S276" s="29">
        <v>47.73</v>
      </c>
      <c r="T276" s="29">
        <v>11</v>
      </c>
    </row>
    <row r="277" spans="2:20" hidden="1" outlineLevel="2">
      <c r="B277" s="29">
        <v>959141</v>
      </c>
      <c r="C277" s="29">
        <v>67</v>
      </c>
      <c r="D277" s="29" t="s">
        <v>591</v>
      </c>
      <c r="E277" s="29">
        <v>15435</v>
      </c>
      <c r="F277" s="29" t="s">
        <v>634</v>
      </c>
      <c r="G277" s="263">
        <v>42088</v>
      </c>
      <c r="H277" s="29">
        <v>4</v>
      </c>
      <c r="I277" s="29">
        <v>25180</v>
      </c>
      <c r="J277" s="29">
        <v>27</v>
      </c>
      <c r="K277" s="29" t="e">
        <f>VLOOKUP(J277,#REF!,2,0)</f>
        <v>#REF!</v>
      </c>
      <c r="L277" s="29">
        <v>5332</v>
      </c>
      <c r="M277" s="29" t="s">
        <v>671</v>
      </c>
      <c r="N277" s="29">
        <v>24</v>
      </c>
      <c r="O277" s="29">
        <v>129.30000000000001</v>
      </c>
      <c r="P277" s="29">
        <v>268.92</v>
      </c>
      <c r="Q277" s="29">
        <v>0</v>
      </c>
      <c r="R277" s="29">
        <v>48.41</v>
      </c>
      <c r="S277" s="29">
        <v>317.33</v>
      </c>
      <c r="T277" s="29">
        <v>5</v>
      </c>
    </row>
    <row r="278" spans="2:20" hidden="1" outlineLevel="2">
      <c r="B278" s="29">
        <v>959141</v>
      </c>
      <c r="C278" s="29">
        <v>67</v>
      </c>
      <c r="D278" s="29" t="s">
        <v>591</v>
      </c>
      <c r="E278" s="29">
        <v>15435</v>
      </c>
      <c r="F278" s="29" t="s">
        <v>634</v>
      </c>
      <c r="G278" s="263">
        <v>42088</v>
      </c>
      <c r="H278" s="29">
        <v>4</v>
      </c>
      <c r="I278" s="29">
        <v>25180</v>
      </c>
      <c r="J278" s="29">
        <v>27</v>
      </c>
      <c r="K278" s="29" t="e">
        <f>VLOOKUP(J278,#REF!,2,0)</f>
        <v>#REF!</v>
      </c>
      <c r="L278" s="29">
        <v>1897</v>
      </c>
      <c r="M278" s="29" t="s">
        <v>687</v>
      </c>
      <c r="N278" s="29">
        <v>6</v>
      </c>
      <c r="O278" s="29">
        <v>52.2</v>
      </c>
      <c r="P278" s="29">
        <v>268.92</v>
      </c>
      <c r="Q278" s="29">
        <v>0</v>
      </c>
      <c r="R278" s="29">
        <v>48.41</v>
      </c>
      <c r="S278" s="29">
        <v>317.33</v>
      </c>
      <c r="T278" s="29">
        <v>5</v>
      </c>
    </row>
    <row r="279" spans="2:20" hidden="1" outlineLevel="2">
      <c r="B279" s="29">
        <v>959142</v>
      </c>
      <c r="C279" s="29">
        <v>67</v>
      </c>
      <c r="D279" s="29" t="s">
        <v>591</v>
      </c>
      <c r="E279" s="29">
        <v>17043</v>
      </c>
      <c r="F279" s="29" t="s">
        <v>635</v>
      </c>
      <c r="G279" s="263">
        <v>42088</v>
      </c>
      <c r="H279" s="29">
        <v>4</v>
      </c>
      <c r="I279" s="29">
        <v>25181</v>
      </c>
      <c r="J279" s="29">
        <v>27</v>
      </c>
      <c r="K279" s="29" t="e">
        <f>VLOOKUP(J279,#REF!,2,0)</f>
        <v>#REF!</v>
      </c>
      <c r="L279" s="29">
        <v>1912</v>
      </c>
      <c r="M279" s="29" t="s">
        <v>670</v>
      </c>
      <c r="N279" s="29">
        <v>12</v>
      </c>
      <c r="O279" s="29">
        <v>67.62</v>
      </c>
      <c r="P279" s="29">
        <v>268.94</v>
      </c>
      <c r="Q279" s="29">
        <v>0</v>
      </c>
      <c r="R279" s="29">
        <v>48.41</v>
      </c>
      <c r="S279" s="29">
        <v>317.35000000000002</v>
      </c>
      <c r="T279" s="29">
        <v>5</v>
      </c>
    </row>
    <row r="280" spans="2:20" hidden="1" outlineLevel="2">
      <c r="B280" s="29">
        <v>959142</v>
      </c>
      <c r="C280" s="29">
        <v>67</v>
      </c>
      <c r="D280" s="29" t="s">
        <v>591</v>
      </c>
      <c r="E280" s="29">
        <v>17043</v>
      </c>
      <c r="F280" s="29" t="s">
        <v>635</v>
      </c>
      <c r="G280" s="263">
        <v>42088</v>
      </c>
      <c r="H280" s="29">
        <v>4</v>
      </c>
      <c r="I280" s="29">
        <v>25181</v>
      </c>
      <c r="J280" s="29">
        <v>27</v>
      </c>
      <c r="K280" s="29" t="e">
        <f>VLOOKUP(J280,#REF!,2,0)</f>
        <v>#REF!</v>
      </c>
      <c r="L280" s="29">
        <v>5332</v>
      </c>
      <c r="M280" s="29" t="s">
        <v>671</v>
      </c>
      <c r="N280" s="29">
        <v>24</v>
      </c>
      <c r="O280" s="29">
        <v>129.30000000000001</v>
      </c>
      <c r="P280" s="29">
        <v>268.94</v>
      </c>
      <c r="Q280" s="29">
        <v>0</v>
      </c>
      <c r="R280" s="29">
        <v>48.41</v>
      </c>
      <c r="S280" s="29">
        <v>317.35000000000002</v>
      </c>
      <c r="T280" s="29">
        <v>5</v>
      </c>
    </row>
    <row r="281" spans="2:20" hidden="1" outlineLevel="2">
      <c r="B281" s="29">
        <v>959143</v>
      </c>
      <c r="C281" s="29">
        <v>67</v>
      </c>
      <c r="D281" s="29" t="s">
        <v>591</v>
      </c>
      <c r="E281" s="29">
        <v>16381</v>
      </c>
      <c r="F281" s="29" t="s">
        <v>695</v>
      </c>
      <c r="G281" s="263">
        <v>42088</v>
      </c>
      <c r="H281" s="29">
        <v>4</v>
      </c>
      <c r="I281" s="29">
        <v>25182</v>
      </c>
      <c r="J281" s="29">
        <v>27</v>
      </c>
      <c r="K281" s="29" t="e">
        <f>VLOOKUP(J281,#REF!,2,0)</f>
        <v>#REF!</v>
      </c>
      <c r="L281" s="29">
        <v>1912</v>
      </c>
      <c r="M281" s="29" t="s">
        <v>670</v>
      </c>
      <c r="N281" s="29">
        <v>24</v>
      </c>
      <c r="O281" s="29">
        <v>135.22999999999999</v>
      </c>
      <c r="P281" s="29">
        <v>202.85</v>
      </c>
      <c r="Q281" s="29">
        <v>0</v>
      </c>
      <c r="R281" s="29">
        <v>36.51</v>
      </c>
      <c r="S281" s="29">
        <v>239.36</v>
      </c>
      <c r="T281" s="29">
        <v>8</v>
      </c>
    </row>
    <row r="282" spans="2:20" hidden="1" outlineLevel="2">
      <c r="B282" s="29">
        <v>959145</v>
      </c>
      <c r="C282" s="29">
        <v>67</v>
      </c>
      <c r="D282" s="29" t="s">
        <v>591</v>
      </c>
      <c r="E282" s="29">
        <v>13502</v>
      </c>
      <c r="F282" s="29" t="s">
        <v>696</v>
      </c>
      <c r="G282" s="263">
        <v>42088</v>
      </c>
      <c r="H282" s="29">
        <v>4</v>
      </c>
      <c r="I282" s="29">
        <v>25187</v>
      </c>
      <c r="J282" s="29">
        <v>27</v>
      </c>
      <c r="K282" s="29" t="e">
        <f>VLOOKUP(J282,#REF!,2,0)</f>
        <v>#REF!</v>
      </c>
      <c r="L282" s="29">
        <v>5332</v>
      </c>
      <c r="M282" s="29" t="s">
        <v>671</v>
      </c>
      <c r="N282" s="29">
        <v>24</v>
      </c>
      <c r="O282" s="29">
        <v>129.30000000000001</v>
      </c>
      <c r="P282" s="29">
        <v>224.16</v>
      </c>
      <c r="Q282" s="29">
        <v>0</v>
      </c>
      <c r="R282" s="29">
        <v>40.35</v>
      </c>
      <c r="S282" s="29">
        <v>264.51</v>
      </c>
      <c r="T282" s="29">
        <v>8</v>
      </c>
    </row>
    <row r="283" spans="2:20" hidden="1" outlineLevel="2">
      <c r="B283" s="29">
        <v>959145</v>
      </c>
      <c r="C283" s="29">
        <v>67</v>
      </c>
      <c r="D283" s="29" t="s">
        <v>591</v>
      </c>
      <c r="E283" s="29">
        <v>13502</v>
      </c>
      <c r="F283" s="29" t="s">
        <v>696</v>
      </c>
      <c r="G283" s="263">
        <v>42088</v>
      </c>
      <c r="H283" s="29">
        <v>4</v>
      </c>
      <c r="I283" s="29">
        <v>25187</v>
      </c>
      <c r="J283" s="29">
        <v>27</v>
      </c>
      <c r="K283" s="29" t="e">
        <f>VLOOKUP(J283,#REF!,2,0)</f>
        <v>#REF!</v>
      </c>
      <c r="L283" s="29">
        <v>1896</v>
      </c>
      <c r="M283" s="29" t="s">
        <v>680</v>
      </c>
      <c r="N283" s="29">
        <v>3</v>
      </c>
      <c r="O283" s="29">
        <v>29.86</v>
      </c>
      <c r="P283" s="29">
        <v>224.16</v>
      </c>
      <c r="Q283" s="29">
        <v>0</v>
      </c>
      <c r="R283" s="29">
        <v>40.35</v>
      </c>
      <c r="S283" s="29">
        <v>264.51</v>
      </c>
      <c r="T283" s="29">
        <v>8</v>
      </c>
    </row>
    <row r="284" spans="2:20" hidden="1" outlineLevel="2">
      <c r="B284" s="29">
        <v>959194</v>
      </c>
      <c r="C284" s="29">
        <v>67</v>
      </c>
      <c r="D284" s="29" t="s">
        <v>591</v>
      </c>
      <c r="E284" s="29">
        <v>10139</v>
      </c>
      <c r="F284" s="29" t="s">
        <v>621</v>
      </c>
      <c r="G284" s="263">
        <v>42089</v>
      </c>
      <c r="H284" s="29">
        <v>4</v>
      </c>
      <c r="I284" s="29">
        <v>25193</v>
      </c>
      <c r="J284" s="29">
        <v>27</v>
      </c>
      <c r="K284" s="29" t="e">
        <f>VLOOKUP(J284,#REF!,2,0)</f>
        <v>#REF!</v>
      </c>
      <c r="L284" s="29">
        <v>1896</v>
      </c>
      <c r="M284" s="29" t="s">
        <v>680</v>
      </c>
      <c r="N284" s="29">
        <v>3</v>
      </c>
      <c r="O284" s="29">
        <v>29.86</v>
      </c>
      <c r="P284" s="29">
        <v>59.72</v>
      </c>
      <c r="Q284" s="29">
        <v>0</v>
      </c>
      <c r="R284" s="29">
        <v>10.75</v>
      </c>
      <c r="S284" s="29">
        <v>70.47</v>
      </c>
      <c r="T284" s="29">
        <v>8</v>
      </c>
    </row>
    <row r="285" spans="2:20" hidden="1" outlineLevel="2">
      <c r="B285" s="29">
        <v>959194</v>
      </c>
      <c r="C285" s="29">
        <v>67</v>
      </c>
      <c r="D285" s="29" t="s">
        <v>591</v>
      </c>
      <c r="E285" s="29">
        <v>10139</v>
      </c>
      <c r="F285" s="29" t="s">
        <v>621</v>
      </c>
      <c r="G285" s="263">
        <v>42089</v>
      </c>
      <c r="H285" s="29">
        <v>4</v>
      </c>
      <c r="I285" s="29">
        <v>25193</v>
      </c>
      <c r="J285" s="29">
        <v>27</v>
      </c>
      <c r="K285" s="29" t="e">
        <f>VLOOKUP(J285,#REF!,2,0)</f>
        <v>#REF!</v>
      </c>
      <c r="L285" s="29">
        <v>1896</v>
      </c>
      <c r="M285" s="29" t="s">
        <v>680</v>
      </c>
      <c r="N285" s="29">
        <v>3</v>
      </c>
      <c r="O285" s="29">
        <v>29.86</v>
      </c>
      <c r="P285" s="29">
        <v>59.72</v>
      </c>
      <c r="Q285" s="29">
        <v>0</v>
      </c>
      <c r="R285" s="29">
        <v>10.75</v>
      </c>
      <c r="S285" s="29">
        <v>70.47</v>
      </c>
      <c r="T285" s="29">
        <v>8</v>
      </c>
    </row>
    <row r="286" spans="2:20" hidden="1" outlineLevel="2">
      <c r="B286" s="29">
        <v>959203</v>
      </c>
      <c r="C286" s="29">
        <v>67</v>
      </c>
      <c r="D286" s="29" t="s">
        <v>591</v>
      </c>
      <c r="E286" s="29">
        <v>16554</v>
      </c>
      <c r="F286" s="29" t="s">
        <v>637</v>
      </c>
      <c r="G286" s="263">
        <v>42089</v>
      </c>
      <c r="H286" s="29">
        <v>4</v>
      </c>
      <c r="I286" s="29">
        <v>25205</v>
      </c>
      <c r="J286" s="29">
        <v>27</v>
      </c>
      <c r="K286" s="29" t="e">
        <f>VLOOKUP(J286,#REF!,2,0)</f>
        <v>#REF!</v>
      </c>
      <c r="L286" s="29">
        <v>1912</v>
      </c>
      <c r="M286" s="29" t="s">
        <v>670</v>
      </c>
      <c r="N286" s="29">
        <v>24</v>
      </c>
      <c r="O286" s="29">
        <v>135.22999999999999</v>
      </c>
      <c r="P286" s="29">
        <v>488.29</v>
      </c>
      <c r="Q286" s="29">
        <v>0</v>
      </c>
      <c r="R286" s="29">
        <v>87.89</v>
      </c>
      <c r="S286" s="29">
        <v>576.17999999999995</v>
      </c>
      <c r="T286" s="29">
        <v>11</v>
      </c>
    </row>
    <row r="287" spans="2:20" hidden="1" outlineLevel="2">
      <c r="B287" s="29">
        <v>959203</v>
      </c>
      <c r="C287" s="29">
        <v>67</v>
      </c>
      <c r="D287" s="29" t="s">
        <v>591</v>
      </c>
      <c r="E287" s="29">
        <v>16554</v>
      </c>
      <c r="F287" s="29" t="s">
        <v>637</v>
      </c>
      <c r="G287" s="263">
        <v>42089</v>
      </c>
      <c r="H287" s="29">
        <v>4</v>
      </c>
      <c r="I287" s="29">
        <v>25205</v>
      </c>
      <c r="J287" s="29">
        <v>27</v>
      </c>
      <c r="K287" s="29" t="e">
        <f>VLOOKUP(J287,#REF!,2,0)</f>
        <v>#REF!</v>
      </c>
      <c r="L287" s="29">
        <v>5332</v>
      </c>
      <c r="M287" s="29" t="s">
        <v>671</v>
      </c>
      <c r="N287" s="29">
        <v>24</v>
      </c>
      <c r="O287" s="29">
        <v>129.30000000000001</v>
      </c>
      <c r="P287" s="29">
        <v>488.29</v>
      </c>
      <c r="Q287" s="29">
        <v>0</v>
      </c>
      <c r="R287" s="29">
        <v>87.89</v>
      </c>
      <c r="S287" s="29">
        <v>576.17999999999995</v>
      </c>
      <c r="T287" s="29">
        <v>11</v>
      </c>
    </row>
    <row r="288" spans="2:20" hidden="1" outlineLevel="2">
      <c r="B288" s="29">
        <v>959203</v>
      </c>
      <c r="C288" s="29">
        <v>67</v>
      </c>
      <c r="D288" s="29" t="s">
        <v>591</v>
      </c>
      <c r="E288" s="29">
        <v>16554</v>
      </c>
      <c r="F288" s="29" t="s">
        <v>637</v>
      </c>
      <c r="G288" s="263">
        <v>42089</v>
      </c>
      <c r="H288" s="29">
        <v>4</v>
      </c>
      <c r="I288" s="29">
        <v>25205</v>
      </c>
      <c r="J288" s="29">
        <v>27</v>
      </c>
      <c r="K288" s="29" t="e">
        <f>VLOOKUP(J288,#REF!,2,0)</f>
        <v>#REF!</v>
      </c>
      <c r="L288" s="29">
        <v>9561</v>
      </c>
      <c r="M288" s="29" t="s">
        <v>690</v>
      </c>
      <c r="N288" s="29">
        <v>24</v>
      </c>
      <c r="O288" s="29">
        <v>69.61</v>
      </c>
      <c r="P288" s="29">
        <v>488.29</v>
      </c>
      <c r="Q288" s="29">
        <v>0</v>
      </c>
      <c r="R288" s="29">
        <v>87.89</v>
      </c>
      <c r="S288" s="29">
        <v>576.17999999999995</v>
      </c>
      <c r="T288" s="29">
        <v>11</v>
      </c>
    </row>
    <row r="289" spans="2:20" hidden="1" outlineLevel="2">
      <c r="B289" s="29">
        <v>959203</v>
      </c>
      <c r="C289" s="29">
        <v>67</v>
      </c>
      <c r="D289" s="29" t="s">
        <v>591</v>
      </c>
      <c r="E289" s="29">
        <v>16554</v>
      </c>
      <c r="F289" s="29" t="s">
        <v>637</v>
      </c>
      <c r="G289" s="263">
        <v>42089</v>
      </c>
      <c r="H289" s="29">
        <v>4</v>
      </c>
      <c r="I289" s="29">
        <v>25205</v>
      </c>
      <c r="J289" s="29">
        <v>27</v>
      </c>
      <c r="K289" s="29" t="e">
        <f>VLOOKUP(J289,#REF!,2,0)</f>
        <v>#REF!</v>
      </c>
      <c r="L289" s="29">
        <v>12559</v>
      </c>
      <c r="M289" s="29" t="s">
        <v>684</v>
      </c>
      <c r="N289" s="29">
        <v>3</v>
      </c>
      <c r="O289" s="29">
        <v>27.93</v>
      </c>
      <c r="P289" s="29">
        <v>488.29</v>
      </c>
      <c r="Q289" s="29">
        <v>0</v>
      </c>
      <c r="R289" s="29">
        <v>87.89</v>
      </c>
      <c r="S289" s="29">
        <v>576.17999999999995</v>
      </c>
      <c r="T289" s="29">
        <v>11</v>
      </c>
    </row>
    <row r="290" spans="2:20" hidden="1" outlineLevel="2">
      <c r="B290" s="29">
        <v>959203</v>
      </c>
      <c r="C290" s="29">
        <v>67</v>
      </c>
      <c r="D290" s="29" t="s">
        <v>591</v>
      </c>
      <c r="E290" s="29">
        <v>16554</v>
      </c>
      <c r="F290" s="29" t="s">
        <v>637</v>
      </c>
      <c r="G290" s="263">
        <v>42089</v>
      </c>
      <c r="H290" s="29">
        <v>4</v>
      </c>
      <c r="I290" s="29">
        <v>25205</v>
      </c>
      <c r="J290" s="29">
        <v>27</v>
      </c>
      <c r="K290" s="29" t="e">
        <f>VLOOKUP(J290,#REF!,2,0)</f>
        <v>#REF!</v>
      </c>
      <c r="L290" s="29">
        <v>1897</v>
      </c>
      <c r="M290" s="29" t="s">
        <v>687</v>
      </c>
      <c r="N290" s="29">
        <v>3</v>
      </c>
      <c r="O290" s="29">
        <v>26.1</v>
      </c>
      <c r="P290" s="29">
        <v>488.29</v>
      </c>
      <c r="Q290" s="29">
        <v>0</v>
      </c>
      <c r="R290" s="29">
        <v>87.89</v>
      </c>
      <c r="S290" s="29">
        <v>576.17999999999995</v>
      </c>
      <c r="T290" s="29">
        <v>11</v>
      </c>
    </row>
    <row r="291" spans="2:20" hidden="1" outlineLevel="2">
      <c r="B291" s="29">
        <v>957148</v>
      </c>
      <c r="C291" s="29">
        <v>67</v>
      </c>
      <c r="D291" s="29" t="s">
        <v>591</v>
      </c>
      <c r="E291" s="29">
        <v>16684</v>
      </c>
      <c r="F291" s="29" t="s">
        <v>642</v>
      </c>
      <c r="G291" s="263">
        <v>42088</v>
      </c>
      <c r="H291" s="29">
        <v>4</v>
      </c>
      <c r="I291" s="29">
        <v>25124</v>
      </c>
      <c r="J291" s="29">
        <v>27</v>
      </c>
      <c r="K291" s="29" t="e">
        <f>VLOOKUP(J291,#REF!,2,0)</f>
        <v>#REF!</v>
      </c>
      <c r="L291" s="29">
        <v>12943</v>
      </c>
      <c r="M291" s="29" t="s">
        <v>668</v>
      </c>
      <c r="N291" s="29">
        <v>24</v>
      </c>
      <c r="O291" s="29">
        <v>204.77</v>
      </c>
      <c r="P291" s="29">
        <v>1301.3599999999999</v>
      </c>
      <c r="Q291" s="29">
        <v>0</v>
      </c>
      <c r="R291" s="29">
        <v>234.24</v>
      </c>
      <c r="S291" s="29">
        <v>1535.6</v>
      </c>
      <c r="T291" s="29">
        <v>11</v>
      </c>
    </row>
    <row r="292" spans="2:20" hidden="1" outlineLevel="2">
      <c r="B292" s="29">
        <v>957148</v>
      </c>
      <c r="C292" s="29">
        <v>67</v>
      </c>
      <c r="D292" s="29" t="s">
        <v>591</v>
      </c>
      <c r="E292" s="29">
        <v>16684</v>
      </c>
      <c r="F292" s="29" t="s">
        <v>642</v>
      </c>
      <c r="G292" s="263">
        <v>42088</v>
      </c>
      <c r="H292" s="29">
        <v>4</v>
      </c>
      <c r="I292" s="29">
        <v>25124</v>
      </c>
      <c r="J292" s="29">
        <v>27</v>
      </c>
      <c r="K292" s="29" t="e">
        <f>VLOOKUP(J292,#REF!,2,0)</f>
        <v>#REF!</v>
      </c>
      <c r="L292" s="29">
        <v>1912</v>
      </c>
      <c r="M292" s="29" t="s">
        <v>670</v>
      </c>
      <c r="N292" s="29">
        <v>50</v>
      </c>
      <c r="O292" s="29">
        <v>281.74</v>
      </c>
      <c r="P292" s="29">
        <v>1301.3599999999999</v>
      </c>
      <c r="Q292" s="29">
        <v>0</v>
      </c>
      <c r="R292" s="29">
        <v>234.24</v>
      </c>
      <c r="S292" s="29">
        <v>1535.6</v>
      </c>
      <c r="T292" s="29">
        <v>11</v>
      </c>
    </row>
    <row r="293" spans="2:20" hidden="1" outlineLevel="2">
      <c r="B293" s="29">
        <v>957148</v>
      </c>
      <c r="C293" s="29">
        <v>67</v>
      </c>
      <c r="D293" s="29" t="s">
        <v>591</v>
      </c>
      <c r="E293" s="29">
        <v>16684</v>
      </c>
      <c r="F293" s="29" t="s">
        <v>642</v>
      </c>
      <c r="G293" s="263">
        <v>42088</v>
      </c>
      <c r="H293" s="29">
        <v>4</v>
      </c>
      <c r="I293" s="29">
        <v>25124</v>
      </c>
      <c r="J293" s="29">
        <v>27</v>
      </c>
      <c r="K293" s="29" t="e">
        <f>VLOOKUP(J293,#REF!,2,0)</f>
        <v>#REF!</v>
      </c>
      <c r="L293" s="29">
        <v>5332</v>
      </c>
      <c r="M293" s="29" t="s">
        <v>671</v>
      </c>
      <c r="N293" s="29">
        <v>24</v>
      </c>
      <c r="O293" s="29">
        <v>129.30000000000001</v>
      </c>
      <c r="P293" s="29">
        <v>1301.3599999999999</v>
      </c>
      <c r="Q293" s="29">
        <v>0</v>
      </c>
      <c r="R293" s="29">
        <v>234.24</v>
      </c>
      <c r="S293" s="29">
        <v>1535.6</v>
      </c>
      <c r="T293" s="29">
        <v>11</v>
      </c>
    </row>
    <row r="294" spans="2:20" hidden="1" outlineLevel="2">
      <c r="B294" s="29">
        <v>957148</v>
      </c>
      <c r="C294" s="29">
        <v>67</v>
      </c>
      <c r="D294" s="29" t="s">
        <v>591</v>
      </c>
      <c r="E294" s="29">
        <v>16684</v>
      </c>
      <c r="F294" s="29" t="s">
        <v>642</v>
      </c>
      <c r="G294" s="263">
        <v>42088</v>
      </c>
      <c r="H294" s="29">
        <v>4</v>
      </c>
      <c r="I294" s="29">
        <v>25124</v>
      </c>
      <c r="J294" s="29">
        <v>27</v>
      </c>
      <c r="K294" s="29" t="e">
        <f>VLOOKUP(J294,#REF!,2,0)</f>
        <v>#REF!</v>
      </c>
      <c r="L294" s="29">
        <v>1889</v>
      </c>
      <c r="M294" s="29" t="s">
        <v>675</v>
      </c>
      <c r="N294" s="29">
        <v>6</v>
      </c>
      <c r="O294" s="29">
        <v>133.65</v>
      </c>
      <c r="P294" s="29">
        <v>1301.3599999999999</v>
      </c>
      <c r="Q294" s="29">
        <v>0</v>
      </c>
      <c r="R294" s="29">
        <v>234.24</v>
      </c>
      <c r="S294" s="29">
        <v>1535.6</v>
      </c>
      <c r="T294" s="29">
        <v>11</v>
      </c>
    </row>
    <row r="295" spans="2:20" hidden="1" outlineLevel="2">
      <c r="B295" s="29">
        <v>957148</v>
      </c>
      <c r="C295" s="29">
        <v>67</v>
      </c>
      <c r="D295" s="29" t="s">
        <v>591</v>
      </c>
      <c r="E295" s="29">
        <v>16684</v>
      </c>
      <c r="F295" s="29" t="s">
        <v>642</v>
      </c>
      <c r="G295" s="263">
        <v>42088</v>
      </c>
      <c r="H295" s="29">
        <v>4</v>
      </c>
      <c r="I295" s="29">
        <v>25124</v>
      </c>
      <c r="J295" s="29">
        <v>27</v>
      </c>
      <c r="K295" s="29" t="e">
        <f>VLOOKUP(J295,#REF!,2,0)</f>
        <v>#REF!</v>
      </c>
      <c r="L295" s="29">
        <v>1915</v>
      </c>
      <c r="M295" s="29" t="s">
        <v>682</v>
      </c>
      <c r="N295" s="29">
        <v>6</v>
      </c>
      <c r="O295" s="29">
        <v>53.87</v>
      </c>
      <c r="P295" s="29">
        <v>1301.3599999999999</v>
      </c>
      <c r="Q295" s="29">
        <v>0</v>
      </c>
      <c r="R295" s="29">
        <v>234.24</v>
      </c>
      <c r="S295" s="29">
        <v>1535.6</v>
      </c>
      <c r="T295" s="29">
        <v>11</v>
      </c>
    </row>
    <row r="296" spans="2:20" hidden="1" outlineLevel="2">
      <c r="B296" s="29">
        <v>957148</v>
      </c>
      <c r="C296" s="29">
        <v>67</v>
      </c>
      <c r="D296" s="29" t="s">
        <v>591</v>
      </c>
      <c r="E296" s="29">
        <v>16684</v>
      </c>
      <c r="F296" s="29" t="s">
        <v>642</v>
      </c>
      <c r="G296" s="263">
        <v>42088</v>
      </c>
      <c r="H296" s="29">
        <v>4</v>
      </c>
      <c r="I296" s="29">
        <v>25124</v>
      </c>
      <c r="J296" s="29">
        <v>27</v>
      </c>
      <c r="K296" s="29" t="e">
        <f>VLOOKUP(J296,#REF!,2,0)</f>
        <v>#REF!</v>
      </c>
      <c r="L296" s="29">
        <v>1896</v>
      </c>
      <c r="M296" s="29" t="s">
        <v>680</v>
      </c>
      <c r="N296" s="29">
        <v>24</v>
      </c>
      <c r="O296" s="29">
        <v>238.85</v>
      </c>
      <c r="P296" s="29">
        <v>1301.3599999999999</v>
      </c>
      <c r="Q296" s="29">
        <v>0</v>
      </c>
      <c r="R296" s="29">
        <v>234.24</v>
      </c>
      <c r="S296" s="29">
        <v>1535.6</v>
      </c>
      <c r="T296" s="29">
        <v>11</v>
      </c>
    </row>
    <row r="297" spans="2:20" hidden="1" outlineLevel="2">
      <c r="B297" s="29">
        <v>957148</v>
      </c>
      <c r="C297" s="29">
        <v>67</v>
      </c>
      <c r="D297" s="29" t="s">
        <v>591</v>
      </c>
      <c r="E297" s="29">
        <v>16684</v>
      </c>
      <c r="F297" s="29" t="s">
        <v>642</v>
      </c>
      <c r="G297" s="263">
        <v>42088</v>
      </c>
      <c r="H297" s="29">
        <v>4</v>
      </c>
      <c r="I297" s="29">
        <v>25124</v>
      </c>
      <c r="J297" s="29">
        <v>27</v>
      </c>
      <c r="K297" s="29" t="e">
        <f>VLOOKUP(J297,#REF!,2,0)</f>
        <v>#REF!</v>
      </c>
      <c r="L297" s="29">
        <v>1897</v>
      </c>
      <c r="M297" s="29" t="s">
        <v>687</v>
      </c>
      <c r="N297" s="29">
        <v>6</v>
      </c>
      <c r="O297" s="29">
        <v>52.2</v>
      </c>
      <c r="P297" s="29">
        <v>1301.3599999999999</v>
      </c>
      <c r="Q297" s="29">
        <v>0</v>
      </c>
      <c r="R297" s="29">
        <v>234.24</v>
      </c>
      <c r="S297" s="29">
        <v>1535.6</v>
      </c>
      <c r="T297" s="29">
        <v>11</v>
      </c>
    </row>
    <row r="298" spans="2:20" hidden="1" outlineLevel="2">
      <c r="B298" s="29">
        <v>959097</v>
      </c>
      <c r="C298" s="29">
        <v>67</v>
      </c>
      <c r="D298" s="29" t="s">
        <v>591</v>
      </c>
      <c r="E298" s="29">
        <v>1158</v>
      </c>
      <c r="F298" s="29" t="s">
        <v>697</v>
      </c>
      <c r="G298" s="263">
        <v>42088</v>
      </c>
      <c r="H298" s="29">
        <v>4</v>
      </c>
      <c r="I298" s="29">
        <v>25149</v>
      </c>
      <c r="J298" s="29">
        <v>27</v>
      </c>
      <c r="K298" s="29" t="e">
        <f>VLOOKUP(J298,#REF!,2,0)</f>
        <v>#REF!</v>
      </c>
      <c r="L298" s="29">
        <v>1912</v>
      </c>
      <c r="M298" s="29" t="s">
        <v>670</v>
      </c>
      <c r="N298" s="29">
        <v>12</v>
      </c>
      <c r="O298" s="29">
        <v>67.62</v>
      </c>
      <c r="P298" s="29">
        <v>108.34</v>
      </c>
      <c r="Q298" s="29">
        <v>0</v>
      </c>
      <c r="R298" s="29">
        <v>19.5</v>
      </c>
      <c r="S298" s="29">
        <v>127.84</v>
      </c>
      <c r="T298" s="29">
        <v>11</v>
      </c>
    </row>
    <row r="299" spans="2:20" hidden="1" outlineLevel="2">
      <c r="B299" s="29">
        <v>959098</v>
      </c>
      <c r="C299" s="29">
        <v>67</v>
      </c>
      <c r="D299" s="29" t="s">
        <v>591</v>
      </c>
      <c r="E299" s="29">
        <v>17302</v>
      </c>
      <c r="F299" s="29" t="s">
        <v>698</v>
      </c>
      <c r="G299" s="263">
        <v>42088</v>
      </c>
      <c r="H299" s="29">
        <v>4</v>
      </c>
      <c r="I299" s="29">
        <v>25150</v>
      </c>
      <c r="J299" s="29">
        <v>27</v>
      </c>
      <c r="K299" s="29" t="e">
        <f>VLOOKUP(J299,#REF!,2,0)</f>
        <v>#REF!</v>
      </c>
      <c r="L299" s="29">
        <v>1912</v>
      </c>
      <c r="M299" s="29" t="s">
        <v>670</v>
      </c>
      <c r="N299" s="29">
        <v>12</v>
      </c>
      <c r="O299" s="29">
        <v>67.62</v>
      </c>
      <c r="P299" s="29">
        <v>369.63</v>
      </c>
      <c r="Q299" s="29">
        <v>0</v>
      </c>
      <c r="R299" s="29">
        <v>66.53</v>
      </c>
      <c r="S299" s="29">
        <v>436.16</v>
      </c>
      <c r="T299" s="29">
        <v>5</v>
      </c>
    </row>
    <row r="300" spans="2:20" hidden="1" outlineLevel="2">
      <c r="B300" s="29">
        <v>959098</v>
      </c>
      <c r="C300" s="29">
        <v>67</v>
      </c>
      <c r="D300" s="29" t="s">
        <v>591</v>
      </c>
      <c r="E300" s="29">
        <v>17302</v>
      </c>
      <c r="F300" s="29" t="s">
        <v>698</v>
      </c>
      <c r="G300" s="263">
        <v>42088</v>
      </c>
      <c r="H300" s="29">
        <v>4</v>
      </c>
      <c r="I300" s="29">
        <v>25150</v>
      </c>
      <c r="J300" s="29">
        <v>27</v>
      </c>
      <c r="K300" s="29" t="e">
        <f>VLOOKUP(J300,#REF!,2,0)</f>
        <v>#REF!</v>
      </c>
      <c r="L300" s="29">
        <v>5332</v>
      </c>
      <c r="M300" s="29" t="s">
        <v>671</v>
      </c>
      <c r="N300" s="29">
        <v>24</v>
      </c>
      <c r="O300" s="29">
        <v>129.30000000000001</v>
      </c>
      <c r="P300" s="29">
        <v>369.63</v>
      </c>
      <c r="Q300" s="29">
        <v>0</v>
      </c>
      <c r="R300" s="29">
        <v>66.53</v>
      </c>
      <c r="S300" s="29">
        <v>436.16</v>
      </c>
      <c r="T300" s="29">
        <v>5</v>
      </c>
    </row>
    <row r="301" spans="2:20" hidden="1" outlineLevel="2">
      <c r="B301" s="29">
        <v>959098</v>
      </c>
      <c r="C301" s="29">
        <v>67</v>
      </c>
      <c r="D301" s="29" t="s">
        <v>591</v>
      </c>
      <c r="E301" s="29">
        <v>17302</v>
      </c>
      <c r="F301" s="29" t="s">
        <v>698</v>
      </c>
      <c r="G301" s="263">
        <v>42088</v>
      </c>
      <c r="H301" s="29">
        <v>4</v>
      </c>
      <c r="I301" s="29">
        <v>25150</v>
      </c>
      <c r="J301" s="29">
        <v>27</v>
      </c>
      <c r="K301" s="29" t="e">
        <f>VLOOKUP(J301,#REF!,2,0)</f>
        <v>#REF!</v>
      </c>
      <c r="L301" s="29">
        <v>9561</v>
      </c>
      <c r="M301" s="29" t="s">
        <v>690</v>
      </c>
      <c r="N301" s="29">
        <v>24</v>
      </c>
      <c r="O301" s="29">
        <v>69.61</v>
      </c>
      <c r="P301" s="29">
        <v>369.63</v>
      </c>
      <c r="Q301" s="29">
        <v>0</v>
      </c>
      <c r="R301" s="29">
        <v>66.53</v>
      </c>
      <c r="S301" s="29">
        <v>436.16</v>
      </c>
      <c r="T301" s="29">
        <v>5</v>
      </c>
    </row>
    <row r="302" spans="2:20" hidden="1" outlineLevel="2">
      <c r="B302" s="29">
        <v>959122</v>
      </c>
      <c r="C302" s="29">
        <v>67</v>
      </c>
      <c r="D302" s="29" t="s">
        <v>591</v>
      </c>
      <c r="E302" s="29">
        <v>3925</v>
      </c>
      <c r="F302" s="29" t="s">
        <v>650</v>
      </c>
      <c r="G302" s="263">
        <v>42088</v>
      </c>
      <c r="H302" s="29">
        <v>4</v>
      </c>
      <c r="I302" s="29">
        <v>25160</v>
      </c>
      <c r="J302" s="29">
        <v>27</v>
      </c>
      <c r="K302" s="29" t="e">
        <f>VLOOKUP(J302,#REF!,2,0)</f>
        <v>#REF!</v>
      </c>
      <c r="L302" s="29">
        <v>5332</v>
      </c>
      <c r="M302" s="29" t="s">
        <v>671</v>
      </c>
      <c r="N302" s="29">
        <v>12</v>
      </c>
      <c r="O302" s="29">
        <v>70.53</v>
      </c>
      <c r="P302" s="29">
        <v>201.51</v>
      </c>
      <c r="Q302" s="29">
        <v>0</v>
      </c>
      <c r="R302" s="29">
        <v>36.270000000000003</v>
      </c>
      <c r="S302" s="29">
        <v>237.78</v>
      </c>
      <c r="T302" s="29">
        <v>8</v>
      </c>
    </row>
    <row r="303" spans="2:20" hidden="1" outlineLevel="2">
      <c r="B303" s="29">
        <v>959122</v>
      </c>
      <c r="C303" s="29">
        <v>67</v>
      </c>
      <c r="D303" s="29" t="s">
        <v>591</v>
      </c>
      <c r="E303" s="29">
        <v>3925</v>
      </c>
      <c r="F303" s="29" t="s">
        <v>650</v>
      </c>
      <c r="G303" s="263">
        <v>42088</v>
      </c>
      <c r="H303" s="29">
        <v>4</v>
      </c>
      <c r="I303" s="29">
        <v>25160</v>
      </c>
      <c r="J303" s="29">
        <v>27</v>
      </c>
      <c r="K303" s="29" t="e">
        <f>VLOOKUP(J303,#REF!,2,0)</f>
        <v>#REF!</v>
      </c>
      <c r="L303" s="29">
        <v>9561</v>
      </c>
      <c r="M303" s="29" t="s">
        <v>690</v>
      </c>
      <c r="N303" s="29">
        <v>12</v>
      </c>
      <c r="O303" s="29">
        <v>41.76</v>
      </c>
      <c r="P303" s="29">
        <v>201.51</v>
      </c>
      <c r="Q303" s="29">
        <v>0</v>
      </c>
      <c r="R303" s="29">
        <v>36.270000000000003</v>
      </c>
      <c r="S303" s="29">
        <v>237.78</v>
      </c>
      <c r="T303" s="29">
        <v>8</v>
      </c>
    </row>
    <row r="304" spans="2:20" hidden="1" outlineLevel="2">
      <c r="B304" s="29">
        <v>959144</v>
      </c>
      <c r="C304" s="29">
        <v>67</v>
      </c>
      <c r="D304" s="29" t="s">
        <v>591</v>
      </c>
      <c r="E304" s="29">
        <v>11855</v>
      </c>
      <c r="F304" s="29" t="s">
        <v>699</v>
      </c>
      <c r="G304" s="263">
        <v>42088</v>
      </c>
      <c r="H304" s="29">
        <v>4</v>
      </c>
      <c r="I304" s="29">
        <v>25183</v>
      </c>
      <c r="J304" s="29">
        <v>27</v>
      </c>
      <c r="K304" s="29" t="e">
        <f>VLOOKUP(J304,#REF!,2,0)</f>
        <v>#REF!</v>
      </c>
      <c r="L304" s="29">
        <v>1912</v>
      </c>
      <c r="M304" s="29" t="s">
        <v>670</v>
      </c>
      <c r="N304" s="29">
        <v>12</v>
      </c>
      <c r="O304" s="29">
        <v>67.62</v>
      </c>
      <c r="P304" s="29">
        <v>237.64</v>
      </c>
      <c r="Q304" s="29">
        <v>0</v>
      </c>
      <c r="R304" s="29">
        <v>42.78</v>
      </c>
      <c r="S304" s="29">
        <v>280.42</v>
      </c>
      <c r="T304" s="29">
        <v>8</v>
      </c>
    </row>
    <row r="305" spans="2:20" hidden="1" outlineLevel="2">
      <c r="B305" s="29">
        <v>959144</v>
      </c>
      <c r="C305" s="29">
        <v>67</v>
      </c>
      <c r="D305" s="29" t="s">
        <v>591</v>
      </c>
      <c r="E305" s="29">
        <v>11855</v>
      </c>
      <c r="F305" s="29" t="s">
        <v>699</v>
      </c>
      <c r="G305" s="263">
        <v>42088</v>
      </c>
      <c r="H305" s="29">
        <v>4</v>
      </c>
      <c r="I305" s="29">
        <v>25183</v>
      </c>
      <c r="J305" s="29">
        <v>27</v>
      </c>
      <c r="K305" s="29" t="e">
        <f>VLOOKUP(J305,#REF!,2,0)</f>
        <v>#REF!</v>
      </c>
      <c r="L305" s="29">
        <v>5332</v>
      </c>
      <c r="M305" s="29" t="s">
        <v>671</v>
      </c>
      <c r="N305" s="29">
        <v>24</v>
      </c>
      <c r="O305" s="29">
        <v>129.30000000000001</v>
      </c>
      <c r="P305" s="29">
        <v>237.64</v>
      </c>
      <c r="Q305" s="29">
        <v>0</v>
      </c>
      <c r="R305" s="29">
        <v>42.78</v>
      </c>
      <c r="S305" s="29">
        <v>280.42</v>
      </c>
      <c r="T305" s="29">
        <v>8</v>
      </c>
    </row>
    <row r="306" spans="2:20" hidden="1" outlineLevel="2">
      <c r="B306" s="29">
        <v>956714</v>
      </c>
      <c r="C306" s="29">
        <v>67</v>
      </c>
      <c r="D306" s="29" t="s">
        <v>591</v>
      </c>
      <c r="E306" s="29">
        <v>17037</v>
      </c>
      <c r="F306" s="29" t="s">
        <v>652</v>
      </c>
      <c r="G306" s="263">
        <v>42088</v>
      </c>
      <c r="H306" s="29">
        <v>4</v>
      </c>
      <c r="I306" s="29">
        <v>25120</v>
      </c>
      <c r="J306" s="29">
        <v>27</v>
      </c>
      <c r="K306" s="29" t="e">
        <f>VLOOKUP(J306,#REF!,2,0)</f>
        <v>#REF!</v>
      </c>
      <c r="L306" s="29">
        <v>12943</v>
      </c>
      <c r="M306" s="29" t="s">
        <v>668</v>
      </c>
      <c r="N306" s="29">
        <v>4</v>
      </c>
      <c r="O306" s="29">
        <v>34.130000000000003</v>
      </c>
      <c r="P306" s="29">
        <v>226.73</v>
      </c>
      <c r="Q306" s="29">
        <v>141.12</v>
      </c>
      <c r="R306" s="29">
        <v>40.81</v>
      </c>
      <c r="S306" s="29">
        <v>408.66</v>
      </c>
      <c r="T306" s="29">
        <v>11</v>
      </c>
    </row>
    <row r="307" spans="2:20" hidden="1" outlineLevel="2">
      <c r="B307" s="29">
        <v>956714</v>
      </c>
      <c r="C307" s="29">
        <v>67</v>
      </c>
      <c r="D307" s="29" t="s">
        <v>591</v>
      </c>
      <c r="E307" s="29">
        <v>17037</v>
      </c>
      <c r="F307" s="29" t="s">
        <v>652</v>
      </c>
      <c r="G307" s="263">
        <v>42088</v>
      </c>
      <c r="H307" s="29">
        <v>4</v>
      </c>
      <c r="I307" s="29">
        <v>25120</v>
      </c>
      <c r="J307" s="29">
        <v>27</v>
      </c>
      <c r="K307" s="29" t="e">
        <f>VLOOKUP(J307,#REF!,2,0)</f>
        <v>#REF!</v>
      </c>
      <c r="L307" s="29">
        <v>1912</v>
      </c>
      <c r="M307" s="29" t="s">
        <v>670</v>
      </c>
      <c r="N307" s="29">
        <v>24</v>
      </c>
      <c r="O307" s="29">
        <v>135.22999999999999</v>
      </c>
      <c r="P307" s="29">
        <v>226.73</v>
      </c>
      <c r="Q307" s="29">
        <v>141.12</v>
      </c>
      <c r="R307" s="29">
        <v>40.81</v>
      </c>
      <c r="S307" s="29">
        <v>408.66</v>
      </c>
      <c r="T307" s="29">
        <v>11</v>
      </c>
    </row>
    <row r="308" spans="2:20" hidden="1" outlineLevel="2">
      <c r="B308" s="29">
        <v>959083</v>
      </c>
      <c r="C308" s="29">
        <v>67</v>
      </c>
      <c r="D308" s="29" t="s">
        <v>591</v>
      </c>
      <c r="E308" s="29">
        <v>1370</v>
      </c>
      <c r="F308" s="29" t="s">
        <v>655</v>
      </c>
      <c r="G308" s="263">
        <v>42088</v>
      </c>
      <c r="H308" s="29">
        <v>4</v>
      </c>
      <c r="I308" s="29">
        <v>25139</v>
      </c>
      <c r="J308" s="29">
        <v>27</v>
      </c>
      <c r="K308" s="29" t="e">
        <f>VLOOKUP(J308,#REF!,2,0)</f>
        <v>#REF!</v>
      </c>
      <c r="L308" s="29">
        <v>1912</v>
      </c>
      <c r="M308" s="29" t="s">
        <v>670</v>
      </c>
      <c r="N308" s="29">
        <v>24</v>
      </c>
      <c r="O308" s="29">
        <v>135.22999999999999</v>
      </c>
      <c r="P308" s="29">
        <v>220.11</v>
      </c>
      <c r="Q308" s="29">
        <v>0</v>
      </c>
      <c r="R308" s="29">
        <v>39.619999999999997</v>
      </c>
      <c r="S308" s="29">
        <v>259.73</v>
      </c>
      <c r="T308" s="29">
        <v>10</v>
      </c>
    </row>
    <row r="309" spans="2:20" hidden="1" outlineLevel="2">
      <c r="B309" s="29">
        <v>959083</v>
      </c>
      <c r="C309" s="29">
        <v>67</v>
      </c>
      <c r="D309" s="29" t="s">
        <v>591</v>
      </c>
      <c r="E309" s="29">
        <v>1370</v>
      </c>
      <c r="F309" s="29" t="s">
        <v>655</v>
      </c>
      <c r="G309" s="263">
        <v>42088</v>
      </c>
      <c r="H309" s="29">
        <v>4</v>
      </c>
      <c r="I309" s="29">
        <v>25139</v>
      </c>
      <c r="J309" s="29">
        <v>27</v>
      </c>
      <c r="K309" s="29" t="e">
        <f>VLOOKUP(J309,#REF!,2,0)</f>
        <v>#REF!</v>
      </c>
      <c r="L309" s="29">
        <v>1897</v>
      </c>
      <c r="M309" s="29" t="s">
        <v>687</v>
      </c>
      <c r="N309" s="29">
        <v>4</v>
      </c>
      <c r="O309" s="29">
        <v>34.799999999999997</v>
      </c>
      <c r="P309" s="29">
        <v>220.11</v>
      </c>
      <c r="Q309" s="29">
        <v>0</v>
      </c>
      <c r="R309" s="29">
        <v>39.619999999999997</v>
      </c>
      <c r="S309" s="29">
        <v>259.73</v>
      </c>
      <c r="T309" s="29">
        <v>10</v>
      </c>
    </row>
    <row r="310" spans="2:20" hidden="1" outlineLevel="2">
      <c r="B310" s="29">
        <v>959084</v>
      </c>
      <c r="C310" s="29">
        <v>67</v>
      </c>
      <c r="D310" s="29" t="s">
        <v>591</v>
      </c>
      <c r="E310" s="29">
        <v>1556</v>
      </c>
      <c r="F310" s="29" t="s">
        <v>656</v>
      </c>
      <c r="G310" s="263">
        <v>42088</v>
      </c>
      <c r="H310" s="29">
        <v>4</v>
      </c>
      <c r="I310" s="29">
        <v>25140</v>
      </c>
      <c r="J310" s="29">
        <v>27</v>
      </c>
      <c r="K310" s="29" t="e">
        <f>VLOOKUP(J310,#REF!,2,0)</f>
        <v>#REF!</v>
      </c>
      <c r="L310" s="29">
        <v>12559</v>
      </c>
      <c r="M310" s="29" t="s">
        <v>684</v>
      </c>
      <c r="N310" s="29">
        <v>10</v>
      </c>
      <c r="O310" s="29">
        <v>93.11</v>
      </c>
      <c r="P310" s="29">
        <v>118.15</v>
      </c>
      <c r="Q310" s="29">
        <v>0</v>
      </c>
      <c r="R310" s="29">
        <v>21.27</v>
      </c>
      <c r="S310" s="29">
        <v>139.41999999999999</v>
      </c>
      <c r="T310" s="29">
        <v>10</v>
      </c>
    </row>
    <row r="311" spans="2:20" hidden="1" outlineLevel="2">
      <c r="B311" s="29">
        <v>959096</v>
      </c>
      <c r="C311" s="29">
        <v>67</v>
      </c>
      <c r="D311" s="29" t="s">
        <v>591</v>
      </c>
      <c r="E311" s="29">
        <v>17390</v>
      </c>
      <c r="F311" s="29" t="s">
        <v>700</v>
      </c>
      <c r="G311" s="263">
        <v>42088</v>
      </c>
      <c r="H311" s="29">
        <v>4</v>
      </c>
      <c r="I311" s="29">
        <v>25148</v>
      </c>
      <c r="J311" s="29">
        <v>27</v>
      </c>
      <c r="K311" s="29" t="e">
        <f>VLOOKUP(J311,#REF!,2,0)</f>
        <v>#REF!</v>
      </c>
      <c r="L311" s="29">
        <v>1912</v>
      </c>
      <c r="M311" s="29" t="s">
        <v>670</v>
      </c>
      <c r="N311" s="29">
        <v>12</v>
      </c>
      <c r="O311" s="29">
        <v>67.62</v>
      </c>
      <c r="P311" s="29">
        <v>350.25</v>
      </c>
      <c r="Q311" s="29">
        <v>0</v>
      </c>
      <c r="R311" s="29">
        <v>63.05</v>
      </c>
      <c r="S311" s="29">
        <v>413.3</v>
      </c>
      <c r="T311" s="29">
        <v>11</v>
      </c>
    </row>
    <row r="312" spans="2:20" hidden="1" outlineLevel="2">
      <c r="B312" s="29">
        <v>959096</v>
      </c>
      <c r="C312" s="29">
        <v>67</v>
      </c>
      <c r="D312" s="29" t="s">
        <v>591</v>
      </c>
      <c r="E312" s="29">
        <v>17390</v>
      </c>
      <c r="F312" s="29" t="s">
        <v>700</v>
      </c>
      <c r="G312" s="263">
        <v>42088</v>
      </c>
      <c r="H312" s="29">
        <v>4</v>
      </c>
      <c r="I312" s="29">
        <v>25148</v>
      </c>
      <c r="J312" s="29">
        <v>27</v>
      </c>
      <c r="K312" s="29" t="e">
        <f>VLOOKUP(J312,#REF!,2,0)</f>
        <v>#REF!</v>
      </c>
      <c r="L312" s="29">
        <v>1896</v>
      </c>
      <c r="M312" s="29" t="s">
        <v>680</v>
      </c>
      <c r="N312" s="29">
        <v>6</v>
      </c>
      <c r="O312" s="29">
        <v>59.71</v>
      </c>
      <c r="P312" s="29">
        <v>350.25</v>
      </c>
      <c r="Q312" s="29">
        <v>0</v>
      </c>
      <c r="R312" s="29">
        <v>63.05</v>
      </c>
      <c r="S312" s="29">
        <v>413.3</v>
      </c>
      <c r="T312" s="29">
        <v>11</v>
      </c>
    </row>
    <row r="313" spans="2:20" hidden="1" outlineLevel="2">
      <c r="B313" s="29">
        <v>959096</v>
      </c>
      <c r="C313" s="29">
        <v>67</v>
      </c>
      <c r="D313" s="29" t="s">
        <v>591</v>
      </c>
      <c r="E313" s="29">
        <v>17390</v>
      </c>
      <c r="F313" s="29" t="s">
        <v>700</v>
      </c>
      <c r="G313" s="263">
        <v>42088</v>
      </c>
      <c r="H313" s="29">
        <v>4</v>
      </c>
      <c r="I313" s="29">
        <v>25148</v>
      </c>
      <c r="J313" s="29">
        <v>27</v>
      </c>
      <c r="K313" s="29" t="e">
        <f>VLOOKUP(J313,#REF!,2,0)</f>
        <v>#REF!</v>
      </c>
      <c r="L313" s="29">
        <v>1897</v>
      </c>
      <c r="M313" s="29" t="s">
        <v>687</v>
      </c>
      <c r="N313" s="29">
        <v>6</v>
      </c>
      <c r="O313" s="29">
        <v>52.2</v>
      </c>
      <c r="P313" s="29">
        <v>350.25</v>
      </c>
      <c r="Q313" s="29">
        <v>0</v>
      </c>
      <c r="R313" s="29">
        <v>63.05</v>
      </c>
      <c r="S313" s="29">
        <v>413.3</v>
      </c>
      <c r="T313" s="29">
        <v>11</v>
      </c>
    </row>
    <row r="314" spans="2:20" hidden="1" outlineLevel="2">
      <c r="B314" s="29">
        <v>959100</v>
      </c>
      <c r="C314" s="29">
        <v>67</v>
      </c>
      <c r="D314" s="29" t="s">
        <v>591</v>
      </c>
      <c r="E314" s="29">
        <v>17028</v>
      </c>
      <c r="F314" s="29" t="s">
        <v>657</v>
      </c>
      <c r="G314" s="263">
        <v>42088</v>
      </c>
      <c r="H314" s="29">
        <v>4</v>
      </c>
      <c r="I314" s="29">
        <v>25151</v>
      </c>
      <c r="J314" s="29">
        <v>27</v>
      </c>
      <c r="K314" s="29" t="e">
        <f>VLOOKUP(J314,#REF!,2,0)</f>
        <v>#REF!</v>
      </c>
      <c r="L314" s="29">
        <v>1912</v>
      </c>
      <c r="M314" s="29" t="s">
        <v>670</v>
      </c>
      <c r="N314" s="29">
        <v>12</v>
      </c>
      <c r="O314" s="29">
        <v>67.62</v>
      </c>
      <c r="P314" s="29">
        <v>276.01</v>
      </c>
      <c r="Q314" s="29">
        <v>0</v>
      </c>
      <c r="R314" s="29">
        <v>49.68</v>
      </c>
      <c r="S314" s="29">
        <v>325.69</v>
      </c>
      <c r="T314" s="29">
        <v>11</v>
      </c>
    </row>
    <row r="315" spans="2:20" hidden="1" outlineLevel="2">
      <c r="B315" s="29">
        <v>959100</v>
      </c>
      <c r="C315" s="29">
        <v>67</v>
      </c>
      <c r="D315" s="29" t="s">
        <v>591</v>
      </c>
      <c r="E315" s="29">
        <v>17028</v>
      </c>
      <c r="F315" s="29" t="s">
        <v>657</v>
      </c>
      <c r="G315" s="263">
        <v>42088</v>
      </c>
      <c r="H315" s="29">
        <v>4</v>
      </c>
      <c r="I315" s="29">
        <v>25151</v>
      </c>
      <c r="J315" s="29">
        <v>27</v>
      </c>
      <c r="K315" s="29" t="e">
        <f>VLOOKUP(J315,#REF!,2,0)</f>
        <v>#REF!</v>
      </c>
      <c r="L315" s="29">
        <v>5332</v>
      </c>
      <c r="M315" s="29" t="s">
        <v>671</v>
      </c>
      <c r="N315" s="29">
        <v>6</v>
      </c>
      <c r="O315" s="29">
        <v>35.26</v>
      </c>
      <c r="P315" s="29">
        <v>276.01</v>
      </c>
      <c r="Q315" s="29">
        <v>0</v>
      </c>
      <c r="R315" s="29">
        <v>49.68</v>
      </c>
      <c r="S315" s="29">
        <v>325.69</v>
      </c>
      <c r="T315" s="29">
        <v>11</v>
      </c>
    </row>
    <row r="316" spans="2:20" hidden="1" outlineLevel="2">
      <c r="B316" s="29">
        <v>959100</v>
      </c>
      <c r="C316" s="29">
        <v>67</v>
      </c>
      <c r="D316" s="29" t="s">
        <v>591</v>
      </c>
      <c r="E316" s="29">
        <v>17028</v>
      </c>
      <c r="F316" s="29" t="s">
        <v>657</v>
      </c>
      <c r="G316" s="263">
        <v>42088</v>
      </c>
      <c r="H316" s="29">
        <v>4</v>
      </c>
      <c r="I316" s="29">
        <v>25151</v>
      </c>
      <c r="J316" s="29">
        <v>27</v>
      </c>
      <c r="K316" s="29" t="e">
        <f>VLOOKUP(J316,#REF!,2,0)</f>
        <v>#REF!</v>
      </c>
      <c r="L316" s="29">
        <v>1896</v>
      </c>
      <c r="M316" s="29" t="s">
        <v>680</v>
      </c>
      <c r="N316" s="29">
        <v>4</v>
      </c>
      <c r="O316" s="29">
        <v>39.81</v>
      </c>
      <c r="P316" s="29">
        <v>276.01</v>
      </c>
      <c r="Q316" s="29">
        <v>0</v>
      </c>
      <c r="R316" s="29">
        <v>49.68</v>
      </c>
      <c r="S316" s="29">
        <v>325.69</v>
      </c>
      <c r="T316" s="29">
        <v>11</v>
      </c>
    </row>
    <row r="317" spans="2:20" hidden="1" outlineLevel="2">
      <c r="B317" s="29">
        <v>959114</v>
      </c>
      <c r="C317" s="29">
        <v>67</v>
      </c>
      <c r="D317" s="29" t="s">
        <v>591</v>
      </c>
      <c r="E317" s="29">
        <v>1728</v>
      </c>
      <c r="F317" s="29" t="s">
        <v>701</v>
      </c>
      <c r="G317" s="263">
        <v>42088</v>
      </c>
      <c r="H317" s="29">
        <v>4</v>
      </c>
      <c r="I317" s="29">
        <v>25155</v>
      </c>
      <c r="J317" s="29">
        <v>27</v>
      </c>
      <c r="K317" s="29" t="e">
        <f>VLOOKUP(J317,#REF!,2,0)</f>
        <v>#REF!</v>
      </c>
      <c r="L317" s="29">
        <v>5332</v>
      </c>
      <c r="M317" s="29" t="s">
        <v>671</v>
      </c>
      <c r="N317" s="29">
        <v>24</v>
      </c>
      <c r="O317" s="29">
        <v>129.30000000000001</v>
      </c>
      <c r="P317" s="29">
        <v>217.85</v>
      </c>
      <c r="Q317" s="29">
        <v>0</v>
      </c>
      <c r="R317" s="29">
        <v>39.21</v>
      </c>
      <c r="S317" s="29">
        <v>257.06</v>
      </c>
      <c r="T317" s="29">
        <v>8</v>
      </c>
    </row>
    <row r="318" spans="2:20" hidden="1" outlineLevel="2">
      <c r="B318" s="29">
        <v>959114</v>
      </c>
      <c r="C318" s="29">
        <v>67</v>
      </c>
      <c r="D318" s="29" t="s">
        <v>591</v>
      </c>
      <c r="E318" s="29">
        <v>1728</v>
      </c>
      <c r="F318" s="29" t="s">
        <v>701</v>
      </c>
      <c r="G318" s="263">
        <v>42088</v>
      </c>
      <c r="H318" s="29">
        <v>4</v>
      </c>
      <c r="I318" s="29">
        <v>25155</v>
      </c>
      <c r="J318" s="29">
        <v>27</v>
      </c>
      <c r="K318" s="29" t="e">
        <f>VLOOKUP(J318,#REF!,2,0)</f>
        <v>#REF!</v>
      </c>
      <c r="L318" s="29">
        <v>12559</v>
      </c>
      <c r="M318" s="29" t="s">
        <v>684</v>
      </c>
      <c r="N318" s="29">
        <v>3</v>
      </c>
      <c r="O318" s="29">
        <v>27.93</v>
      </c>
      <c r="P318" s="29">
        <v>217.85</v>
      </c>
      <c r="Q318" s="29">
        <v>0</v>
      </c>
      <c r="R318" s="29">
        <v>39.21</v>
      </c>
      <c r="S318" s="29">
        <v>257.06</v>
      </c>
      <c r="T318" s="29">
        <v>8</v>
      </c>
    </row>
    <row r="319" spans="2:20" hidden="1" outlineLevel="2">
      <c r="B319" s="29">
        <v>959114</v>
      </c>
      <c r="C319" s="29">
        <v>67</v>
      </c>
      <c r="D319" s="29" t="s">
        <v>591</v>
      </c>
      <c r="E319" s="29">
        <v>1728</v>
      </c>
      <c r="F319" s="29" t="s">
        <v>701</v>
      </c>
      <c r="G319" s="263">
        <v>42088</v>
      </c>
      <c r="H319" s="29">
        <v>4</v>
      </c>
      <c r="I319" s="29">
        <v>25155</v>
      </c>
      <c r="J319" s="29">
        <v>27</v>
      </c>
      <c r="K319" s="29" t="e">
        <f>VLOOKUP(J319,#REF!,2,0)</f>
        <v>#REF!</v>
      </c>
      <c r="L319" s="29">
        <v>1896</v>
      </c>
      <c r="M319" s="29" t="s">
        <v>680</v>
      </c>
      <c r="N319" s="29">
        <v>2</v>
      </c>
      <c r="O319" s="29">
        <v>19.899999999999999</v>
      </c>
      <c r="P319" s="29">
        <v>217.85</v>
      </c>
      <c r="Q319" s="29">
        <v>0</v>
      </c>
      <c r="R319" s="29">
        <v>39.21</v>
      </c>
      <c r="S319" s="29">
        <v>257.06</v>
      </c>
      <c r="T319" s="29">
        <v>8</v>
      </c>
    </row>
    <row r="320" spans="2:20" hidden="1" outlineLevel="2">
      <c r="B320" s="29">
        <v>959123</v>
      </c>
      <c r="C320" s="29">
        <v>67</v>
      </c>
      <c r="D320" s="29" t="s">
        <v>591</v>
      </c>
      <c r="E320" s="29">
        <v>12618</v>
      </c>
      <c r="F320" s="29" t="s">
        <v>702</v>
      </c>
      <c r="G320" s="263">
        <v>42088</v>
      </c>
      <c r="H320" s="29">
        <v>4</v>
      </c>
      <c r="I320" s="29">
        <v>25161</v>
      </c>
      <c r="J320" s="29">
        <v>27</v>
      </c>
      <c r="K320" s="29" t="e">
        <f>VLOOKUP(J320,#REF!,2,0)</f>
        <v>#REF!</v>
      </c>
      <c r="L320" s="29">
        <v>5332</v>
      </c>
      <c r="M320" s="29" t="s">
        <v>671</v>
      </c>
      <c r="N320" s="29">
        <v>24</v>
      </c>
      <c r="O320" s="29">
        <v>129.30000000000001</v>
      </c>
      <c r="P320" s="29">
        <v>304.29000000000002</v>
      </c>
      <c r="Q320" s="29">
        <v>0</v>
      </c>
      <c r="R320" s="29">
        <v>54.77</v>
      </c>
      <c r="S320" s="29">
        <v>359.06</v>
      </c>
      <c r="T320" s="29">
        <v>8</v>
      </c>
    </row>
    <row r="321" spans="2:20" hidden="1" outlineLevel="2">
      <c r="B321" s="29">
        <v>959124</v>
      </c>
      <c r="C321" s="29">
        <v>67</v>
      </c>
      <c r="D321" s="29" t="s">
        <v>591</v>
      </c>
      <c r="E321" s="29">
        <v>11319</v>
      </c>
      <c r="F321" s="29" t="s">
        <v>703</v>
      </c>
      <c r="G321" s="263">
        <v>42088</v>
      </c>
      <c r="H321" s="29">
        <v>4</v>
      </c>
      <c r="I321" s="29">
        <v>25162</v>
      </c>
      <c r="J321" s="29">
        <v>27</v>
      </c>
      <c r="K321" s="29" t="e">
        <f>VLOOKUP(J321,#REF!,2,0)</f>
        <v>#REF!</v>
      </c>
      <c r="L321" s="29">
        <v>1912</v>
      </c>
      <c r="M321" s="29" t="s">
        <v>670</v>
      </c>
      <c r="N321" s="29">
        <v>24</v>
      </c>
      <c r="O321" s="29">
        <v>135.22999999999999</v>
      </c>
      <c r="P321" s="29">
        <v>331.26</v>
      </c>
      <c r="Q321" s="29">
        <v>0</v>
      </c>
      <c r="R321" s="29">
        <v>59.63</v>
      </c>
      <c r="S321" s="29">
        <v>390.89</v>
      </c>
      <c r="T321" s="29">
        <v>19</v>
      </c>
    </row>
    <row r="322" spans="2:20" hidden="1" outlineLevel="2">
      <c r="B322" s="29">
        <v>959124</v>
      </c>
      <c r="C322" s="29">
        <v>67</v>
      </c>
      <c r="D322" s="29" t="s">
        <v>591</v>
      </c>
      <c r="E322" s="29">
        <v>11319</v>
      </c>
      <c r="F322" s="29" t="s">
        <v>703</v>
      </c>
      <c r="G322" s="263">
        <v>42088</v>
      </c>
      <c r="H322" s="29">
        <v>4</v>
      </c>
      <c r="I322" s="29">
        <v>25162</v>
      </c>
      <c r="J322" s="29">
        <v>27</v>
      </c>
      <c r="K322" s="29" t="e">
        <f>VLOOKUP(J322,#REF!,2,0)</f>
        <v>#REF!</v>
      </c>
      <c r="L322" s="29">
        <v>5332</v>
      </c>
      <c r="M322" s="29" t="s">
        <v>671</v>
      </c>
      <c r="N322" s="29">
        <v>24</v>
      </c>
      <c r="O322" s="29">
        <v>129.30000000000001</v>
      </c>
      <c r="P322" s="29">
        <v>331.26</v>
      </c>
      <c r="Q322" s="29">
        <v>0</v>
      </c>
      <c r="R322" s="29">
        <v>59.63</v>
      </c>
      <c r="S322" s="29">
        <v>390.89</v>
      </c>
      <c r="T322" s="29">
        <v>19</v>
      </c>
    </row>
    <row r="323" spans="2:20" hidden="1" outlineLevel="2">
      <c r="B323" s="29">
        <v>959124</v>
      </c>
      <c r="C323" s="29">
        <v>67</v>
      </c>
      <c r="D323" s="29" t="s">
        <v>591</v>
      </c>
      <c r="E323" s="29">
        <v>11319</v>
      </c>
      <c r="F323" s="29" t="s">
        <v>703</v>
      </c>
      <c r="G323" s="263">
        <v>42088</v>
      </c>
      <c r="H323" s="29">
        <v>4</v>
      </c>
      <c r="I323" s="29">
        <v>25162</v>
      </c>
      <c r="J323" s="29">
        <v>27</v>
      </c>
      <c r="K323" s="29" t="e">
        <f>VLOOKUP(J323,#REF!,2,0)</f>
        <v>#REF!</v>
      </c>
      <c r="L323" s="29">
        <v>8274</v>
      </c>
      <c r="M323" s="29" t="s">
        <v>692</v>
      </c>
      <c r="N323" s="29">
        <v>1</v>
      </c>
      <c r="O323" s="29">
        <v>40.630000000000003</v>
      </c>
      <c r="P323" s="29">
        <v>331.26</v>
      </c>
      <c r="Q323" s="29">
        <v>0</v>
      </c>
      <c r="R323" s="29">
        <v>59.63</v>
      </c>
      <c r="S323" s="29">
        <v>390.89</v>
      </c>
      <c r="T323" s="29">
        <v>19</v>
      </c>
    </row>
    <row r="324" spans="2:20" hidden="1" outlineLevel="2">
      <c r="B324" s="29">
        <v>959124</v>
      </c>
      <c r="C324" s="29">
        <v>67</v>
      </c>
      <c r="D324" s="29" t="s">
        <v>591</v>
      </c>
      <c r="E324" s="29">
        <v>11319</v>
      </c>
      <c r="F324" s="29" t="s">
        <v>703</v>
      </c>
      <c r="G324" s="263">
        <v>42088</v>
      </c>
      <c r="H324" s="29">
        <v>4</v>
      </c>
      <c r="I324" s="29">
        <v>25162</v>
      </c>
      <c r="J324" s="29">
        <v>27</v>
      </c>
      <c r="K324" s="29" t="e">
        <f>VLOOKUP(J324,#REF!,2,0)</f>
        <v>#REF!</v>
      </c>
      <c r="L324" s="29">
        <v>1897</v>
      </c>
      <c r="M324" s="29" t="s">
        <v>687</v>
      </c>
      <c r="N324" s="29">
        <v>3</v>
      </c>
      <c r="O324" s="29">
        <v>26.1</v>
      </c>
      <c r="P324" s="29">
        <v>331.26</v>
      </c>
      <c r="Q324" s="29">
        <v>0</v>
      </c>
      <c r="R324" s="29">
        <v>59.63</v>
      </c>
      <c r="S324" s="29">
        <v>390.89</v>
      </c>
      <c r="T324" s="29">
        <v>19</v>
      </c>
    </row>
    <row r="325" spans="2:20" hidden="1" outlineLevel="2">
      <c r="B325" s="29">
        <v>959126</v>
      </c>
      <c r="C325" s="29">
        <v>67</v>
      </c>
      <c r="D325" s="29" t="s">
        <v>591</v>
      </c>
      <c r="E325" s="29">
        <v>8311</v>
      </c>
      <c r="F325" s="29" t="s">
        <v>704</v>
      </c>
      <c r="G325" s="263">
        <v>42088</v>
      </c>
      <c r="H325" s="29">
        <v>4</v>
      </c>
      <c r="I325" s="29">
        <v>25163</v>
      </c>
      <c r="J325" s="29">
        <v>27</v>
      </c>
      <c r="K325" s="29" t="e">
        <f>VLOOKUP(J325,#REF!,2,0)</f>
        <v>#REF!</v>
      </c>
      <c r="L325" s="29">
        <v>1912</v>
      </c>
      <c r="M325" s="29" t="s">
        <v>670</v>
      </c>
      <c r="N325" s="29">
        <v>2</v>
      </c>
      <c r="O325" s="29">
        <v>11.92</v>
      </c>
      <c r="P325" s="29">
        <v>62.59</v>
      </c>
      <c r="Q325" s="29">
        <v>0</v>
      </c>
      <c r="R325" s="29">
        <v>11.27</v>
      </c>
      <c r="S325" s="29">
        <v>73.86</v>
      </c>
      <c r="T325" s="29">
        <v>19</v>
      </c>
    </row>
    <row r="326" spans="2:20" hidden="1" outlineLevel="2">
      <c r="B326" s="29">
        <v>959126</v>
      </c>
      <c r="C326" s="29">
        <v>67</v>
      </c>
      <c r="D326" s="29" t="s">
        <v>591</v>
      </c>
      <c r="E326" s="29">
        <v>8311</v>
      </c>
      <c r="F326" s="29" t="s">
        <v>704</v>
      </c>
      <c r="G326" s="263">
        <v>42088</v>
      </c>
      <c r="H326" s="29">
        <v>4</v>
      </c>
      <c r="I326" s="29">
        <v>25163</v>
      </c>
      <c r="J326" s="29">
        <v>27</v>
      </c>
      <c r="K326" s="29" t="e">
        <f>VLOOKUP(J326,#REF!,2,0)</f>
        <v>#REF!</v>
      </c>
      <c r="L326" s="29">
        <v>1896</v>
      </c>
      <c r="M326" s="29" t="s">
        <v>680</v>
      </c>
      <c r="N326" s="29">
        <v>1</v>
      </c>
      <c r="O326" s="29">
        <v>9.9499999999999993</v>
      </c>
      <c r="P326" s="29">
        <v>62.59</v>
      </c>
      <c r="Q326" s="29">
        <v>0</v>
      </c>
      <c r="R326" s="29">
        <v>11.27</v>
      </c>
      <c r="S326" s="29">
        <v>73.86</v>
      </c>
      <c r="T326" s="29">
        <v>19</v>
      </c>
    </row>
    <row r="327" spans="2:20" hidden="1" outlineLevel="2">
      <c r="B327" s="29">
        <v>959197</v>
      </c>
      <c r="C327" s="29">
        <v>67</v>
      </c>
      <c r="D327" s="29" t="s">
        <v>591</v>
      </c>
      <c r="E327" s="29">
        <v>15484</v>
      </c>
      <c r="F327" s="29" t="s">
        <v>623</v>
      </c>
      <c r="G327" s="263">
        <v>42089</v>
      </c>
      <c r="H327" s="29">
        <v>4</v>
      </c>
      <c r="I327" s="29">
        <v>25196</v>
      </c>
      <c r="J327" s="29">
        <v>27</v>
      </c>
      <c r="K327" s="29" t="e">
        <f>VLOOKUP(J327,#REF!,2,0)</f>
        <v>#REF!</v>
      </c>
      <c r="L327" s="29">
        <v>1912</v>
      </c>
      <c r="M327" s="29" t="s">
        <v>670</v>
      </c>
      <c r="N327" s="29">
        <v>12</v>
      </c>
      <c r="O327" s="29">
        <v>67.62</v>
      </c>
      <c r="P327" s="29">
        <v>477.16</v>
      </c>
      <c r="Q327" s="29">
        <v>0</v>
      </c>
      <c r="R327" s="29">
        <v>85.89</v>
      </c>
      <c r="S327" s="29">
        <v>563.04999999999995</v>
      </c>
      <c r="T327" s="29">
        <v>19</v>
      </c>
    </row>
    <row r="328" spans="2:20" hidden="1" outlineLevel="2">
      <c r="B328" s="29">
        <v>959197</v>
      </c>
      <c r="C328" s="29">
        <v>67</v>
      </c>
      <c r="D328" s="29" t="s">
        <v>591</v>
      </c>
      <c r="E328" s="29">
        <v>15484</v>
      </c>
      <c r="F328" s="29" t="s">
        <v>623</v>
      </c>
      <c r="G328" s="263">
        <v>42089</v>
      </c>
      <c r="H328" s="29">
        <v>4</v>
      </c>
      <c r="I328" s="29">
        <v>25196</v>
      </c>
      <c r="J328" s="29">
        <v>27</v>
      </c>
      <c r="K328" s="29" t="e">
        <f>VLOOKUP(J328,#REF!,2,0)</f>
        <v>#REF!</v>
      </c>
      <c r="L328" s="29">
        <v>5332</v>
      </c>
      <c r="M328" s="29" t="s">
        <v>671</v>
      </c>
      <c r="N328" s="29">
        <v>12</v>
      </c>
      <c r="O328" s="29">
        <v>70.53</v>
      </c>
      <c r="P328" s="29">
        <v>477.16</v>
      </c>
      <c r="Q328" s="29">
        <v>0</v>
      </c>
      <c r="R328" s="29">
        <v>85.89</v>
      </c>
      <c r="S328" s="29">
        <v>563.04999999999995</v>
      </c>
      <c r="T328" s="29">
        <v>19</v>
      </c>
    </row>
    <row r="329" spans="2:20" hidden="1" outlineLevel="2">
      <c r="B329" s="29">
        <v>959197</v>
      </c>
      <c r="C329" s="29">
        <v>67</v>
      </c>
      <c r="D329" s="29" t="s">
        <v>591</v>
      </c>
      <c r="E329" s="29">
        <v>15484</v>
      </c>
      <c r="F329" s="29" t="s">
        <v>623</v>
      </c>
      <c r="G329" s="263">
        <v>42089</v>
      </c>
      <c r="H329" s="29">
        <v>4</v>
      </c>
      <c r="I329" s="29">
        <v>25196</v>
      </c>
      <c r="J329" s="29">
        <v>27</v>
      </c>
      <c r="K329" s="29" t="e">
        <f>VLOOKUP(J329,#REF!,2,0)</f>
        <v>#REF!</v>
      </c>
      <c r="L329" s="29">
        <v>9561</v>
      </c>
      <c r="M329" s="29" t="s">
        <v>690</v>
      </c>
      <c r="N329" s="29">
        <v>24</v>
      </c>
      <c r="O329" s="29">
        <v>69.61</v>
      </c>
      <c r="P329" s="29">
        <v>477.16</v>
      </c>
      <c r="Q329" s="29">
        <v>0</v>
      </c>
      <c r="R329" s="29">
        <v>85.89</v>
      </c>
      <c r="S329" s="29">
        <v>563.04999999999995</v>
      </c>
      <c r="T329" s="29">
        <v>19</v>
      </c>
    </row>
    <row r="330" spans="2:20" hidden="1" outlineLevel="2">
      <c r="B330" s="29">
        <v>959197</v>
      </c>
      <c r="C330" s="29">
        <v>67</v>
      </c>
      <c r="D330" s="29" t="s">
        <v>591</v>
      </c>
      <c r="E330" s="29">
        <v>15484</v>
      </c>
      <c r="F330" s="29" t="s">
        <v>623</v>
      </c>
      <c r="G330" s="263">
        <v>42089</v>
      </c>
      <c r="H330" s="29">
        <v>4</v>
      </c>
      <c r="I330" s="29">
        <v>25196</v>
      </c>
      <c r="J330" s="29">
        <v>27</v>
      </c>
      <c r="K330" s="29" t="e">
        <f>VLOOKUP(J330,#REF!,2,0)</f>
        <v>#REF!</v>
      </c>
      <c r="L330" s="29">
        <v>1897</v>
      </c>
      <c r="M330" s="29" t="s">
        <v>687</v>
      </c>
      <c r="N330" s="29">
        <v>6</v>
      </c>
      <c r="O330" s="29">
        <v>52.2</v>
      </c>
      <c r="P330" s="29">
        <v>477.16</v>
      </c>
      <c r="Q330" s="29">
        <v>0</v>
      </c>
      <c r="R330" s="29">
        <v>85.89</v>
      </c>
      <c r="S330" s="29">
        <v>563.04999999999995</v>
      </c>
      <c r="T330" s="29">
        <v>19</v>
      </c>
    </row>
    <row r="331" spans="2:20" hidden="1" outlineLevel="2">
      <c r="B331" s="29">
        <v>959195</v>
      </c>
      <c r="C331" s="29">
        <v>67</v>
      </c>
      <c r="D331" s="29" t="s">
        <v>591</v>
      </c>
      <c r="E331" s="29">
        <v>14408</v>
      </c>
      <c r="F331" s="29" t="s">
        <v>659</v>
      </c>
      <c r="G331" s="263">
        <v>42089</v>
      </c>
      <c r="H331" s="29">
        <v>4</v>
      </c>
      <c r="I331" s="29">
        <v>25194</v>
      </c>
      <c r="J331" s="29">
        <v>27</v>
      </c>
      <c r="K331" s="29" t="e">
        <f>VLOOKUP(J331,#REF!,2,0)</f>
        <v>#REF!</v>
      </c>
      <c r="L331" s="29">
        <v>1912</v>
      </c>
      <c r="M331" s="29" t="s">
        <v>670</v>
      </c>
      <c r="N331" s="29">
        <v>12</v>
      </c>
      <c r="O331" s="29">
        <v>67.62</v>
      </c>
      <c r="P331" s="29">
        <v>197.9</v>
      </c>
      <c r="Q331" s="29">
        <v>0</v>
      </c>
      <c r="R331" s="29">
        <v>35.619999999999997</v>
      </c>
      <c r="S331" s="29">
        <v>233.52</v>
      </c>
      <c r="T331" s="29">
        <v>19</v>
      </c>
    </row>
    <row r="332" spans="2:20" hidden="1" outlineLevel="2">
      <c r="B332" s="29">
        <v>959195</v>
      </c>
      <c r="C332" s="29">
        <v>67</v>
      </c>
      <c r="D332" s="29" t="s">
        <v>591</v>
      </c>
      <c r="E332" s="29">
        <v>14408</v>
      </c>
      <c r="F332" s="29" t="s">
        <v>659</v>
      </c>
      <c r="G332" s="263">
        <v>42089</v>
      </c>
      <c r="H332" s="29">
        <v>4</v>
      </c>
      <c r="I332" s="29">
        <v>25194</v>
      </c>
      <c r="J332" s="29">
        <v>27</v>
      </c>
      <c r="K332" s="29" t="e">
        <f>VLOOKUP(J332,#REF!,2,0)</f>
        <v>#REF!</v>
      </c>
      <c r="L332" s="29">
        <v>5332</v>
      </c>
      <c r="M332" s="29" t="s">
        <v>671</v>
      </c>
      <c r="N332" s="29">
        <v>12</v>
      </c>
      <c r="O332" s="29">
        <v>70.53</v>
      </c>
      <c r="P332" s="29">
        <v>197.9</v>
      </c>
      <c r="Q332" s="29">
        <v>0</v>
      </c>
      <c r="R332" s="29">
        <v>35.619999999999997</v>
      </c>
      <c r="S332" s="29">
        <v>233.52</v>
      </c>
      <c r="T332" s="29">
        <v>19</v>
      </c>
    </row>
    <row r="333" spans="2:20" hidden="1" outlineLevel="2">
      <c r="B333" s="29">
        <v>959196</v>
      </c>
      <c r="C333" s="29">
        <v>67</v>
      </c>
      <c r="D333" s="29" t="s">
        <v>591</v>
      </c>
      <c r="E333" s="29">
        <v>12431</v>
      </c>
      <c r="F333" s="29" t="s">
        <v>705</v>
      </c>
      <c r="G333" s="263">
        <v>42089</v>
      </c>
      <c r="H333" s="29">
        <v>4</v>
      </c>
      <c r="I333" s="29">
        <v>25195</v>
      </c>
      <c r="J333" s="29">
        <v>27</v>
      </c>
      <c r="K333" s="29" t="e">
        <f>VLOOKUP(J333,#REF!,2,0)</f>
        <v>#REF!</v>
      </c>
      <c r="L333" s="29">
        <v>1912</v>
      </c>
      <c r="M333" s="29" t="s">
        <v>670</v>
      </c>
      <c r="N333" s="29">
        <v>24</v>
      </c>
      <c r="O333" s="29">
        <v>135.22999999999999</v>
      </c>
      <c r="P333" s="29">
        <v>264.52999999999997</v>
      </c>
      <c r="Q333" s="29">
        <v>0</v>
      </c>
      <c r="R333" s="29">
        <v>47.62</v>
      </c>
      <c r="S333" s="29">
        <v>312.14999999999998</v>
      </c>
      <c r="T333" s="29">
        <v>8</v>
      </c>
    </row>
    <row r="334" spans="2:20" hidden="1" outlineLevel="2">
      <c r="B334" s="29">
        <v>959196</v>
      </c>
      <c r="C334" s="29">
        <v>67</v>
      </c>
      <c r="D334" s="29" t="s">
        <v>591</v>
      </c>
      <c r="E334" s="29">
        <v>12431</v>
      </c>
      <c r="F334" s="29" t="s">
        <v>705</v>
      </c>
      <c r="G334" s="263">
        <v>42089</v>
      </c>
      <c r="H334" s="29">
        <v>4</v>
      </c>
      <c r="I334" s="29">
        <v>25195</v>
      </c>
      <c r="J334" s="29">
        <v>27</v>
      </c>
      <c r="K334" s="29" t="e">
        <f>VLOOKUP(J334,#REF!,2,0)</f>
        <v>#REF!</v>
      </c>
      <c r="L334" s="29">
        <v>5332</v>
      </c>
      <c r="M334" s="29" t="s">
        <v>671</v>
      </c>
      <c r="N334" s="29">
        <v>24</v>
      </c>
      <c r="O334" s="29">
        <v>129.30000000000001</v>
      </c>
      <c r="P334" s="29">
        <v>264.52999999999997</v>
      </c>
      <c r="Q334" s="29">
        <v>0</v>
      </c>
      <c r="R334" s="29">
        <v>47.62</v>
      </c>
      <c r="S334" s="29">
        <v>312.14999999999998</v>
      </c>
      <c r="T334" s="29">
        <v>8</v>
      </c>
    </row>
    <row r="335" spans="2:20" hidden="1" outlineLevel="2">
      <c r="B335" s="29">
        <v>959205</v>
      </c>
      <c r="C335" s="29">
        <v>67</v>
      </c>
      <c r="D335" s="29" t="s">
        <v>591</v>
      </c>
      <c r="E335" s="29">
        <v>14461</v>
      </c>
      <c r="F335" s="29" t="s">
        <v>706</v>
      </c>
      <c r="G335" s="263">
        <v>42089</v>
      </c>
      <c r="H335" s="29">
        <v>4</v>
      </c>
      <c r="I335" s="29">
        <v>25207</v>
      </c>
      <c r="J335" s="29">
        <v>27</v>
      </c>
      <c r="K335" s="29" t="e">
        <f>VLOOKUP(J335,#REF!,2,0)</f>
        <v>#REF!</v>
      </c>
      <c r="L335" s="29">
        <v>1912</v>
      </c>
      <c r="M335" s="29" t="s">
        <v>670</v>
      </c>
      <c r="N335" s="29">
        <v>50</v>
      </c>
      <c r="O335" s="29">
        <v>281.74</v>
      </c>
      <c r="P335" s="29">
        <v>426.75</v>
      </c>
      <c r="Q335" s="29">
        <v>0</v>
      </c>
      <c r="R335" s="29">
        <v>76.819999999999993</v>
      </c>
      <c r="S335" s="29">
        <v>503.57</v>
      </c>
      <c r="T335" s="29">
        <v>19</v>
      </c>
    </row>
    <row r="336" spans="2:20" hidden="1" outlineLevel="2">
      <c r="B336" s="29">
        <v>959205</v>
      </c>
      <c r="C336" s="29">
        <v>67</v>
      </c>
      <c r="D336" s="29" t="s">
        <v>591</v>
      </c>
      <c r="E336" s="29">
        <v>14461</v>
      </c>
      <c r="F336" s="29" t="s">
        <v>706</v>
      </c>
      <c r="G336" s="263">
        <v>42089</v>
      </c>
      <c r="H336" s="29">
        <v>4</v>
      </c>
      <c r="I336" s="29">
        <v>25207</v>
      </c>
      <c r="J336" s="29">
        <v>27</v>
      </c>
      <c r="K336" s="29" t="e">
        <f>VLOOKUP(J336,#REF!,2,0)</f>
        <v>#REF!</v>
      </c>
      <c r="L336" s="29">
        <v>9561</v>
      </c>
      <c r="M336" s="29" t="s">
        <v>690</v>
      </c>
      <c r="N336" s="29">
        <v>50</v>
      </c>
      <c r="O336" s="29">
        <v>145.01</v>
      </c>
      <c r="P336" s="29">
        <v>426.75</v>
      </c>
      <c r="Q336" s="29">
        <v>0</v>
      </c>
      <c r="R336" s="29">
        <v>76.819999999999993</v>
      </c>
      <c r="S336" s="29">
        <v>503.57</v>
      </c>
      <c r="T336" s="29">
        <v>19</v>
      </c>
    </row>
    <row r="337" spans="2:20" hidden="1" outlineLevel="2">
      <c r="B337" s="29">
        <v>959101</v>
      </c>
      <c r="C337" s="29">
        <v>67</v>
      </c>
      <c r="D337" s="29" t="s">
        <v>591</v>
      </c>
      <c r="E337" s="29">
        <v>15820</v>
      </c>
      <c r="F337" s="29" t="s">
        <v>707</v>
      </c>
      <c r="G337" s="263">
        <v>42088</v>
      </c>
      <c r="H337" s="29">
        <v>4</v>
      </c>
      <c r="I337" s="29">
        <v>25152</v>
      </c>
      <c r="J337" s="29">
        <v>27</v>
      </c>
      <c r="K337" s="29" t="e">
        <f>VLOOKUP(J337,#REF!,2,0)</f>
        <v>#REF!</v>
      </c>
      <c r="L337" s="29">
        <v>1912</v>
      </c>
      <c r="M337" s="29" t="s">
        <v>670</v>
      </c>
      <c r="N337" s="29">
        <v>12</v>
      </c>
      <c r="O337" s="29">
        <v>67.62</v>
      </c>
      <c r="P337" s="29">
        <v>107.43</v>
      </c>
      <c r="Q337" s="29">
        <v>0</v>
      </c>
      <c r="R337" s="29">
        <v>19.34</v>
      </c>
      <c r="S337" s="29">
        <v>126.77</v>
      </c>
      <c r="T337" s="29">
        <v>11</v>
      </c>
    </row>
    <row r="338" spans="2:20" hidden="1" outlineLevel="2">
      <c r="B338" s="29">
        <v>959101</v>
      </c>
      <c r="C338" s="29">
        <v>67</v>
      </c>
      <c r="D338" s="29" t="s">
        <v>591</v>
      </c>
      <c r="E338" s="29">
        <v>15820</v>
      </c>
      <c r="F338" s="29" t="s">
        <v>707</v>
      </c>
      <c r="G338" s="263">
        <v>42088</v>
      </c>
      <c r="H338" s="29">
        <v>4</v>
      </c>
      <c r="I338" s="29">
        <v>25152</v>
      </c>
      <c r="J338" s="29">
        <v>27</v>
      </c>
      <c r="K338" s="29" t="e">
        <f>VLOOKUP(J338,#REF!,2,0)</f>
        <v>#REF!</v>
      </c>
      <c r="L338" s="29">
        <v>1896</v>
      </c>
      <c r="M338" s="29" t="s">
        <v>680</v>
      </c>
      <c r="N338" s="29">
        <v>4</v>
      </c>
      <c r="O338" s="29">
        <v>39.81</v>
      </c>
      <c r="P338" s="29">
        <v>107.43</v>
      </c>
      <c r="Q338" s="29">
        <v>0</v>
      </c>
      <c r="R338" s="29">
        <v>19.34</v>
      </c>
      <c r="S338" s="29">
        <v>126.77</v>
      </c>
      <c r="T338" s="29">
        <v>11</v>
      </c>
    </row>
    <row r="339" spans="2:20" hidden="1" outlineLevel="2">
      <c r="B339" s="29">
        <v>956506</v>
      </c>
      <c r="C339" s="29">
        <v>67</v>
      </c>
      <c r="D339" s="29" t="s">
        <v>591</v>
      </c>
      <c r="E339" s="29">
        <v>1646</v>
      </c>
      <c r="F339" s="29" t="s">
        <v>661</v>
      </c>
      <c r="G339" s="263">
        <v>42088</v>
      </c>
      <c r="H339" s="29">
        <v>4</v>
      </c>
      <c r="I339" s="29">
        <v>25116</v>
      </c>
      <c r="J339" s="29">
        <v>27</v>
      </c>
      <c r="K339" s="29" t="e">
        <f>VLOOKUP(J339,#REF!,2,0)</f>
        <v>#REF!</v>
      </c>
      <c r="L339" s="29">
        <v>13192</v>
      </c>
      <c r="M339" s="29" t="s">
        <v>669</v>
      </c>
      <c r="N339" s="29">
        <v>1</v>
      </c>
      <c r="O339" s="29">
        <v>36.79</v>
      </c>
      <c r="P339" s="29">
        <v>1343.79</v>
      </c>
      <c r="Q339" s="29">
        <v>0</v>
      </c>
      <c r="R339" s="29">
        <v>241.88</v>
      </c>
      <c r="S339" s="29">
        <v>1585.67</v>
      </c>
      <c r="T339" s="29">
        <v>14</v>
      </c>
    </row>
    <row r="340" spans="2:20" hidden="1" outlineLevel="2">
      <c r="B340" s="29">
        <v>956506</v>
      </c>
      <c r="C340" s="29">
        <v>67</v>
      </c>
      <c r="D340" s="29" t="s">
        <v>591</v>
      </c>
      <c r="E340" s="29">
        <v>1646</v>
      </c>
      <c r="F340" s="29" t="s">
        <v>661</v>
      </c>
      <c r="G340" s="263">
        <v>42088</v>
      </c>
      <c r="H340" s="29">
        <v>4</v>
      </c>
      <c r="I340" s="29">
        <v>25116</v>
      </c>
      <c r="J340" s="29">
        <v>27</v>
      </c>
      <c r="K340" s="29" t="e">
        <f>VLOOKUP(J340,#REF!,2,0)</f>
        <v>#REF!</v>
      </c>
      <c r="L340" s="29">
        <v>11038</v>
      </c>
      <c r="M340" s="29" t="s">
        <v>708</v>
      </c>
      <c r="N340" s="29">
        <v>3</v>
      </c>
      <c r="O340" s="29">
        <v>67.599999999999994</v>
      </c>
      <c r="P340" s="29">
        <v>1343.79</v>
      </c>
      <c r="Q340" s="29">
        <v>0</v>
      </c>
      <c r="R340" s="29">
        <v>241.88</v>
      </c>
      <c r="S340" s="29">
        <v>1585.67</v>
      </c>
      <c r="T340" s="29">
        <v>14</v>
      </c>
    </row>
    <row r="341" spans="2:20" hidden="1" outlineLevel="2">
      <c r="B341" s="29">
        <v>956506</v>
      </c>
      <c r="C341" s="29">
        <v>67</v>
      </c>
      <c r="D341" s="29" t="s">
        <v>591</v>
      </c>
      <c r="E341" s="29">
        <v>1646</v>
      </c>
      <c r="F341" s="29" t="s">
        <v>661</v>
      </c>
      <c r="G341" s="263">
        <v>42088</v>
      </c>
      <c r="H341" s="29">
        <v>4</v>
      </c>
      <c r="I341" s="29">
        <v>25116</v>
      </c>
      <c r="J341" s="29">
        <v>27</v>
      </c>
      <c r="K341" s="29" t="e">
        <f>VLOOKUP(J341,#REF!,2,0)</f>
        <v>#REF!</v>
      </c>
      <c r="L341" s="29">
        <v>1912</v>
      </c>
      <c r="M341" s="29" t="s">
        <v>670</v>
      </c>
      <c r="N341" s="29">
        <v>24</v>
      </c>
      <c r="O341" s="29">
        <v>135.22999999999999</v>
      </c>
      <c r="P341" s="29">
        <v>1343.79</v>
      </c>
      <c r="Q341" s="29">
        <v>0</v>
      </c>
      <c r="R341" s="29">
        <v>241.88</v>
      </c>
      <c r="S341" s="29">
        <v>1585.67</v>
      </c>
      <c r="T341" s="29">
        <v>14</v>
      </c>
    </row>
    <row r="342" spans="2:20" hidden="1" outlineLevel="2">
      <c r="B342" s="29">
        <v>956506</v>
      </c>
      <c r="C342" s="29">
        <v>67</v>
      </c>
      <c r="D342" s="29" t="s">
        <v>591</v>
      </c>
      <c r="E342" s="29">
        <v>1646</v>
      </c>
      <c r="F342" s="29" t="s">
        <v>661</v>
      </c>
      <c r="G342" s="263">
        <v>42088</v>
      </c>
      <c r="H342" s="29">
        <v>4</v>
      </c>
      <c r="I342" s="29">
        <v>25116</v>
      </c>
      <c r="J342" s="29">
        <v>27</v>
      </c>
      <c r="K342" s="29" t="e">
        <f>VLOOKUP(J342,#REF!,2,0)</f>
        <v>#REF!</v>
      </c>
      <c r="L342" s="29">
        <v>5332</v>
      </c>
      <c r="M342" s="29" t="s">
        <v>671</v>
      </c>
      <c r="N342" s="29">
        <v>100</v>
      </c>
      <c r="O342" s="29">
        <v>511.49</v>
      </c>
      <c r="P342" s="29">
        <v>1343.79</v>
      </c>
      <c r="Q342" s="29">
        <v>0</v>
      </c>
      <c r="R342" s="29">
        <v>241.88</v>
      </c>
      <c r="S342" s="29">
        <v>1585.67</v>
      </c>
      <c r="T342" s="29">
        <v>14</v>
      </c>
    </row>
    <row r="343" spans="2:20" hidden="1" outlineLevel="2">
      <c r="B343" s="29">
        <v>956506</v>
      </c>
      <c r="C343" s="29">
        <v>67</v>
      </c>
      <c r="D343" s="29" t="s">
        <v>591</v>
      </c>
      <c r="E343" s="29">
        <v>1646</v>
      </c>
      <c r="F343" s="29" t="s">
        <v>661</v>
      </c>
      <c r="G343" s="263">
        <v>42088</v>
      </c>
      <c r="H343" s="29">
        <v>4</v>
      </c>
      <c r="I343" s="29">
        <v>25116</v>
      </c>
      <c r="J343" s="29">
        <v>27</v>
      </c>
      <c r="K343" s="29" t="e">
        <f>VLOOKUP(J343,#REF!,2,0)</f>
        <v>#REF!</v>
      </c>
      <c r="L343" s="29">
        <v>9561</v>
      </c>
      <c r="M343" s="29" t="s">
        <v>690</v>
      </c>
      <c r="N343" s="29">
        <v>12</v>
      </c>
      <c r="O343" s="29">
        <v>41.76</v>
      </c>
      <c r="P343" s="29">
        <v>1343.79</v>
      </c>
      <c r="Q343" s="29">
        <v>0</v>
      </c>
      <c r="R343" s="29">
        <v>241.88</v>
      </c>
      <c r="S343" s="29">
        <v>1585.67</v>
      </c>
      <c r="T343" s="29">
        <v>14</v>
      </c>
    </row>
    <row r="344" spans="2:20" hidden="1" outlineLevel="2">
      <c r="B344" s="29">
        <v>956506</v>
      </c>
      <c r="C344" s="29">
        <v>67</v>
      </c>
      <c r="D344" s="29" t="s">
        <v>591</v>
      </c>
      <c r="E344" s="29">
        <v>1646</v>
      </c>
      <c r="F344" s="29" t="s">
        <v>661</v>
      </c>
      <c r="G344" s="263">
        <v>42088</v>
      </c>
      <c r="H344" s="29">
        <v>4</v>
      </c>
      <c r="I344" s="29">
        <v>25116</v>
      </c>
      <c r="J344" s="29">
        <v>27</v>
      </c>
      <c r="K344" s="29" t="e">
        <f>VLOOKUP(J344,#REF!,2,0)</f>
        <v>#REF!</v>
      </c>
      <c r="L344" s="29">
        <v>5420</v>
      </c>
      <c r="M344" s="29" t="s">
        <v>674</v>
      </c>
      <c r="N344" s="29">
        <v>1</v>
      </c>
      <c r="O344" s="29">
        <v>21.56</v>
      </c>
      <c r="P344" s="29">
        <v>1343.79</v>
      </c>
      <c r="Q344" s="29">
        <v>0</v>
      </c>
      <c r="R344" s="29">
        <v>241.88</v>
      </c>
      <c r="S344" s="29">
        <v>1585.67</v>
      </c>
      <c r="T344" s="29">
        <v>14</v>
      </c>
    </row>
    <row r="345" spans="2:20" hidden="1" outlineLevel="2">
      <c r="B345" s="29">
        <v>956506</v>
      </c>
      <c r="C345" s="29">
        <v>67</v>
      </c>
      <c r="D345" s="29" t="s">
        <v>591</v>
      </c>
      <c r="E345" s="29">
        <v>1646</v>
      </c>
      <c r="F345" s="29" t="s">
        <v>661</v>
      </c>
      <c r="G345" s="263">
        <v>42088</v>
      </c>
      <c r="H345" s="29">
        <v>4</v>
      </c>
      <c r="I345" s="29">
        <v>25116</v>
      </c>
      <c r="J345" s="29">
        <v>27</v>
      </c>
      <c r="K345" s="29" t="e">
        <f>VLOOKUP(J345,#REF!,2,0)</f>
        <v>#REF!</v>
      </c>
      <c r="L345" s="29">
        <v>5420</v>
      </c>
      <c r="M345" s="29" t="s">
        <v>674</v>
      </c>
      <c r="N345" s="29">
        <v>1</v>
      </c>
      <c r="O345" s="29">
        <v>21.56</v>
      </c>
      <c r="P345" s="29">
        <v>1343.79</v>
      </c>
      <c r="Q345" s="29">
        <v>0</v>
      </c>
      <c r="R345" s="29">
        <v>241.88</v>
      </c>
      <c r="S345" s="29">
        <v>1585.67</v>
      </c>
      <c r="T345" s="29">
        <v>14</v>
      </c>
    </row>
    <row r="346" spans="2:20" hidden="1" outlineLevel="2">
      <c r="B346" s="29">
        <v>956506</v>
      </c>
      <c r="C346" s="29">
        <v>67</v>
      </c>
      <c r="D346" s="29" t="s">
        <v>591</v>
      </c>
      <c r="E346" s="29">
        <v>1646</v>
      </c>
      <c r="F346" s="29" t="s">
        <v>661</v>
      </c>
      <c r="G346" s="263">
        <v>42088</v>
      </c>
      <c r="H346" s="29">
        <v>4</v>
      </c>
      <c r="I346" s="29">
        <v>25116</v>
      </c>
      <c r="J346" s="29">
        <v>27</v>
      </c>
      <c r="K346" s="29" t="e">
        <f>VLOOKUP(J346,#REF!,2,0)</f>
        <v>#REF!</v>
      </c>
      <c r="L346" s="29">
        <v>1889</v>
      </c>
      <c r="M346" s="29" t="s">
        <v>675</v>
      </c>
      <c r="N346" s="29">
        <v>2</v>
      </c>
      <c r="O346" s="29">
        <v>44.55</v>
      </c>
      <c r="P346" s="29">
        <v>1343.79</v>
      </c>
      <c r="Q346" s="29">
        <v>0</v>
      </c>
      <c r="R346" s="29">
        <v>241.88</v>
      </c>
      <c r="S346" s="29">
        <v>1585.67</v>
      </c>
      <c r="T346" s="29">
        <v>14</v>
      </c>
    </row>
    <row r="347" spans="2:20" hidden="1" outlineLevel="2">
      <c r="B347" s="29">
        <v>956506</v>
      </c>
      <c r="C347" s="29">
        <v>67</v>
      </c>
      <c r="D347" s="29" t="s">
        <v>591</v>
      </c>
      <c r="E347" s="29">
        <v>1646</v>
      </c>
      <c r="F347" s="29" t="s">
        <v>661</v>
      </c>
      <c r="G347" s="263">
        <v>42088</v>
      </c>
      <c r="H347" s="29">
        <v>4</v>
      </c>
      <c r="I347" s="29">
        <v>25116</v>
      </c>
      <c r="J347" s="29">
        <v>27</v>
      </c>
      <c r="K347" s="29" t="e">
        <f>VLOOKUP(J347,#REF!,2,0)</f>
        <v>#REF!</v>
      </c>
      <c r="L347" s="29">
        <v>8274</v>
      </c>
      <c r="M347" s="29" t="s">
        <v>692</v>
      </c>
      <c r="N347" s="29">
        <v>1</v>
      </c>
      <c r="O347" s="29">
        <v>40.630000000000003</v>
      </c>
      <c r="P347" s="29">
        <v>1343.79</v>
      </c>
      <c r="Q347" s="29">
        <v>0</v>
      </c>
      <c r="R347" s="29">
        <v>241.88</v>
      </c>
      <c r="S347" s="29">
        <v>1585.67</v>
      </c>
      <c r="T347" s="29">
        <v>14</v>
      </c>
    </row>
    <row r="348" spans="2:20" hidden="1" outlineLevel="2">
      <c r="B348" s="29">
        <v>956506</v>
      </c>
      <c r="C348" s="29">
        <v>67</v>
      </c>
      <c r="D348" s="29" t="s">
        <v>591</v>
      </c>
      <c r="E348" s="29">
        <v>1646</v>
      </c>
      <c r="F348" s="29" t="s">
        <v>661</v>
      </c>
      <c r="G348" s="263">
        <v>42088</v>
      </c>
      <c r="H348" s="29">
        <v>4</v>
      </c>
      <c r="I348" s="29">
        <v>25116</v>
      </c>
      <c r="J348" s="29">
        <v>27</v>
      </c>
      <c r="K348" s="29" t="e">
        <f>VLOOKUP(J348,#REF!,2,0)</f>
        <v>#REF!</v>
      </c>
      <c r="L348" s="29">
        <v>14009</v>
      </c>
      <c r="M348" s="29" t="s">
        <v>676</v>
      </c>
      <c r="N348" s="29">
        <v>1</v>
      </c>
      <c r="O348" s="29">
        <v>32.35</v>
      </c>
      <c r="P348" s="29">
        <v>1343.79</v>
      </c>
      <c r="Q348" s="29">
        <v>0</v>
      </c>
      <c r="R348" s="29">
        <v>241.88</v>
      </c>
      <c r="S348" s="29">
        <v>1585.67</v>
      </c>
      <c r="T348" s="29">
        <v>14</v>
      </c>
    </row>
    <row r="349" spans="2:20" hidden="1" outlineLevel="2">
      <c r="B349" s="29">
        <v>956506</v>
      </c>
      <c r="C349" s="29">
        <v>67</v>
      </c>
      <c r="D349" s="29" t="s">
        <v>591</v>
      </c>
      <c r="E349" s="29">
        <v>1646</v>
      </c>
      <c r="F349" s="29" t="s">
        <v>661</v>
      </c>
      <c r="G349" s="263">
        <v>42088</v>
      </c>
      <c r="H349" s="29">
        <v>4</v>
      </c>
      <c r="I349" s="29">
        <v>25116</v>
      </c>
      <c r="J349" s="29">
        <v>27</v>
      </c>
      <c r="K349" s="29" t="e">
        <f>VLOOKUP(J349,#REF!,2,0)</f>
        <v>#REF!</v>
      </c>
      <c r="L349" s="29">
        <v>1891</v>
      </c>
      <c r="M349" s="29" t="s">
        <v>709</v>
      </c>
      <c r="N349" s="29">
        <v>6</v>
      </c>
      <c r="O349" s="29">
        <v>123.55</v>
      </c>
      <c r="P349" s="29">
        <v>1343.79</v>
      </c>
      <c r="Q349" s="29">
        <v>0</v>
      </c>
      <c r="R349" s="29">
        <v>241.88</v>
      </c>
      <c r="S349" s="29">
        <v>1585.67</v>
      </c>
      <c r="T349" s="29">
        <v>14</v>
      </c>
    </row>
    <row r="350" spans="2:20" hidden="1" outlineLevel="2">
      <c r="B350" s="29">
        <v>956506</v>
      </c>
      <c r="C350" s="29">
        <v>67</v>
      </c>
      <c r="D350" s="29" t="s">
        <v>591</v>
      </c>
      <c r="E350" s="29">
        <v>1646</v>
      </c>
      <c r="F350" s="29" t="s">
        <v>661</v>
      </c>
      <c r="G350" s="263">
        <v>42088</v>
      </c>
      <c r="H350" s="29">
        <v>4</v>
      </c>
      <c r="I350" s="29">
        <v>25116</v>
      </c>
      <c r="J350" s="29">
        <v>27</v>
      </c>
      <c r="K350" s="29" t="e">
        <f>VLOOKUP(J350,#REF!,2,0)</f>
        <v>#REF!</v>
      </c>
      <c r="L350" s="29">
        <v>15323</v>
      </c>
      <c r="M350" s="29" t="s">
        <v>677</v>
      </c>
      <c r="N350" s="29">
        <v>1</v>
      </c>
      <c r="O350" s="29">
        <v>45.63</v>
      </c>
      <c r="P350" s="29">
        <v>1343.79</v>
      </c>
      <c r="Q350" s="29">
        <v>0</v>
      </c>
      <c r="R350" s="29">
        <v>241.88</v>
      </c>
      <c r="S350" s="29">
        <v>1585.67</v>
      </c>
      <c r="T350" s="29">
        <v>14</v>
      </c>
    </row>
    <row r="351" spans="2:20" hidden="1" outlineLevel="2">
      <c r="B351" s="29">
        <v>956506</v>
      </c>
      <c r="C351" s="29">
        <v>67</v>
      </c>
      <c r="D351" s="29" t="s">
        <v>591</v>
      </c>
      <c r="E351" s="29">
        <v>1646</v>
      </c>
      <c r="F351" s="29" t="s">
        <v>661</v>
      </c>
      <c r="G351" s="263">
        <v>42088</v>
      </c>
      <c r="H351" s="29">
        <v>4</v>
      </c>
      <c r="I351" s="29">
        <v>25116</v>
      </c>
      <c r="J351" s="29">
        <v>27</v>
      </c>
      <c r="K351" s="29" t="e">
        <f>VLOOKUP(J351,#REF!,2,0)</f>
        <v>#REF!</v>
      </c>
      <c r="L351" s="29">
        <v>1893</v>
      </c>
      <c r="M351" s="29" t="s">
        <v>686</v>
      </c>
      <c r="N351" s="29">
        <v>2</v>
      </c>
      <c r="O351" s="29">
        <v>45.86</v>
      </c>
      <c r="P351" s="29">
        <v>1343.79</v>
      </c>
      <c r="Q351" s="29">
        <v>0</v>
      </c>
      <c r="R351" s="29">
        <v>241.88</v>
      </c>
      <c r="S351" s="29">
        <v>1585.67</v>
      </c>
      <c r="T351" s="29">
        <v>14</v>
      </c>
    </row>
    <row r="352" spans="2:20" hidden="1" outlineLevel="2">
      <c r="B352" s="29">
        <v>956506</v>
      </c>
      <c r="C352" s="29">
        <v>67</v>
      </c>
      <c r="D352" s="29" t="s">
        <v>591</v>
      </c>
      <c r="E352" s="29">
        <v>1646</v>
      </c>
      <c r="F352" s="29" t="s">
        <v>661</v>
      </c>
      <c r="G352" s="263">
        <v>42088</v>
      </c>
      <c r="H352" s="29">
        <v>4</v>
      </c>
      <c r="I352" s="29">
        <v>25116</v>
      </c>
      <c r="J352" s="29">
        <v>27</v>
      </c>
      <c r="K352" s="29" t="e">
        <f>VLOOKUP(J352,#REF!,2,0)</f>
        <v>#REF!</v>
      </c>
      <c r="L352" s="29">
        <v>1896</v>
      </c>
      <c r="M352" s="29" t="s">
        <v>680</v>
      </c>
      <c r="N352" s="29">
        <v>5</v>
      </c>
      <c r="O352" s="29">
        <v>49.76</v>
      </c>
      <c r="P352" s="29">
        <v>1343.79</v>
      </c>
      <c r="Q352" s="29">
        <v>0</v>
      </c>
      <c r="R352" s="29">
        <v>241.88</v>
      </c>
      <c r="S352" s="29">
        <v>1585.67</v>
      </c>
      <c r="T352" s="29">
        <v>14</v>
      </c>
    </row>
    <row r="353" spans="2:20" hidden="1" outlineLevel="2">
      <c r="B353" s="29">
        <v>956506</v>
      </c>
      <c r="C353" s="29">
        <v>67</v>
      </c>
      <c r="D353" s="29" t="s">
        <v>591</v>
      </c>
      <c r="E353" s="29">
        <v>1646</v>
      </c>
      <c r="F353" s="29" t="s">
        <v>661</v>
      </c>
      <c r="G353" s="263">
        <v>42088</v>
      </c>
      <c r="H353" s="29">
        <v>4</v>
      </c>
      <c r="I353" s="29">
        <v>25116</v>
      </c>
      <c r="J353" s="29">
        <v>27</v>
      </c>
      <c r="K353" s="29" t="e">
        <f>VLOOKUP(J353,#REF!,2,0)</f>
        <v>#REF!</v>
      </c>
      <c r="L353" s="29">
        <v>1897</v>
      </c>
      <c r="M353" s="29" t="s">
        <v>687</v>
      </c>
      <c r="N353" s="29">
        <v>5</v>
      </c>
      <c r="O353" s="29">
        <v>43.5</v>
      </c>
      <c r="P353" s="29">
        <v>1343.79</v>
      </c>
      <c r="Q353" s="29">
        <v>0</v>
      </c>
      <c r="R353" s="29">
        <v>241.88</v>
      </c>
      <c r="S353" s="29">
        <v>1585.67</v>
      </c>
      <c r="T353" s="29">
        <v>14</v>
      </c>
    </row>
    <row r="354" spans="2:20" hidden="1" outlineLevel="2">
      <c r="B354" s="29">
        <v>956506</v>
      </c>
      <c r="C354" s="29">
        <v>67</v>
      </c>
      <c r="D354" s="29" t="s">
        <v>591</v>
      </c>
      <c r="E354" s="29">
        <v>1646</v>
      </c>
      <c r="F354" s="29" t="s">
        <v>661</v>
      </c>
      <c r="G354" s="263">
        <v>42088</v>
      </c>
      <c r="H354" s="29">
        <v>4</v>
      </c>
      <c r="I354" s="29">
        <v>25116</v>
      </c>
      <c r="J354" s="29">
        <v>27</v>
      </c>
      <c r="K354" s="29" t="e">
        <f>VLOOKUP(J354,#REF!,2,0)</f>
        <v>#REF!</v>
      </c>
      <c r="L354" s="29">
        <v>8425</v>
      </c>
      <c r="M354" s="29" t="s">
        <v>710</v>
      </c>
      <c r="N354" s="29">
        <v>2</v>
      </c>
      <c r="O354" s="29">
        <v>81.97</v>
      </c>
      <c r="P354" s="29">
        <v>1343.79</v>
      </c>
      <c r="Q354" s="29">
        <v>0</v>
      </c>
      <c r="R354" s="29">
        <v>241.88</v>
      </c>
      <c r="S354" s="29">
        <v>1585.67</v>
      </c>
      <c r="T354" s="29">
        <v>14</v>
      </c>
    </row>
    <row r="355" spans="2:20" hidden="1" outlineLevel="2">
      <c r="B355" s="29">
        <v>959855</v>
      </c>
      <c r="C355" s="29">
        <v>67</v>
      </c>
      <c r="D355" s="29" t="s">
        <v>591</v>
      </c>
      <c r="E355" s="29">
        <v>17056</v>
      </c>
      <c r="F355" s="29" t="s">
        <v>665</v>
      </c>
      <c r="G355" s="263">
        <v>42094</v>
      </c>
      <c r="H355" s="29">
        <v>4</v>
      </c>
      <c r="I355" s="29">
        <v>25574</v>
      </c>
      <c r="J355" s="29">
        <v>27</v>
      </c>
      <c r="K355" s="29" t="e">
        <f>VLOOKUP(J355,#REF!,2,0)</f>
        <v>#REF!</v>
      </c>
      <c r="L355" s="29">
        <v>5332</v>
      </c>
      <c r="M355" s="29" t="s">
        <v>671</v>
      </c>
      <c r="N355" s="29">
        <v>12</v>
      </c>
      <c r="O355" s="29">
        <v>70.53</v>
      </c>
      <c r="P355" s="29">
        <v>149.03</v>
      </c>
      <c r="Q355" s="29">
        <v>0</v>
      </c>
      <c r="R355" s="29">
        <v>26.83</v>
      </c>
      <c r="S355" s="29">
        <v>175.86</v>
      </c>
      <c r="T355" s="29">
        <v>11</v>
      </c>
    </row>
    <row r="356" spans="2:20" hidden="1" outlineLevel="2">
      <c r="B356" s="29">
        <v>959855</v>
      </c>
      <c r="C356" s="29">
        <v>67</v>
      </c>
      <c r="D356" s="29" t="s">
        <v>591</v>
      </c>
      <c r="E356" s="29">
        <v>17056</v>
      </c>
      <c r="F356" s="29" t="s">
        <v>665</v>
      </c>
      <c r="G356" s="263">
        <v>42094</v>
      </c>
      <c r="H356" s="29">
        <v>4</v>
      </c>
      <c r="I356" s="29">
        <v>25574</v>
      </c>
      <c r="J356" s="29">
        <v>27</v>
      </c>
      <c r="K356" s="29" t="e">
        <f>VLOOKUP(J356,#REF!,2,0)</f>
        <v>#REF!</v>
      </c>
      <c r="L356" s="29">
        <v>9561</v>
      </c>
      <c r="M356" s="29" t="s">
        <v>690</v>
      </c>
      <c r="N356" s="29">
        <v>6</v>
      </c>
      <c r="O356" s="29">
        <v>24.36</v>
      </c>
      <c r="P356" s="29">
        <v>149.03</v>
      </c>
      <c r="Q356" s="29">
        <v>0</v>
      </c>
      <c r="R356" s="29">
        <v>26.83</v>
      </c>
      <c r="S356" s="29">
        <v>175.86</v>
      </c>
      <c r="T356" s="29">
        <v>11</v>
      </c>
    </row>
    <row r="357" spans="2:20" outlineLevel="1" collapsed="1">
      <c r="G357" s="263"/>
      <c r="K357" s="59" t="s">
        <v>711</v>
      </c>
      <c r="O357" s="29">
        <f>SUBTOTAL(9,O215:O356)</f>
        <v>14922.600000000004</v>
      </c>
    </row>
    <row r="358" spans="2:20" hidden="1" outlineLevel="2">
      <c r="B358" s="29">
        <v>956918</v>
      </c>
      <c r="C358" s="29">
        <v>67</v>
      </c>
      <c r="D358" s="29" t="s">
        <v>591</v>
      </c>
      <c r="E358" s="29">
        <v>13104</v>
      </c>
      <c r="F358" s="29" t="s">
        <v>609</v>
      </c>
      <c r="G358" s="263">
        <v>42068</v>
      </c>
      <c r="H358" s="29">
        <v>4</v>
      </c>
      <c r="I358" s="29">
        <v>23869</v>
      </c>
      <c r="J358" s="29">
        <v>77</v>
      </c>
      <c r="K358" s="29" t="e">
        <f>VLOOKUP(J358,#REF!,2,0)</f>
        <v>#REF!</v>
      </c>
      <c r="L358" s="29">
        <v>9145</v>
      </c>
      <c r="M358" s="29" t="s">
        <v>712</v>
      </c>
      <c r="N358" s="29">
        <v>8</v>
      </c>
      <c r="O358" s="29">
        <v>96.72</v>
      </c>
      <c r="P358" s="29">
        <v>341.99</v>
      </c>
      <c r="Q358" s="29">
        <v>225.17</v>
      </c>
      <c r="R358" s="29">
        <v>61.56</v>
      </c>
      <c r="S358" s="29">
        <v>628.72</v>
      </c>
      <c r="T358" s="29">
        <v>10</v>
      </c>
    </row>
    <row r="359" spans="2:20" hidden="1" outlineLevel="2">
      <c r="B359" s="29">
        <v>957125</v>
      </c>
      <c r="C359" s="29">
        <v>67</v>
      </c>
      <c r="D359" s="29" t="s">
        <v>591</v>
      </c>
      <c r="E359" s="29">
        <v>14050</v>
      </c>
      <c r="F359" s="29" t="s">
        <v>617</v>
      </c>
      <c r="G359" s="263">
        <v>42072</v>
      </c>
      <c r="H359" s="29">
        <v>4</v>
      </c>
      <c r="I359" s="29">
        <v>23984</v>
      </c>
      <c r="J359" s="29">
        <v>77</v>
      </c>
      <c r="K359" s="29" t="e">
        <f>VLOOKUP(J359,#REF!,2,0)</f>
        <v>#REF!</v>
      </c>
      <c r="L359" s="29">
        <v>8291</v>
      </c>
      <c r="M359" s="29" t="s">
        <v>713</v>
      </c>
      <c r="N359" s="29">
        <v>1</v>
      </c>
      <c r="O359" s="29">
        <v>14.41</v>
      </c>
      <c r="P359" s="29">
        <v>50.32</v>
      </c>
      <c r="Q359" s="29">
        <v>35.369999999999997</v>
      </c>
      <c r="R359" s="29">
        <v>9.06</v>
      </c>
      <c r="S359" s="29">
        <v>94.75</v>
      </c>
      <c r="T359" s="29">
        <v>5</v>
      </c>
    </row>
    <row r="360" spans="2:20" hidden="1" outlineLevel="2">
      <c r="B360" s="29">
        <v>957124</v>
      </c>
      <c r="C360" s="29">
        <v>67</v>
      </c>
      <c r="D360" s="29" t="s">
        <v>591</v>
      </c>
      <c r="E360" s="29">
        <v>15008</v>
      </c>
      <c r="F360" s="29" t="s">
        <v>618</v>
      </c>
      <c r="G360" s="263">
        <v>42072</v>
      </c>
      <c r="H360" s="29">
        <v>4</v>
      </c>
      <c r="I360" s="29">
        <v>23985</v>
      </c>
      <c r="J360" s="29">
        <v>77</v>
      </c>
      <c r="K360" s="29" t="e">
        <f>VLOOKUP(J360,#REF!,2,0)</f>
        <v>#REF!</v>
      </c>
      <c r="L360" s="29">
        <v>8293</v>
      </c>
      <c r="M360" s="29" t="s">
        <v>714</v>
      </c>
      <c r="N360" s="29">
        <v>6</v>
      </c>
      <c r="O360" s="29">
        <v>58.44</v>
      </c>
      <c r="P360" s="29">
        <v>455.28</v>
      </c>
      <c r="Q360" s="29">
        <v>174.07</v>
      </c>
      <c r="R360" s="29">
        <v>81.95</v>
      </c>
      <c r="S360" s="29">
        <v>711.3</v>
      </c>
      <c r="T360" s="29">
        <v>5</v>
      </c>
    </row>
    <row r="361" spans="2:20" hidden="1" outlineLevel="2">
      <c r="B361" s="29">
        <v>957128</v>
      </c>
      <c r="C361" s="29">
        <v>67</v>
      </c>
      <c r="D361" s="29" t="s">
        <v>591</v>
      </c>
      <c r="E361" s="29">
        <v>14401</v>
      </c>
      <c r="F361" s="29" t="s">
        <v>620</v>
      </c>
      <c r="G361" s="263">
        <v>42073</v>
      </c>
      <c r="H361" s="29">
        <v>4</v>
      </c>
      <c r="I361" s="29">
        <v>23999</v>
      </c>
      <c r="J361" s="29">
        <v>77</v>
      </c>
      <c r="K361" s="29" t="e">
        <f>VLOOKUP(J361,#REF!,2,0)</f>
        <v>#REF!</v>
      </c>
      <c r="L361" s="29">
        <v>8297</v>
      </c>
      <c r="M361" s="29" t="s">
        <v>715</v>
      </c>
      <c r="N361" s="29">
        <v>2</v>
      </c>
      <c r="O361" s="29">
        <v>223.24</v>
      </c>
      <c r="P361" s="29">
        <v>298.69</v>
      </c>
      <c r="Q361" s="29">
        <v>0</v>
      </c>
      <c r="R361" s="29">
        <v>53.76</v>
      </c>
      <c r="S361" s="29">
        <v>352.45</v>
      </c>
      <c r="T361" s="29">
        <v>8</v>
      </c>
    </row>
    <row r="362" spans="2:20" hidden="1" outlineLevel="2">
      <c r="B362" s="29">
        <v>957204</v>
      </c>
      <c r="C362" s="29">
        <v>67</v>
      </c>
      <c r="D362" s="29" t="s">
        <v>591</v>
      </c>
      <c r="E362" s="29">
        <v>17402</v>
      </c>
      <c r="F362" s="29" t="s">
        <v>681</v>
      </c>
      <c r="G362" s="263">
        <v>42073</v>
      </c>
      <c r="H362" s="29">
        <v>4</v>
      </c>
      <c r="I362" s="29">
        <v>24029</v>
      </c>
      <c r="J362" s="29">
        <v>77</v>
      </c>
      <c r="K362" s="29" t="e">
        <f>VLOOKUP(J362,#REF!,2,0)</f>
        <v>#REF!</v>
      </c>
      <c r="L362" s="29">
        <v>8297</v>
      </c>
      <c r="M362" s="29" t="s">
        <v>715</v>
      </c>
      <c r="N362" s="29">
        <v>2</v>
      </c>
      <c r="O362" s="29">
        <v>223.24</v>
      </c>
      <c r="P362" s="29">
        <v>250.17</v>
      </c>
      <c r="Q362" s="29">
        <v>0</v>
      </c>
      <c r="R362" s="29">
        <v>45.03</v>
      </c>
      <c r="S362" s="29">
        <v>295.2</v>
      </c>
      <c r="T362" s="29">
        <v>8</v>
      </c>
    </row>
    <row r="363" spans="2:20" hidden="1" outlineLevel="2">
      <c r="B363" s="29">
        <v>957290</v>
      </c>
      <c r="C363" s="29">
        <v>67</v>
      </c>
      <c r="D363" s="29" t="s">
        <v>591</v>
      </c>
      <c r="E363" s="29">
        <v>13740</v>
      </c>
      <c r="F363" s="29" t="s">
        <v>622</v>
      </c>
      <c r="G363" s="263">
        <v>42073</v>
      </c>
      <c r="H363" s="29">
        <v>4</v>
      </c>
      <c r="I363" s="29">
        <v>24083</v>
      </c>
      <c r="J363" s="29">
        <v>77</v>
      </c>
      <c r="K363" s="29" t="e">
        <f>VLOOKUP(J363,#REF!,2,0)</f>
        <v>#REF!</v>
      </c>
      <c r="L363" s="29">
        <v>14833</v>
      </c>
      <c r="M363" s="29" t="s">
        <v>716</v>
      </c>
      <c r="N363" s="29">
        <v>10</v>
      </c>
      <c r="O363" s="29">
        <v>75.7</v>
      </c>
      <c r="P363" s="29">
        <v>100.47</v>
      </c>
      <c r="Q363" s="29">
        <v>0</v>
      </c>
      <c r="R363" s="29">
        <v>18.079999999999998</v>
      </c>
      <c r="S363" s="29">
        <v>118.55</v>
      </c>
      <c r="T363" s="29">
        <v>8</v>
      </c>
    </row>
    <row r="364" spans="2:20" hidden="1" outlineLevel="2">
      <c r="B364" s="29">
        <v>957290</v>
      </c>
      <c r="C364" s="29">
        <v>67</v>
      </c>
      <c r="D364" s="29" t="s">
        <v>591</v>
      </c>
      <c r="E364" s="29">
        <v>13740</v>
      </c>
      <c r="F364" s="29" t="s">
        <v>622</v>
      </c>
      <c r="G364" s="263">
        <v>42073</v>
      </c>
      <c r="H364" s="29">
        <v>4</v>
      </c>
      <c r="I364" s="29">
        <v>24083</v>
      </c>
      <c r="J364" s="29">
        <v>77</v>
      </c>
      <c r="K364" s="29" t="e">
        <f>VLOOKUP(J364,#REF!,2,0)</f>
        <v>#REF!</v>
      </c>
      <c r="L364" s="29">
        <v>8293</v>
      </c>
      <c r="M364" s="29" t="s">
        <v>714</v>
      </c>
      <c r="N364" s="29">
        <v>2</v>
      </c>
      <c r="O364" s="29">
        <v>19.73</v>
      </c>
      <c r="P364" s="29">
        <v>100.47</v>
      </c>
      <c r="Q364" s="29">
        <v>0</v>
      </c>
      <c r="R364" s="29">
        <v>18.079999999999998</v>
      </c>
      <c r="S364" s="29">
        <v>118.55</v>
      </c>
      <c r="T364" s="29">
        <v>8</v>
      </c>
    </row>
    <row r="365" spans="2:20" hidden="1" outlineLevel="2">
      <c r="B365" s="29">
        <v>957441</v>
      </c>
      <c r="C365" s="29">
        <v>67</v>
      </c>
      <c r="D365" s="29" t="s">
        <v>591</v>
      </c>
      <c r="E365" s="29">
        <v>1577</v>
      </c>
      <c r="F365" s="29" t="s">
        <v>683</v>
      </c>
      <c r="G365" s="263">
        <v>42074</v>
      </c>
      <c r="H365" s="29">
        <v>4</v>
      </c>
      <c r="I365" s="29">
        <v>24187</v>
      </c>
      <c r="J365" s="29">
        <v>77</v>
      </c>
      <c r="K365" s="29" t="e">
        <f>VLOOKUP(J365,#REF!,2,0)</f>
        <v>#REF!</v>
      </c>
      <c r="L365" s="29">
        <v>8288</v>
      </c>
      <c r="M365" s="29" t="s">
        <v>717</v>
      </c>
      <c r="N365" s="29">
        <v>1</v>
      </c>
      <c r="O365" s="29">
        <v>11.26</v>
      </c>
      <c r="P365" s="29">
        <v>303.18</v>
      </c>
      <c r="Q365" s="29">
        <v>0</v>
      </c>
      <c r="R365" s="29">
        <v>54.57</v>
      </c>
      <c r="S365" s="29">
        <v>357.75</v>
      </c>
      <c r="T365" s="29">
        <v>19</v>
      </c>
    </row>
    <row r="366" spans="2:20" hidden="1" outlineLevel="2">
      <c r="B366" s="29">
        <v>957441</v>
      </c>
      <c r="C366" s="29">
        <v>67</v>
      </c>
      <c r="D366" s="29" t="s">
        <v>591</v>
      </c>
      <c r="E366" s="29">
        <v>1577</v>
      </c>
      <c r="F366" s="29" t="s">
        <v>683</v>
      </c>
      <c r="G366" s="263">
        <v>42074</v>
      </c>
      <c r="H366" s="29">
        <v>4</v>
      </c>
      <c r="I366" s="29">
        <v>24187</v>
      </c>
      <c r="J366" s="29">
        <v>77</v>
      </c>
      <c r="K366" s="29" t="e">
        <f>VLOOKUP(J366,#REF!,2,0)</f>
        <v>#REF!</v>
      </c>
      <c r="L366" s="29">
        <v>8288</v>
      </c>
      <c r="M366" s="29" t="s">
        <v>717</v>
      </c>
      <c r="N366" s="29">
        <v>5</v>
      </c>
      <c r="O366" s="29">
        <v>56.32</v>
      </c>
      <c r="P366" s="29">
        <v>303.18</v>
      </c>
      <c r="Q366" s="29">
        <v>0</v>
      </c>
      <c r="R366" s="29">
        <v>54.57</v>
      </c>
      <c r="S366" s="29">
        <v>357.75</v>
      </c>
      <c r="T366" s="29">
        <v>19</v>
      </c>
    </row>
    <row r="367" spans="2:20" hidden="1" outlineLevel="2">
      <c r="B367" s="29">
        <v>957440</v>
      </c>
      <c r="C367" s="29">
        <v>67</v>
      </c>
      <c r="D367" s="29" t="s">
        <v>591</v>
      </c>
      <c r="E367" s="29">
        <v>15484</v>
      </c>
      <c r="F367" s="29" t="s">
        <v>623</v>
      </c>
      <c r="G367" s="263">
        <v>42074</v>
      </c>
      <c r="H367" s="29">
        <v>4</v>
      </c>
      <c r="I367" s="29">
        <v>24188</v>
      </c>
      <c r="J367" s="29">
        <v>77</v>
      </c>
      <c r="K367" s="29" t="e">
        <f>VLOOKUP(J367,#REF!,2,0)</f>
        <v>#REF!</v>
      </c>
      <c r="L367" s="29">
        <v>8291</v>
      </c>
      <c r="M367" s="29" t="s">
        <v>713</v>
      </c>
      <c r="N367" s="29">
        <v>3</v>
      </c>
      <c r="O367" s="29">
        <v>42.24</v>
      </c>
      <c r="P367" s="29">
        <v>443.05</v>
      </c>
      <c r="Q367" s="29">
        <v>0</v>
      </c>
      <c r="R367" s="29">
        <v>79.75</v>
      </c>
      <c r="S367" s="29">
        <v>522.79999999999995</v>
      </c>
      <c r="T367" s="29">
        <v>19</v>
      </c>
    </row>
    <row r="368" spans="2:20" hidden="1" outlineLevel="2">
      <c r="B368" s="29">
        <v>957440</v>
      </c>
      <c r="C368" s="29">
        <v>67</v>
      </c>
      <c r="D368" s="29" t="s">
        <v>591</v>
      </c>
      <c r="E368" s="29">
        <v>15484</v>
      </c>
      <c r="F368" s="29" t="s">
        <v>623</v>
      </c>
      <c r="G368" s="263">
        <v>42074</v>
      </c>
      <c r="H368" s="29">
        <v>4</v>
      </c>
      <c r="I368" s="29">
        <v>24188</v>
      </c>
      <c r="J368" s="29">
        <v>77</v>
      </c>
      <c r="K368" s="29" t="e">
        <f>VLOOKUP(J368,#REF!,2,0)</f>
        <v>#REF!</v>
      </c>
      <c r="L368" s="29">
        <v>8297</v>
      </c>
      <c r="M368" s="29" t="s">
        <v>715</v>
      </c>
      <c r="N368" s="29">
        <v>1</v>
      </c>
      <c r="O368" s="29">
        <v>113.9</v>
      </c>
      <c r="P368" s="29">
        <v>443.05</v>
      </c>
      <c r="Q368" s="29">
        <v>0</v>
      </c>
      <c r="R368" s="29">
        <v>79.75</v>
      </c>
      <c r="S368" s="29">
        <v>522.79999999999995</v>
      </c>
      <c r="T368" s="29">
        <v>19</v>
      </c>
    </row>
    <row r="369" spans="2:20" hidden="1" outlineLevel="2">
      <c r="B369" s="29">
        <v>959081</v>
      </c>
      <c r="C369" s="29">
        <v>67</v>
      </c>
      <c r="D369" s="29" t="s">
        <v>591</v>
      </c>
      <c r="E369" s="29">
        <v>1762</v>
      </c>
      <c r="F369" s="29" t="s">
        <v>685</v>
      </c>
      <c r="G369" s="263">
        <v>42088</v>
      </c>
      <c r="H369" s="29">
        <v>4</v>
      </c>
      <c r="I369" s="29">
        <v>25137</v>
      </c>
      <c r="J369" s="29">
        <v>77</v>
      </c>
      <c r="K369" s="29" t="e">
        <f>VLOOKUP(J369,#REF!,2,0)</f>
        <v>#REF!</v>
      </c>
      <c r="L369" s="29">
        <v>8300</v>
      </c>
      <c r="M369" s="29" t="s">
        <v>718</v>
      </c>
      <c r="N369" s="29">
        <v>26</v>
      </c>
      <c r="O369" s="29">
        <v>81.430000000000007</v>
      </c>
      <c r="P369" s="29">
        <v>239.2</v>
      </c>
      <c r="Q369" s="29">
        <v>0</v>
      </c>
      <c r="R369" s="29">
        <v>43.06</v>
      </c>
      <c r="S369" s="29">
        <v>282.26</v>
      </c>
      <c r="T369" s="29">
        <v>10</v>
      </c>
    </row>
    <row r="370" spans="2:20" hidden="1" outlineLevel="2">
      <c r="B370" s="29">
        <v>959086</v>
      </c>
      <c r="C370" s="29">
        <v>67</v>
      </c>
      <c r="D370" s="29" t="s">
        <v>591</v>
      </c>
      <c r="E370" s="29">
        <v>12277</v>
      </c>
      <c r="F370" s="29" t="s">
        <v>688</v>
      </c>
      <c r="G370" s="263">
        <v>42088</v>
      </c>
      <c r="H370" s="29">
        <v>4</v>
      </c>
      <c r="I370" s="29">
        <v>25142</v>
      </c>
      <c r="J370" s="29">
        <v>77</v>
      </c>
      <c r="K370" s="29" t="e">
        <f>VLOOKUP(J370,#REF!,2,0)</f>
        <v>#REF!</v>
      </c>
      <c r="L370" s="29">
        <v>14835</v>
      </c>
      <c r="M370" s="29" t="s">
        <v>719</v>
      </c>
      <c r="N370" s="29">
        <v>1</v>
      </c>
      <c r="O370" s="29">
        <v>33.81</v>
      </c>
      <c r="P370" s="29">
        <v>212.68</v>
      </c>
      <c r="Q370" s="29">
        <v>0</v>
      </c>
      <c r="R370" s="29">
        <v>38.28</v>
      </c>
      <c r="S370" s="29">
        <v>250.96</v>
      </c>
      <c r="T370" s="29">
        <v>10</v>
      </c>
    </row>
    <row r="371" spans="2:20" hidden="1" outlineLevel="2">
      <c r="B371" s="29">
        <v>959086</v>
      </c>
      <c r="C371" s="29">
        <v>67</v>
      </c>
      <c r="D371" s="29" t="s">
        <v>591</v>
      </c>
      <c r="E371" s="29">
        <v>12277</v>
      </c>
      <c r="F371" s="29" t="s">
        <v>688</v>
      </c>
      <c r="G371" s="263">
        <v>42088</v>
      </c>
      <c r="H371" s="29">
        <v>4</v>
      </c>
      <c r="I371" s="29">
        <v>25142</v>
      </c>
      <c r="J371" s="29">
        <v>77</v>
      </c>
      <c r="K371" s="29" t="e">
        <f>VLOOKUP(J371,#REF!,2,0)</f>
        <v>#REF!</v>
      </c>
      <c r="L371" s="29">
        <v>8300</v>
      </c>
      <c r="M371" s="29" t="s">
        <v>718</v>
      </c>
      <c r="N371" s="29">
        <v>13</v>
      </c>
      <c r="O371" s="29">
        <v>40.72</v>
      </c>
      <c r="P371" s="29">
        <v>212.68</v>
      </c>
      <c r="Q371" s="29">
        <v>0</v>
      </c>
      <c r="R371" s="29">
        <v>38.28</v>
      </c>
      <c r="S371" s="29">
        <v>250.96</v>
      </c>
      <c r="T371" s="29">
        <v>10</v>
      </c>
    </row>
    <row r="372" spans="2:20" hidden="1" outlineLevel="2">
      <c r="B372" s="29">
        <v>959092</v>
      </c>
      <c r="C372" s="29">
        <v>67</v>
      </c>
      <c r="D372" s="29" t="s">
        <v>591</v>
      </c>
      <c r="E372" s="29">
        <v>14160</v>
      </c>
      <c r="F372" s="29" t="s">
        <v>629</v>
      </c>
      <c r="G372" s="263">
        <v>42088</v>
      </c>
      <c r="H372" s="29">
        <v>4</v>
      </c>
      <c r="I372" s="29">
        <v>25145</v>
      </c>
      <c r="J372" s="29">
        <v>77</v>
      </c>
      <c r="K372" s="29" t="e">
        <f>VLOOKUP(J372,#REF!,2,0)</f>
        <v>#REF!</v>
      </c>
      <c r="L372" s="29">
        <v>8300</v>
      </c>
      <c r="M372" s="29" t="s">
        <v>718</v>
      </c>
      <c r="N372" s="29">
        <v>13</v>
      </c>
      <c r="O372" s="29">
        <v>40.72</v>
      </c>
      <c r="P372" s="29">
        <v>110.12</v>
      </c>
      <c r="Q372" s="29">
        <v>0</v>
      </c>
      <c r="R372" s="29">
        <v>19.82</v>
      </c>
      <c r="S372" s="29">
        <v>129.94</v>
      </c>
      <c r="T372" s="29">
        <v>11</v>
      </c>
    </row>
    <row r="373" spans="2:20" hidden="1" outlineLevel="2">
      <c r="B373" s="29">
        <v>959092</v>
      </c>
      <c r="C373" s="29">
        <v>67</v>
      </c>
      <c r="D373" s="29" t="s">
        <v>591</v>
      </c>
      <c r="E373" s="29">
        <v>14160</v>
      </c>
      <c r="F373" s="29" t="s">
        <v>629</v>
      </c>
      <c r="G373" s="263">
        <v>42088</v>
      </c>
      <c r="H373" s="29">
        <v>4</v>
      </c>
      <c r="I373" s="29">
        <v>25145</v>
      </c>
      <c r="J373" s="29">
        <v>77</v>
      </c>
      <c r="K373" s="29" t="e">
        <f>VLOOKUP(J373,#REF!,2,0)</f>
        <v>#REF!</v>
      </c>
      <c r="L373" s="29">
        <v>14857</v>
      </c>
      <c r="M373" s="29" t="s">
        <v>720</v>
      </c>
      <c r="N373" s="29">
        <v>1</v>
      </c>
      <c r="O373" s="29">
        <v>31.19</v>
      </c>
      <c r="P373" s="29">
        <v>110.12</v>
      </c>
      <c r="Q373" s="29">
        <v>0</v>
      </c>
      <c r="R373" s="29">
        <v>19.82</v>
      </c>
      <c r="S373" s="29">
        <v>129.94</v>
      </c>
      <c r="T373" s="29">
        <v>11</v>
      </c>
    </row>
    <row r="374" spans="2:20" hidden="1" outlineLevel="2">
      <c r="B374" s="29">
        <v>959113</v>
      </c>
      <c r="C374" s="29">
        <v>67</v>
      </c>
      <c r="D374" s="29" t="s">
        <v>591</v>
      </c>
      <c r="E374" s="29">
        <v>14401</v>
      </c>
      <c r="F374" s="29" t="s">
        <v>620</v>
      </c>
      <c r="G374" s="263">
        <v>42088</v>
      </c>
      <c r="H374" s="29">
        <v>4</v>
      </c>
      <c r="I374" s="29">
        <v>25154</v>
      </c>
      <c r="J374" s="29">
        <v>77</v>
      </c>
      <c r="K374" s="29" t="e">
        <f>VLOOKUP(J374,#REF!,2,0)</f>
        <v>#REF!</v>
      </c>
      <c r="L374" s="29">
        <v>8300</v>
      </c>
      <c r="M374" s="29" t="s">
        <v>718</v>
      </c>
      <c r="N374" s="29">
        <v>13</v>
      </c>
      <c r="O374" s="29">
        <v>40.72</v>
      </c>
      <c r="P374" s="29">
        <v>299.81</v>
      </c>
      <c r="Q374" s="29">
        <v>0</v>
      </c>
      <c r="R374" s="29">
        <v>53.97</v>
      </c>
      <c r="S374" s="29">
        <v>353.78</v>
      </c>
      <c r="T374" s="29">
        <v>8</v>
      </c>
    </row>
    <row r="375" spans="2:20" hidden="1" outlineLevel="2">
      <c r="B375" s="29">
        <v>959113</v>
      </c>
      <c r="C375" s="29">
        <v>67</v>
      </c>
      <c r="D375" s="29" t="s">
        <v>591</v>
      </c>
      <c r="E375" s="29">
        <v>14401</v>
      </c>
      <c r="F375" s="29" t="s">
        <v>620</v>
      </c>
      <c r="G375" s="263">
        <v>42088</v>
      </c>
      <c r="H375" s="29">
        <v>4</v>
      </c>
      <c r="I375" s="29">
        <v>25154</v>
      </c>
      <c r="J375" s="29">
        <v>77</v>
      </c>
      <c r="K375" s="29" t="e">
        <f>VLOOKUP(J375,#REF!,2,0)</f>
        <v>#REF!</v>
      </c>
      <c r="L375" s="29">
        <v>8300</v>
      </c>
      <c r="M375" s="29" t="s">
        <v>718</v>
      </c>
      <c r="N375" s="29">
        <v>13</v>
      </c>
      <c r="O375" s="29">
        <v>40.72</v>
      </c>
      <c r="P375" s="29">
        <v>299.81</v>
      </c>
      <c r="Q375" s="29">
        <v>0</v>
      </c>
      <c r="R375" s="29">
        <v>53.97</v>
      </c>
      <c r="S375" s="29">
        <v>353.78</v>
      </c>
      <c r="T375" s="29">
        <v>8</v>
      </c>
    </row>
    <row r="376" spans="2:20" hidden="1" outlineLevel="2">
      <c r="B376" s="29">
        <v>959121</v>
      </c>
      <c r="C376" s="29">
        <v>67</v>
      </c>
      <c r="D376" s="29" t="s">
        <v>591</v>
      </c>
      <c r="E376" s="29">
        <v>17376</v>
      </c>
      <c r="F376" s="29" t="s">
        <v>693</v>
      </c>
      <c r="G376" s="263">
        <v>42088</v>
      </c>
      <c r="H376" s="29">
        <v>4</v>
      </c>
      <c r="I376" s="29">
        <v>25159</v>
      </c>
      <c r="J376" s="29">
        <v>77</v>
      </c>
      <c r="K376" s="29" t="e">
        <f>VLOOKUP(J376,#REF!,2,0)</f>
        <v>#REF!</v>
      </c>
      <c r="L376" s="29">
        <v>8300</v>
      </c>
      <c r="M376" s="29" t="s">
        <v>718</v>
      </c>
      <c r="N376" s="29">
        <v>13</v>
      </c>
      <c r="O376" s="29">
        <v>40.72</v>
      </c>
      <c r="P376" s="29">
        <v>103.11</v>
      </c>
      <c r="Q376" s="29">
        <v>0</v>
      </c>
      <c r="R376" s="29">
        <v>18.559999999999999</v>
      </c>
      <c r="S376" s="29">
        <v>121.67</v>
      </c>
      <c r="T376" s="29">
        <v>8</v>
      </c>
    </row>
    <row r="377" spans="2:20" hidden="1" outlineLevel="2">
      <c r="B377" s="29">
        <v>959146</v>
      </c>
      <c r="C377" s="29">
        <v>67</v>
      </c>
      <c r="D377" s="29" t="s">
        <v>591</v>
      </c>
      <c r="E377" s="29">
        <v>13740</v>
      </c>
      <c r="F377" s="29" t="s">
        <v>622</v>
      </c>
      <c r="G377" s="263">
        <v>42088</v>
      </c>
      <c r="H377" s="29">
        <v>4</v>
      </c>
      <c r="I377" s="29">
        <v>25188</v>
      </c>
      <c r="J377" s="29">
        <v>77</v>
      </c>
      <c r="K377" s="29" t="e">
        <f>VLOOKUP(J377,#REF!,2,0)</f>
        <v>#REF!</v>
      </c>
      <c r="L377" s="29">
        <v>8300</v>
      </c>
      <c r="M377" s="29" t="s">
        <v>718</v>
      </c>
      <c r="N377" s="29">
        <v>13</v>
      </c>
      <c r="O377" s="29">
        <v>40.72</v>
      </c>
      <c r="P377" s="29">
        <v>213.73</v>
      </c>
      <c r="Q377" s="29">
        <v>0</v>
      </c>
      <c r="R377" s="29">
        <v>38.47</v>
      </c>
      <c r="S377" s="29">
        <v>252.2</v>
      </c>
      <c r="T377" s="29">
        <v>8</v>
      </c>
    </row>
    <row r="378" spans="2:20" hidden="1" outlineLevel="2">
      <c r="B378" s="29">
        <v>959146</v>
      </c>
      <c r="C378" s="29">
        <v>67</v>
      </c>
      <c r="D378" s="29" t="s">
        <v>591</v>
      </c>
      <c r="E378" s="29">
        <v>13740</v>
      </c>
      <c r="F378" s="29" t="s">
        <v>622</v>
      </c>
      <c r="G378" s="263">
        <v>42088</v>
      </c>
      <c r="H378" s="29">
        <v>4</v>
      </c>
      <c r="I378" s="29">
        <v>25188</v>
      </c>
      <c r="J378" s="29">
        <v>77</v>
      </c>
      <c r="K378" s="29" t="e">
        <f>VLOOKUP(J378,#REF!,2,0)</f>
        <v>#REF!</v>
      </c>
      <c r="L378" s="29">
        <v>14857</v>
      </c>
      <c r="M378" s="29" t="s">
        <v>720</v>
      </c>
      <c r="N378" s="29">
        <v>1</v>
      </c>
      <c r="O378" s="29">
        <v>31.19</v>
      </c>
      <c r="P378" s="29">
        <v>213.73</v>
      </c>
      <c r="Q378" s="29">
        <v>0</v>
      </c>
      <c r="R378" s="29">
        <v>38.47</v>
      </c>
      <c r="S378" s="29">
        <v>252.2</v>
      </c>
      <c r="T378" s="29">
        <v>8</v>
      </c>
    </row>
    <row r="379" spans="2:20" hidden="1" outlineLevel="2">
      <c r="B379" s="29">
        <v>959066</v>
      </c>
      <c r="C379" s="29">
        <v>67</v>
      </c>
      <c r="D379" s="29" t="s">
        <v>591</v>
      </c>
      <c r="E379" s="29">
        <v>13077</v>
      </c>
      <c r="F379" s="29" t="s">
        <v>631</v>
      </c>
      <c r="G379" s="263">
        <v>42088</v>
      </c>
      <c r="H379" s="29">
        <v>4</v>
      </c>
      <c r="I379" s="29">
        <v>25111</v>
      </c>
      <c r="J379" s="29">
        <v>77</v>
      </c>
      <c r="K379" s="29" t="e">
        <f>VLOOKUP(J379,#REF!,2,0)</f>
        <v>#REF!</v>
      </c>
      <c r="L379" s="29">
        <v>8300</v>
      </c>
      <c r="M379" s="29" t="s">
        <v>718</v>
      </c>
      <c r="N379" s="29">
        <v>300</v>
      </c>
      <c r="O379" s="29">
        <v>788.87</v>
      </c>
      <c r="P379" s="29">
        <v>3287.93</v>
      </c>
      <c r="Q379" s="29">
        <v>0</v>
      </c>
      <c r="R379" s="29">
        <v>591.83000000000004</v>
      </c>
      <c r="S379" s="29">
        <v>3879.76</v>
      </c>
      <c r="T379" s="29">
        <v>14</v>
      </c>
    </row>
    <row r="380" spans="2:20" hidden="1" outlineLevel="2">
      <c r="B380" s="29">
        <v>956505</v>
      </c>
      <c r="C380" s="29">
        <v>67</v>
      </c>
      <c r="D380" s="29" t="s">
        <v>591</v>
      </c>
      <c r="E380" s="29">
        <v>1646</v>
      </c>
      <c r="F380" s="29" t="s">
        <v>661</v>
      </c>
      <c r="G380" s="263">
        <v>42088</v>
      </c>
      <c r="H380" s="29">
        <v>4</v>
      </c>
      <c r="I380" s="29">
        <v>25117</v>
      </c>
      <c r="J380" s="29">
        <v>77</v>
      </c>
      <c r="K380" s="29" t="e">
        <f>VLOOKUP(J380,#REF!,2,0)</f>
        <v>#REF!</v>
      </c>
      <c r="L380" s="29">
        <v>14835</v>
      </c>
      <c r="M380" s="29" t="s">
        <v>719</v>
      </c>
      <c r="N380" s="29">
        <v>4</v>
      </c>
      <c r="O380" s="29">
        <v>135.25</v>
      </c>
      <c r="P380" s="29">
        <v>524.62</v>
      </c>
      <c r="Q380" s="29">
        <v>0</v>
      </c>
      <c r="R380" s="29">
        <v>94.43</v>
      </c>
      <c r="S380" s="29">
        <v>619.04999999999995</v>
      </c>
      <c r="T380" s="29">
        <v>14</v>
      </c>
    </row>
    <row r="381" spans="2:20" hidden="1" outlineLevel="2">
      <c r="B381" s="29">
        <v>956505</v>
      </c>
      <c r="C381" s="29">
        <v>67</v>
      </c>
      <c r="D381" s="29" t="s">
        <v>591</v>
      </c>
      <c r="E381" s="29">
        <v>1646</v>
      </c>
      <c r="F381" s="29" t="s">
        <v>661</v>
      </c>
      <c r="G381" s="263">
        <v>42088</v>
      </c>
      <c r="H381" s="29">
        <v>4</v>
      </c>
      <c r="I381" s="29">
        <v>25117</v>
      </c>
      <c r="J381" s="29">
        <v>77</v>
      </c>
      <c r="K381" s="29" t="e">
        <f>VLOOKUP(J381,#REF!,2,0)</f>
        <v>#REF!</v>
      </c>
      <c r="L381" s="29">
        <v>14840</v>
      </c>
      <c r="M381" s="29" t="s">
        <v>721</v>
      </c>
      <c r="N381" s="29">
        <v>3</v>
      </c>
      <c r="O381" s="29">
        <v>24.44</v>
      </c>
      <c r="P381" s="29">
        <v>524.62</v>
      </c>
      <c r="Q381" s="29">
        <v>0</v>
      </c>
      <c r="R381" s="29">
        <v>94.43</v>
      </c>
      <c r="S381" s="29">
        <v>619.04999999999995</v>
      </c>
      <c r="T381" s="29">
        <v>14</v>
      </c>
    </row>
    <row r="382" spans="2:20" hidden="1" outlineLevel="2">
      <c r="B382" s="29">
        <v>956505</v>
      </c>
      <c r="C382" s="29">
        <v>67</v>
      </c>
      <c r="D382" s="29" t="s">
        <v>591</v>
      </c>
      <c r="E382" s="29">
        <v>1646</v>
      </c>
      <c r="F382" s="29" t="s">
        <v>661</v>
      </c>
      <c r="G382" s="263">
        <v>42088</v>
      </c>
      <c r="H382" s="29">
        <v>4</v>
      </c>
      <c r="I382" s="29">
        <v>25117</v>
      </c>
      <c r="J382" s="29">
        <v>77</v>
      </c>
      <c r="K382" s="29" t="e">
        <f>VLOOKUP(J382,#REF!,2,0)</f>
        <v>#REF!</v>
      </c>
      <c r="L382" s="29">
        <v>8289</v>
      </c>
      <c r="M382" s="29" t="s">
        <v>722</v>
      </c>
      <c r="N382" s="29">
        <v>4</v>
      </c>
      <c r="O382" s="29">
        <v>37.28</v>
      </c>
      <c r="P382" s="29">
        <v>524.62</v>
      </c>
      <c r="Q382" s="29">
        <v>0</v>
      </c>
      <c r="R382" s="29">
        <v>94.43</v>
      </c>
      <c r="S382" s="29">
        <v>619.04999999999995</v>
      </c>
      <c r="T382" s="29">
        <v>14</v>
      </c>
    </row>
    <row r="383" spans="2:20" hidden="1" outlineLevel="2">
      <c r="B383" s="29">
        <v>956505</v>
      </c>
      <c r="C383" s="29">
        <v>67</v>
      </c>
      <c r="D383" s="29" t="s">
        <v>591</v>
      </c>
      <c r="E383" s="29">
        <v>1646</v>
      </c>
      <c r="F383" s="29" t="s">
        <v>661</v>
      </c>
      <c r="G383" s="263">
        <v>42088</v>
      </c>
      <c r="H383" s="29">
        <v>4</v>
      </c>
      <c r="I383" s="29">
        <v>25117</v>
      </c>
      <c r="J383" s="29">
        <v>77</v>
      </c>
      <c r="K383" s="29" t="e">
        <f>VLOOKUP(J383,#REF!,2,0)</f>
        <v>#REF!</v>
      </c>
      <c r="L383" s="29">
        <v>14845</v>
      </c>
      <c r="M383" s="29" t="s">
        <v>723</v>
      </c>
      <c r="N383" s="29">
        <v>4</v>
      </c>
      <c r="O383" s="29">
        <v>59.11</v>
      </c>
      <c r="P383" s="29">
        <v>524.62</v>
      </c>
      <c r="Q383" s="29">
        <v>0</v>
      </c>
      <c r="R383" s="29">
        <v>94.43</v>
      </c>
      <c r="S383" s="29">
        <v>619.04999999999995</v>
      </c>
      <c r="T383" s="29">
        <v>14</v>
      </c>
    </row>
    <row r="384" spans="2:20" hidden="1" outlineLevel="2">
      <c r="B384" s="29">
        <v>956505</v>
      </c>
      <c r="C384" s="29">
        <v>67</v>
      </c>
      <c r="D384" s="29" t="s">
        <v>591</v>
      </c>
      <c r="E384" s="29">
        <v>1646</v>
      </c>
      <c r="F384" s="29" t="s">
        <v>661</v>
      </c>
      <c r="G384" s="263">
        <v>42088</v>
      </c>
      <c r="H384" s="29">
        <v>4</v>
      </c>
      <c r="I384" s="29">
        <v>25117</v>
      </c>
      <c r="J384" s="29">
        <v>77</v>
      </c>
      <c r="K384" s="29" t="e">
        <f>VLOOKUP(J384,#REF!,2,0)</f>
        <v>#REF!</v>
      </c>
      <c r="L384" s="29">
        <v>9145</v>
      </c>
      <c r="M384" s="29" t="s">
        <v>712</v>
      </c>
      <c r="N384" s="29">
        <v>6</v>
      </c>
      <c r="O384" s="29">
        <v>72.540000000000006</v>
      </c>
      <c r="P384" s="29">
        <v>524.62</v>
      </c>
      <c r="Q384" s="29">
        <v>0</v>
      </c>
      <c r="R384" s="29">
        <v>94.43</v>
      </c>
      <c r="S384" s="29">
        <v>619.04999999999995</v>
      </c>
      <c r="T384" s="29">
        <v>14</v>
      </c>
    </row>
    <row r="385" spans="2:20" hidden="1" outlineLevel="2">
      <c r="B385" s="29">
        <v>956505</v>
      </c>
      <c r="C385" s="29">
        <v>67</v>
      </c>
      <c r="D385" s="29" t="s">
        <v>591</v>
      </c>
      <c r="E385" s="29">
        <v>1646</v>
      </c>
      <c r="F385" s="29" t="s">
        <v>661</v>
      </c>
      <c r="G385" s="263">
        <v>42088</v>
      </c>
      <c r="H385" s="29">
        <v>4</v>
      </c>
      <c r="I385" s="29">
        <v>25117</v>
      </c>
      <c r="J385" s="29">
        <v>77</v>
      </c>
      <c r="K385" s="29" t="e">
        <f>VLOOKUP(J385,#REF!,2,0)</f>
        <v>#REF!</v>
      </c>
      <c r="L385" s="29">
        <v>14852</v>
      </c>
      <c r="M385" s="29" t="s">
        <v>724</v>
      </c>
      <c r="N385" s="29">
        <v>2</v>
      </c>
      <c r="O385" s="29">
        <v>16</v>
      </c>
      <c r="P385" s="29">
        <v>524.62</v>
      </c>
      <c r="Q385" s="29">
        <v>0</v>
      </c>
      <c r="R385" s="29">
        <v>94.43</v>
      </c>
      <c r="S385" s="29">
        <v>619.04999999999995</v>
      </c>
      <c r="T385" s="29">
        <v>14</v>
      </c>
    </row>
    <row r="386" spans="2:20" hidden="1" outlineLevel="2">
      <c r="B386" s="29">
        <v>956505</v>
      </c>
      <c r="C386" s="29">
        <v>67</v>
      </c>
      <c r="D386" s="29" t="s">
        <v>591</v>
      </c>
      <c r="E386" s="29">
        <v>1646</v>
      </c>
      <c r="F386" s="29" t="s">
        <v>661</v>
      </c>
      <c r="G386" s="263">
        <v>42088</v>
      </c>
      <c r="H386" s="29">
        <v>4</v>
      </c>
      <c r="I386" s="29">
        <v>25117</v>
      </c>
      <c r="J386" s="29">
        <v>77</v>
      </c>
      <c r="K386" s="29" t="e">
        <f>VLOOKUP(J386,#REF!,2,0)</f>
        <v>#REF!</v>
      </c>
      <c r="L386" s="29">
        <v>8300</v>
      </c>
      <c r="M386" s="29" t="s">
        <v>718</v>
      </c>
      <c r="N386" s="29">
        <v>50</v>
      </c>
      <c r="O386" s="29">
        <v>152.25</v>
      </c>
      <c r="P386" s="29">
        <v>524.62</v>
      </c>
      <c r="Q386" s="29">
        <v>0</v>
      </c>
      <c r="R386" s="29">
        <v>94.43</v>
      </c>
      <c r="S386" s="29">
        <v>619.04999999999995</v>
      </c>
      <c r="T386" s="29">
        <v>14</v>
      </c>
    </row>
    <row r="387" spans="2:20" hidden="1" outlineLevel="2">
      <c r="B387" s="29">
        <v>956505</v>
      </c>
      <c r="C387" s="29">
        <v>67</v>
      </c>
      <c r="D387" s="29" t="s">
        <v>591</v>
      </c>
      <c r="E387" s="29">
        <v>1646</v>
      </c>
      <c r="F387" s="29" t="s">
        <v>661</v>
      </c>
      <c r="G387" s="263">
        <v>42088</v>
      </c>
      <c r="H387" s="29">
        <v>4</v>
      </c>
      <c r="I387" s="29">
        <v>25117</v>
      </c>
      <c r="J387" s="29">
        <v>77</v>
      </c>
      <c r="K387" s="29" t="e">
        <f>VLOOKUP(J387,#REF!,2,0)</f>
        <v>#REF!</v>
      </c>
      <c r="L387" s="29">
        <v>14864</v>
      </c>
      <c r="M387" s="29" t="s">
        <v>725</v>
      </c>
      <c r="N387" s="29">
        <v>3</v>
      </c>
      <c r="O387" s="29">
        <v>27.75</v>
      </c>
      <c r="P387" s="29">
        <v>524.62</v>
      </c>
      <c r="Q387" s="29">
        <v>0</v>
      </c>
      <c r="R387" s="29">
        <v>94.43</v>
      </c>
      <c r="S387" s="29">
        <v>619.04999999999995</v>
      </c>
      <c r="T387" s="29">
        <v>14</v>
      </c>
    </row>
    <row r="388" spans="2:20" hidden="1" outlineLevel="2">
      <c r="B388" s="29">
        <v>959141</v>
      </c>
      <c r="C388" s="29">
        <v>67</v>
      </c>
      <c r="D388" s="29" t="s">
        <v>591</v>
      </c>
      <c r="E388" s="29">
        <v>15435</v>
      </c>
      <c r="F388" s="29" t="s">
        <v>634</v>
      </c>
      <c r="G388" s="263">
        <v>42088</v>
      </c>
      <c r="H388" s="29">
        <v>4</v>
      </c>
      <c r="I388" s="29">
        <v>25180</v>
      </c>
      <c r="J388" s="29">
        <v>77</v>
      </c>
      <c r="K388" s="29" t="e">
        <f>VLOOKUP(J388,#REF!,2,0)</f>
        <v>#REF!</v>
      </c>
      <c r="L388" s="29">
        <v>14857</v>
      </c>
      <c r="M388" s="29" t="s">
        <v>720</v>
      </c>
      <c r="N388" s="29">
        <v>2</v>
      </c>
      <c r="O388" s="29">
        <v>62.38</v>
      </c>
      <c r="P388" s="29">
        <v>268.92</v>
      </c>
      <c r="Q388" s="29">
        <v>0</v>
      </c>
      <c r="R388" s="29">
        <v>48.41</v>
      </c>
      <c r="S388" s="29">
        <v>317.33</v>
      </c>
      <c r="T388" s="29">
        <v>5</v>
      </c>
    </row>
    <row r="389" spans="2:20" hidden="1" outlineLevel="2">
      <c r="B389" s="29">
        <v>959142</v>
      </c>
      <c r="C389" s="29">
        <v>67</v>
      </c>
      <c r="D389" s="29" t="s">
        <v>591</v>
      </c>
      <c r="E389" s="29">
        <v>17043</v>
      </c>
      <c r="F389" s="29" t="s">
        <v>635</v>
      </c>
      <c r="G389" s="263">
        <v>42088</v>
      </c>
      <c r="H389" s="29">
        <v>4</v>
      </c>
      <c r="I389" s="29">
        <v>25181</v>
      </c>
      <c r="J389" s="29">
        <v>77</v>
      </c>
      <c r="K389" s="29" t="e">
        <f>VLOOKUP(J389,#REF!,2,0)</f>
        <v>#REF!</v>
      </c>
      <c r="L389" s="29">
        <v>14835</v>
      </c>
      <c r="M389" s="29" t="s">
        <v>719</v>
      </c>
      <c r="N389" s="29">
        <v>1</v>
      </c>
      <c r="O389" s="29">
        <v>33.81</v>
      </c>
      <c r="P389" s="29">
        <v>268.94</v>
      </c>
      <c r="Q389" s="29">
        <v>0</v>
      </c>
      <c r="R389" s="29">
        <v>48.41</v>
      </c>
      <c r="S389" s="29">
        <v>317.35000000000002</v>
      </c>
      <c r="T389" s="29">
        <v>5</v>
      </c>
    </row>
    <row r="390" spans="2:20" hidden="1" outlineLevel="2">
      <c r="B390" s="29">
        <v>959143</v>
      </c>
      <c r="C390" s="29">
        <v>67</v>
      </c>
      <c r="D390" s="29" t="s">
        <v>591</v>
      </c>
      <c r="E390" s="29">
        <v>16381</v>
      </c>
      <c r="F390" s="29" t="s">
        <v>695</v>
      </c>
      <c r="G390" s="263">
        <v>42088</v>
      </c>
      <c r="H390" s="29">
        <v>4</v>
      </c>
      <c r="I390" s="29">
        <v>25182</v>
      </c>
      <c r="J390" s="29">
        <v>77</v>
      </c>
      <c r="K390" s="29" t="e">
        <f>VLOOKUP(J390,#REF!,2,0)</f>
        <v>#REF!</v>
      </c>
      <c r="L390" s="29">
        <v>14835</v>
      </c>
      <c r="M390" s="29" t="s">
        <v>719</v>
      </c>
      <c r="N390" s="29">
        <v>2</v>
      </c>
      <c r="O390" s="29">
        <v>67.62</v>
      </c>
      <c r="P390" s="29">
        <v>202.85</v>
      </c>
      <c r="Q390" s="29">
        <v>0</v>
      </c>
      <c r="R390" s="29">
        <v>36.51</v>
      </c>
      <c r="S390" s="29">
        <v>239.36</v>
      </c>
      <c r="T390" s="29">
        <v>8</v>
      </c>
    </row>
    <row r="391" spans="2:20" hidden="1" outlineLevel="2">
      <c r="B391" s="29">
        <v>959145</v>
      </c>
      <c r="C391" s="29">
        <v>67</v>
      </c>
      <c r="D391" s="29" t="s">
        <v>591</v>
      </c>
      <c r="E391" s="29">
        <v>13502</v>
      </c>
      <c r="F391" s="29" t="s">
        <v>696</v>
      </c>
      <c r="G391" s="263">
        <v>42088</v>
      </c>
      <c r="H391" s="29">
        <v>4</v>
      </c>
      <c r="I391" s="29">
        <v>25187</v>
      </c>
      <c r="J391" s="29">
        <v>77</v>
      </c>
      <c r="K391" s="29" t="e">
        <f>VLOOKUP(J391,#REF!,2,0)</f>
        <v>#REF!</v>
      </c>
      <c r="L391" s="29">
        <v>14835</v>
      </c>
      <c r="M391" s="29" t="s">
        <v>719</v>
      </c>
      <c r="N391" s="29">
        <v>1</v>
      </c>
      <c r="O391" s="29">
        <v>33.81</v>
      </c>
      <c r="P391" s="29">
        <v>224.16</v>
      </c>
      <c r="Q391" s="29">
        <v>0</v>
      </c>
      <c r="R391" s="29">
        <v>40.35</v>
      </c>
      <c r="S391" s="29">
        <v>264.51</v>
      </c>
      <c r="T391" s="29">
        <v>8</v>
      </c>
    </row>
    <row r="392" spans="2:20" hidden="1" outlineLevel="2">
      <c r="B392" s="29">
        <v>959145</v>
      </c>
      <c r="C392" s="29">
        <v>67</v>
      </c>
      <c r="D392" s="29" t="s">
        <v>591</v>
      </c>
      <c r="E392" s="29">
        <v>13502</v>
      </c>
      <c r="F392" s="29" t="s">
        <v>696</v>
      </c>
      <c r="G392" s="263">
        <v>42088</v>
      </c>
      <c r="H392" s="29">
        <v>4</v>
      </c>
      <c r="I392" s="29">
        <v>25187</v>
      </c>
      <c r="J392" s="29">
        <v>77</v>
      </c>
      <c r="K392" s="29" t="e">
        <f>VLOOKUP(J392,#REF!,2,0)</f>
        <v>#REF!</v>
      </c>
      <c r="L392" s="29">
        <v>14857</v>
      </c>
      <c r="M392" s="29" t="s">
        <v>720</v>
      </c>
      <c r="N392" s="29">
        <v>1</v>
      </c>
      <c r="O392" s="29">
        <v>31.19</v>
      </c>
      <c r="P392" s="29">
        <v>224.16</v>
      </c>
      <c r="Q392" s="29">
        <v>0</v>
      </c>
      <c r="R392" s="29">
        <v>40.35</v>
      </c>
      <c r="S392" s="29">
        <v>264.51</v>
      </c>
      <c r="T392" s="29">
        <v>8</v>
      </c>
    </row>
    <row r="393" spans="2:20" hidden="1" outlineLevel="2">
      <c r="B393" s="29">
        <v>959203</v>
      </c>
      <c r="C393" s="29">
        <v>67</v>
      </c>
      <c r="D393" s="29" t="s">
        <v>591</v>
      </c>
      <c r="E393" s="29">
        <v>16554</v>
      </c>
      <c r="F393" s="29" t="s">
        <v>637</v>
      </c>
      <c r="G393" s="263">
        <v>42089</v>
      </c>
      <c r="H393" s="29">
        <v>4</v>
      </c>
      <c r="I393" s="29">
        <v>25205</v>
      </c>
      <c r="J393" s="29">
        <v>77</v>
      </c>
      <c r="K393" s="29" t="e">
        <f>VLOOKUP(J393,#REF!,2,0)</f>
        <v>#REF!</v>
      </c>
      <c r="L393" s="29">
        <v>14857</v>
      </c>
      <c r="M393" s="29" t="s">
        <v>720</v>
      </c>
      <c r="N393" s="29">
        <v>1</v>
      </c>
      <c r="O393" s="29">
        <v>31.19</v>
      </c>
      <c r="P393" s="29">
        <v>488.29</v>
      </c>
      <c r="Q393" s="29">
        <v>0</v>
      </c>
      <c r="R393" s="29">
        <v>87.89</v>
      </c>
      <c r="S393" s="29">
        <v>576.17999999999995</v>
      </c>
      <c r="T393" s="29">
        <v>11</v>
      </c>
    </row>
    <row r="394" spans="2:20" hidden="1" outlineLevel="2">
      <c r="B394" s="29">
        <v>957254</v>
      </c>
      <c r="C394" s="29">
        <v>67</v>
      </c>
      <c r="D394" s="29" t="s">
        <v>591</v>
      </c>
      <c r="E394" s="29">
        <v>13077</v>
      </c>
      <c r="F394" s="29" t="s">
        <v>631</v>
      </c>
      <c r="G394" s="263">
        <v>42088</v>
      </c>
      <c r="H394" s="29">
        <v>4</v>
      </c>
      <c r="I394" s="29">
        <v>25125</v>
      </c>
      <c r="J394" s="29">
        <v>77</v>
      </c>
      <c r="K394" s="29" t="e">
        <f>VLOOKUP(J394,#REF!,2,0)</f>
        <v>#REF!</v>
      </c>
      <c r="L394" s="29">
        <v>8293</v>
      </c>
      <c r="M394" s="29" t="s">
        <v>714</v>
      </c>
      <c r="N394" s="29">
        <v>10</v>
      </c>
      <c r="O394" s="29">
        <v>90.58</v>
      </c>
      <c r="P394" s="29">
        <v>1407.94</v>
      </c>
      <c r="Q394" s="29">
        <v>0</v>
      </c>
      <c r="R394" s="29">
        <v>253.43</v>
      </c>
      <c r="S394" s="29">
        <v>1661.37</v>
      </c>
      <c r="T394" s="29">
        <v>14</v>
      </c>
    </row>
    <row r="395" spans="2:20" hidden="1" outlineLevel="2">
      <c r="B395" s="29">
        <v>959097</v>
      </c>
      <c r="C395" s="29">
        <v>67</v>
      </c>
      <c r="D395" s="29" t="s">
        <v>591</v>
      </c>
      <c r="E395" s="29">
        <v>1158</v>
      </c>
      <c r="F395" s="29" t="s">
        <v>697</v>
      </c>
      <c r="G395" s="263">
        <v>42088</v>
      </c>
      <c r="H395" s="29">
        <v>4</v>
      </c>
      <c r="I395" s="29">
        <v>25149</v>
      </c>
      <c r="J395" s="29">
        <v>77</v>
      </c>
      <c r="K395" s="29" t="e">
        <f>VLOOKUP(J395,#REF!,2,0)</f>
        <v>#REF!</v>
      </c>
      <c r="L395" s="29">
        <v>8300</v>
      </c>
      <c r="M395" s="29" t="s">
        <v>718</v>
      </c>
      <c r="N395" s="29">
        <v>13</v>
      </c>
      <c r="O395" s="29">
        <v>40.72</v>
      </c>
      <c r="P395" s="29">
        <v>108.34</v>
      </c>
      <c r="Q395" s="29">
        <v>0</v>
      </c>
      <c r="R395" s="29">
        <v>19.5</v>
      </c>
      <c r="S395" s="29">
        <v>127.84</v>
      </c>
      <c r="T395" s="29">
        <v>11</v>
      </c>
    </row>
    <row r="396" spans="2:20" hidden="1" outlineLevel="2">
      <c r="B396" s="29">
        <v>959098</v>
      </c>
      <c r="C396" s="29">
        <v>67</v>
      </c>
      <c r="D396" s="29" t="s">
        <v>591</v>
      </c>
      <c r="E396" s="29">
        <v>17302</v>
      </c>
      <c r="F396" s="29" t="s">
        <v>698</v>
      </c>
      <c r="G396" s="263">
        <v>42088</v>
      </c>
      <c r="H396" s="29">
        <v>4</v>
      </c>
      <c r="I396" s="29">
        <v>25150</v>
      </c>
      <c r="J396" s="29">
        <v>77</v>
      </c>
      <c r="K396" s="29" t="e">
        <f>VLOOKUP(J396,#REF!,2,0)</f>
        <v>#REF!</v>
      </c>
      <c r="L396" s="29">
        <v>8300</v>
      </c>
      <c r="M396" s="29" t="s">
        <v>718</v>
      </c>
      <c r="N396" s="29">
        <v>13</v>
      </c>
      <c r="O396" s="29">
        <v>40.72</v>
      </c>
      <c r="P396" s="29">
        <v>369.63</v>
      </c>
      <c r="Q396" s="29">
        <v>0</v>
      </c>
      <c r="R396" s="29">
        <v>66.53</v>
      </c>
      <c r="S396" s="29">
        <v>436.16</v>
      </c>
      <c r="T396" s="29">
        <v>5</v>
      </c>
    </row>
    <row r="397" spans="2:20" hidden="1" outlineLevel="2">
      <c r="B397" s="29">
        <v>959098</v>
      </c>
      <c r="C397" s="29">
        <v>67</v>
      </c>
      <c r="D397" s="29" t="s">
        <v>591</v>
      </c>
      <c r="E397" s="29">
        <v>17302</v>
      </c>
      <c r="F397" s="29" t="s">
        <v>698</v>
      </c>
      <c r="G397" s="263">
        <v>42088</v>
      </c>
      <c r="H397" s="29">
        <v>4</v>
      </c>
      <c r="I397" s="29">
        <v>25150</v>
      </c>
      <c r="J397" s="29">
        <v>77</v>
      </c>
      <c r="K397" s="29" t="e">
        <f>VLOOKUP(J397,#REF!,2,0)</f>
        <v>#REF!</v>
      </c>
      <c r="L397" s="29">
        <v>14857</v>
      </c>
      <c r="M397" s="29" t="s">
        <v>720</v>
      </c>
      <c r="N397" s="29">
        <v>2</v>
      </c>
      <c r="O397" s="29">
        <v>62.38</v>
      </c>
      <c r="P397" s="29">
        <v>369.63</v>
      </c>
      <c r="Q397" s="29">
        <v>0</v>
      </c>
      <c r="R397" s="29">
        <v>66.53</v>
      </c>
      <c r="S397" s="29">
        <v>436.16</v>
      </c>
      <c r="T397" s="29">
        <v>5</v>
      </c>
    </row>
    <row r="398" spans="2:20" hidden="1" outlineLevel="2">
      <c r="B398" s="29">
        <v>959122</v>
      </c>
      <c r="C398" s="29">
        <v>67</v>
      </c>
      <c r="D398" s="29" t="s">
        <v>591</v>
      </c>
      <c r="E398" s="29">
        <v>3925</v>
      </c>
      <c r="F398" s="29" t="s">
        <v>650</v>
      </c>
      <c r="G398" s="263">
        <v>42088</v>
      </c>
      <c r="H398" s="29">
        <v>4</v>
      </c>
      <c r="I398" s="29">
        <v>25160</v>
      </c>
      <c r="J398" s="29">
        <v>77</v>
      </c>
      <c r="K398" s="29" t="e">
        <f>VLOOKUP(J398,#REF!,2,0)</f>
        <v>#REF!</v>
      </c>
      <c r="L398" s="29">
        <v>14857</v>
      </c>
      <c r="M398" s="29" t="s">
        <v>720</v>
      </c>
      <c r="N398" s="29">
        <v>2</v>
      </c>
      <c r="O398" s="29">
        <v>62.38</v>
      </c>
      <c r="P398" s="29">
        <v>201.51</v>
      </c>
      <c r="Q398" s="29">
        <v>0</v>
      </c>
      <c r="R398" s="29">
        <v>36.270000000000003</v>
      </c>
      <c r="S398" s="29">
        <v>237.78</v>
      </c>
      <c r="T398" s="29">
        <v>8</v>
      </c>
    </row>
    <row r="399" spans="2:20" hidden="1" outlineLevel="2">
      <c r="B399" s="29">
        <v>959144</v>
      </c>
      <c r="C399" s="29">
        <v>67</v>
      </c>
      <c r="D399" s="29" t="s">
        <v>591</v>
      </c>
      <c r="E399" s="29">
        <v>11855</v>
      </c>
      <c r="F399" s="29" t="s">
        <v>699</v>
      </c>
      <c r="G399" s="263">
        <v>42088</v>
      </c>
      <c r="H399" s="29">
        <v>4</v>
      </c>
      <c r="I399" s="29">
        <v>25183</v>
      </c>
      <c r="J399" s="29">
        <v>77</v>
      </c>
      <c r="K399" s="29" t="e">
        <f>VLOOKUP(J399,#REF!,2,0)</f>
        <v>#REF!</v>
      </c>
      <c r="L399" s="29">
        <v>8300</v>
      </c>
      <c r="M399" s="29" t="s">
        <v>718</v>
      </c>
      <c r="N399" s="29">
        <v>13</v>
      </c>
      <c r="O399" s="29">
        <v>40.72</v>
      </c>
      <c r="P399" s="29">
        <v>237.64</v>
      </c>
      <c r="Q399" s="29">
        <v>0</v>
      </c>
      <c r="R399" s="29">
        <v>42.78</v>
      </c>
      <c r="S399" s="29">
        <v>280.42</v>
      </c>
      <c r="T399" s="29">
        <v>8</v>
      </c>
    </row>
    <row r="400" spans="2:20" hidden="1" outlineLevel="2">
      <c r="B400" s="29">
        <v>959111</v>
      </c>
      <c r="C400" s="29">
        <v>67</v>
      </c>
      <c r="D400" s="29" t="s">
        <v>591</v>
      </c>
      <c r="E400" s="29">
        <v>10456</v>
      </c>
      <c r="F400" s="29" t="s">
        <v>726</v>
      </c>
      <c r="G400" s="263">
        <v>42088</v>
      </c>
      <c r="H400" s="29">
        <v>4</v>
      </c>
      <c r="I400" s="29">
        <v>25184</v>
      </c>
      <c r="J400" s="29">
        <v>77</v>
      </c>
      <c r="K400" s="29" t="e">
        <f>VLOOKUP(J400,#REF!,2,0)</f>
        <v>#REF!</v>
      </c>
      <c r="L400" s="29">
        <v>8439</v>
      </c>
      <c r="M400" s="29" t="s">
        <v>727</v>
      </c>
      <c r="N400" s="29">
        <v>12</v>
      </c>
      <c r="O400" s="29">
        <v>144.35</v>
      </c>
      <c r="P400" s="29">
        <v>463.59</v>
      </c>
      <c r="Q400" s="29">
        <v>0</v>
      </c>
      <c r="R400" s="29">
        <v>83.45</v>
      </c>
      <c r="S400" s="29">
        <v>547.04</v>
      </c>
      <c r="T400" s="29">
        <v>14</v>
      </c>
    </row>
    <row r="401" spans="2:20" hidden="1" outlineLevel="2">
      <c r="B401" s="29">
        <v>959111</v>
      </c>
      <c r="C401" s="29">
        <v>67</v>
      </c>
      <c r="D401" s="29" t="s">
        <v>591</v>
      </c>
      <c r="E401" s="29">
        <v>10456</v>
      </c>
      <c r="F401" s="29" t="s">
        <v>726</v>
      </c>
      <c r="G401" s="263">
        <v>42088</v>
      </c>
      <c r="H401" s="29">
        <v>4</v>
      </c>
      <c r="I401" s="29">
        <v>25184</v>
      </c>
      <c r="J401" s="29">
        <v>77</v>
      </c>
      <c r="K401" s="29" t="e">
        <f>VLOOKUP(J401,#REF!,2,0)</f>
        <v>#REF!</v>
      </c>
      <c r="L401" s="29">
        <v>14854</v>
      </c>
      <c r="M401" s="29" t="s">
        <v>728</v>
      </c>
      <c r="N401" s="29">
        <v>20</v>
      </c>
      <c r="O401" s="29">
        <v>157.4</v>
      </c>
      <c r="P401" s="29">
        <v>463.59</v>
      </c>
      <c r="Q401" s="29">
        <v>0</v>
      </c>
      <c r="R401" s="29">
        <v>83.45</v>
      </c>
      <c r="S401" s="29">
        <v>547.04</v>
      </c>
      <c r="T401" s="29">
        <v>14</v>
      </c>
    </row>
    <row r="402" spans="2:20" hidden="1" outlineLevel="2">
      <c r="B402" s="29">
        <v>959111</v>
      </c>
      <c r="C402" s="29">
        <v>67</v>
      </c>
      <c r="D402" s="29" t="s">
        <v>591</v>
      </c>
      <c r="E402" s="29">
        <v>10456</v>
      </c>
      <c r="F402" s="29" t="s">
        <v>726</v>
      </c>
      <c r="G402" s="263">
        <v>42088</v>
      </c>
      <c r="H402" s="29">
        <v>4</v>
      </c>
      <c r="I402" s="29">
        <v>25184</v>
      </c>
      <c r="J402" s="29">
        <v>77</v>
      </c>
      <c r="K402" s="29" t="e">
        <f>VLOOKUP(J402,#REF!,2,0)</f>
        <v>#REF!</v>
      </c>
      <c r="L402" s="29">
        <v>8303</v>
      </c>
      <c r="M402" s="29" t="s">
        <v>729</v>
      </c>
      <c r="N402" s="29">
        <v>26</v>
      </c>
      <c r="O402" s="29">
        <v>158.87</v>
      </c>
      <c r="P402" s="29">
        <v>463.59</v>
      </c>
      <c r="Q402" s="29">
        <v>0</v>
      </c>
      <c r="R402" s="29">
        <v>83.45</v>
      </c>
      <c r="S402" s="29">
        <v>547.04</v>
      </c>
      <c r="T402" s="29">
        <v>14</v>
      </c>
    </row>
    <row r="403" spans="2:20" hidden="1" outlineLevel="2">
      <c r="B403" s="29">
        <v>957147</v>
      </c>
      <c r="C403" s="29">
        <v>67</v>
      </c>
      <c r="D403" s="29" t="s">
        <v>591</v>
      </c>
      <c r="E403" s="29">
        <v>16684</v>
      </c>
      <c r="F403" s="29" t="s">
        <v>642</v>
      </c>
      <c r="G403" s="263">
        <v>42088</v>
      </c>
      <c r="H403" s="29">
        <v>4</v>
      </c>
      <c r="I403" s="29">
        <v>25123</v>
      </c>
      <c r="J403" s="29">
        <v>77</v>
      </c>
      <c r="K403" s="29" t="e">
        <f>VLOOKUP(J403,#REF!,2,0)</f>
        <v>#REF!</v>
      </c>
      <c r="L403" s="29">
        <v>14833</v>
      </c>
      <c r="M403" s="29" t="s">
        <v>716</v>
      </c>
      <c r="N403" s="29">
        <v>12</v>
      </c>
      <c r="O403" s="29">
        <v>90.83</v>
      </c>
      <c r="P403" s="29">
        <v>1672.96</v>
      </c>
      <c r="Q403" s="29">
        <v>70.73</v>
      </c>
      <c r="R403" s="29">
        <v>301.13</v>
      </c>
      <c r="S403" s="29">
        <v>2044.82</v>
      </c>
      <c r="T403" s="29">
        <v>11</v>
      </c>
    </row>
    <row r="404" spans="2:20" hidden="1" outlineLevel="2">
      <c r="B404" s="29">
        <v>957147</v>
      </c>
      <c r="C404" s="29">
        <v>67</v>
      </c>
      <c r="D404" s="29" t="s">
        <v>591</v>
      </c>
      <c r="E404" s="29">
        <v>16684</v>
      </c>
      <c r="F404" s="29" t="s">
        <v>642</v>
      </c>
      <c r="G404" s="263">
        <v>42088</v>
      </c>
      <c r="H404" s="29">
        <v>4</v>
      </c>
      <c r="I404" s="29">
        <v>25123</v>
      </c>
      <c r="J404" s="29">
        <v>77</v>
      </c>
      <c r="K404" s="29" t="e">
        <f>VLOOKUP(J404,#REF!,2,0)</f>
        <v>#REF!</v>
      </c>
      <c r="L404" s="29">
        <v>8289</v>
      </c>
      <c r="M404" s="29" t="s">
        <v>722</v>
      </c>
      <c r="N404" s="29">
        <v>6</v>
      </c>
      <c r="O404" s="29">
        <v>55.92</v>
      </c>
      <c r="P404" s="29">
        <v>1672.96</v>
      </c>
      <c r="Q404" s="29">
        <v>70.73</v>
      </c>
      <c r="R404" s="29">
        <v>301.13</v>
      </c>
      <c r="S404" s="29">
        <v>2044.82</v>
      </c>
      <c r="T404" s="29">
        <v>11</v>
      </c>
    </row>
    <row r="405" spans="2:20" hidden="1" outlineLevel="2">
      <c r="B405" s="29">
        <v>957147</v>
      </c>
      <c r="C405" s="29">
        <v>67</v>
      </c>
      <c r="D405" s="29" t="s">
        <v>591</v>
      </c>
      <c r="E405" s="29">
        <v>16684</v>
      </c>
      <c r="F405" s="29" t="s">
        <v>642</v>
      </c>
      <c r="G405" s="263">
        <v>42088</v>
      </c>
      <c r="H405" s="29">
        <v>4</v>
      </c>
      <c r="I405" s="29">
        <v>25123</v>
      </c>
      <c r="J405" s="29">
        <v>77</v>
      </c>
      <c r="K405" s="29" t="e">
        <f>VLOOKUP(J405,#REF!,2,0)</f>
        <v>#REF!</v>
      </c>
      <c r="L405" s="29">
        <v>14845</v>
      </c>
      <c r="M405" s="29" t="s">
        <v>723</v>
      </c>
      <c r="N405" s="29">
        <v>10</v>
      </c>
      <c r="O405" s="29">
        <v>147.78</v>
      </c>
      <c r="P405" s="29">
        <v>1672.96</v>
      </c>
      <c r="Q405" s="29">
        <v>70.73</v>
      </c>
      <c r="R405" s="29">
        <v>301.13</v>
      </c>
      <c r="S405" s="29">
        <v>2044.82</v>
      </c>
      <c r="T405" s="29">
        <v>11</v>
      </c>
    </row>
    <row r="406" spans="2:20" hidden="1" outlineLevel="2">
      <c r="B406" s="29">
        <v>957147</v>
      </c>
      <c r="C406" s="29">
        <v>67</v>
      </c>
      <c r="D406" s="29" t="s">
        <v>591</v>
      </c>
      <c r="E406" s="29">
        <v>16684</v>
      </c>
      <c r="F406" s="29" t="s">
        <v>642</v>
      </c>
      <c r="G406" s="263">
        <v>42088</v>
      </c>
      <c r="H406" s="29">
        <v>4</v>
      </c>
      <c r="I406" s="29">
        <v>25123</v>
      </c>
      <c r="J406" s="29">
        <v>77</v>
      </c>
      <c r="K406" s="29" t="e">
        <f>VLOOKUP(J406,#REF!,2,0)</f>
        <v>#REF!</v>
      </c>
      <c r="L406" s="29">
        <v>8297</v>
      </c>
      <c r="M406" s="29" t="s">
        <v>715</v>
      </c>
      <c r="N406" s="29">
        <v>2</v>
      </c>
      <c r="O406" s="29">
        <v>223.24</v>
      </c>
      <c r="P406" s="29">
        <v>1672.96</v>
      </c>
      <c r="Q406" s="29">
        <v>70.73</v>
      </c>
      <c r="R406" s="29">
        <v>301.13</v>
      </c>
      <c r="S406" s="29">
        <v>2044.82</v>
      </c>
      <c r="T406" s="29">
        <v>11</v>
      </c>
    </row>
    <row r="407" spans="2:20" hidden="1" outlineLevel="2">
      <c r="B407" s="29">
        <v>957147</v>
      </c>
      <c r="C407" s="29">
        <v>67</v>
      </c>
      <c r="D407" s="29" t="s">
        <v>591</v>
      </c>
      <c r="E407" s="29">
        <v>16684</v>
      </c>
      <c r="F407" s="29" t="s">
        <v>642</v>
      </c>
      <c r="G407" s="263">
        <v>42088</v>
      </c>
      <c r="H407" s="29">
        <v>4</v>
      </c>
      <c r="I407" s="29">
        <v>25123</v>
      </c>
      <c r="J407" s="29">
        <v>77</v>
      </c>
      <c r="K407" s="29" t="e">
        <f>VLOOKUP(J407,#REF!,2,0)</f>
        <v>#REF!</v>
      </c>
      <c r="L407" s="29">
        <v>14857</v>
      </c>
      <c r="M407" s="29" t="s">
        <v>720</v>
      </c>
      <c r="N407" s="29">
        <v>2</v>
      </c>
      <c r="O407" s="29">
        <v>62.38</v>
      </c>
      <c r="P407" s="29">
        <v>1672.96</v>
      </c>
      <c r="Q407" s="29">
        <v>70.73</v>
      </c>
      <c r="R407" s="29">
        <v>301.13</v>
      </c>
      <c r="S407" s="29">
        <v>2044.82</v>
      </c>
      <c r="T407" s="29">
        <v>11</v>
      </c>
    </row>
    <row r="408" spans="2:20" hidden="1" outlineLevel="2">
      <c r="B408" s="29">
        <v>957147</v>
      </c>
      <c r="C408" s="29">
        <v>67</v>
      </c>
      <c r="D408" s="29" t="s">
        <v>591</v>
      </c>
      <c r="E408" s="29">
        <v>16684</v>
      </c>
      <c r="F408" s="29" t="s">
        <v>642</v>
      </c>
      <c r="G408" s="263">
        <v>42088</v>
      </c>
      <c r="H408" s="29">
        <v>4</v>
      </c>
      <c r="I408" s="29">
        <v>25123</v>
      </c>
      <c r="J408" s="29">
        <v>77</v>
      </c>
      <c r="K408" s="29" t="e">
        <f>VLOOKUP(J408,#REF!,2,0)</f>
        <v>#REF!</v>
      </c>
      <c r="L408" s="29">
        <v>14863</v>
      </c>
      <c r="M408" s="29" t="s">
        <v>730</v>
      </c>
      <c r="N408" s="29">
        <v>10</v>
      </c>
      <c r="O408" s="29">
        <v>193.25</v>
      </c>
      <c r="P408" s="29">
        <v>1672.96</v>
      </c>
      <c r="Q408" s="29">
        <v>70.73</v>
      </c>
      <c r="R408" s="29">
        <v>301.13</v>
      </c>
      <c r="S408" s="29">
        <v>2044.82</v>
      </c>
      <c r="T408" s="29">
        <v>11</v>
      </c>
    </row>
    <row r="409" spans="2:20" hidden="1" outlineLevel="2">
      <c r="B409" s="29">
        <v>957147</v>
      </c>
      <c r="C409" s="29">
        <v>67</v>
      </c>
      <c r="D409" s="29" t="s">
        <v>591</v>
      </c>
      <c r="E409" s="29">
        <v>16684</v>
      </c>
      <c r="F409" s="29" t="s">
        <v>642</v>
      </c>
      <c r="G409" s="263">
        <v>42088</v>
      </c>
      <c r="H409" s="29">
        <v>4</v>
      </c>
      <c r="I409" s="29">
        <v>25123</v>
      </c>
      <c r="J409" s="29">
        <v>77</v>
      </c>
      <c r="K409" s="29" t="e">
        <f>VLOOKUP(J409,#REF!,2,0)</f>
        <v>#REF!</v>
      </c>
      <c r="L409" s="29">
        <v>14835</v>
      </c>
      <c r="M409" s="29" t="s">
        <v>719</v>
      </c>
      <c r="N409" s="29">
        <v>7</v>
      </c>
      <c r="O409" s="29">
        <v>236.68</v>
      </c>
      <c r="P409" s="29">
        <v>1672.96</v>
      </c>
      <c r="Q409" s="29">
        <v>70.73</v>
      </c>
      <c r="R409" s="29">
        <v>301.13</v>
      </c>
      <c r="S409" s="29">
        <v>2044.82</v>
      </c>
      <c r="T409" s="29">
        <v>11</v>
      </c>
    </row>
    <row r="410" spans="2:20" hidden="1" outlineLevel="2">
      <c r="B410" s="29">
        <v>959096</v>
      </c>
      <c r="C410" s="29">
        <v>67</v>
      </c>
      <c r="D410" s="29" t="s">
        <v>591</v>
      </c>
      <c r="E410" s="29">
        <v>17390</v>
      </c>
      <c r="F410" s="29" t="s">
        <v>700</v>
      </c>
      <c r="G410" s="263">
        <v>42088</v>
      </c>
      <c r="H410" s="29">
        <v>4</v>
      </c>
      <c r="I410" s="29">
        <v>25148</v>
      </c>
      <c r="J410" s="29">
        <v>77</v>
      </c>
      <c r="K410" s="29" t="e">
        <f>VLOOKUP(J410,#REF!,2,0)</f>
        <v>#REF!</v>
      </c>
      <c r="L410" s="29">
        <v>14835</v>
      </c>
      <c r="M410" s="29" t="s">
        <v>719</v>
      </c>
      <c r="N410" s="29">
        <v>2</v>
      </c>
      <c r="O410" s="29">
        <v>67.62</v>
      </c>
      <c r="P410" s="29">
        <v>350.25</v>
      </c>
      <c r="Q410" s="29">
        <v>0</v>
      </c>
      <c r="R410" s="29">
        <v>63.05</v>
      </c>
      <c r="S410" s="29">
        <v>413.3</v>
      </c>
      <c r="T410" s="29">
        <v>11</v>
      </c>
    </row>
    <row r="411" spans="2:20" hidden="1" outlineLevel="2">
      <c r="B411" s="29">
        <v>959096</v>
      </c>
      <c r="C411" s="29">
        <v>67</v>
      </c>
      <c r="D411" s="29" t="s">
        <v>591</v>
      </c>
      <c r="E411" s="29">
        <v>17390</v>
      </c>
      <c r="F411" s="29" t="s">
        <v>700</v>
      </c>
      <c r="G411" s="263">
        <v>42088</v>
      </c>
      <c r="H411" s="29">
        <v>4</v>
      </c>
      <c r="I411" s="29">
        <v>25148</v>
      </c>
      <c r="J411" s="29">
        <v>77</v>
      </c>
      <c r="K411" s="29" t="e">
        <f>VLOOKUP(J411,#REF!,2,0)</f>
        <v>#REF!</v>
      </c>
      <c r="L411" s="29">
        <v>8300</v>
      </c>
      <c r="M411" s="29" t="s">
        <v>718</v>
      </c>
      <c r="N411" s="29">
        <v>13</v>
      </c>
      <c r="O411" s="29">
        <v>40.72</v>
      </c>
      <c r="P411" s="29">
        <v>350.25</v>
      </c>
      <c r="Q411" s="29">
        <v>0</v>
      </c>
      <c r="R411" s="29">
        <v>63.05</v>
      </c>
      <c r="S411" s="29">
        <v>413.3</v>
      </c>
      <c r="T411" s="29">
        <v>11</v>
      </c>
    </row>
    <row r="412" spans="2:20" hidden="1" outlineLevel="2">
      <c r="B412" s="29">
        <v>959096</v>
      </c>
      <c r="C412" s="29">
        <v>67</v>
      </c>
      <c r="D412" s="29" t="s">
        <v>591</v>
      </c>
      <c r="E412" s="29">
        <v>17390</v>
      </c>
      <c r="F412" s="29" t="s">
        <v>700</v>
      </c>
      <c r="G412" s="263">
        <v>42088</v>
      </c>
      <c r="H412" s="29">
        <v>4</v>
      </c>
      <c r="I412" s="29">
        <v>25148</v>
      </c>
      <c r="J412" s="29">
        <v>77</v>
      </c>
      <c r="K412" s="29" t="e">
        <f>VLOOKUP(J412,#REF!,2,0)</f>
        <v>#REF!</v>
      </c>
      <c r="L412" s="29">
        <v>14857</v>
      </c>
      <c r="M412" s="29" t="s">
        <v>720</v>
      </c>
      <c r="N412" s="29">
        <v>2</v>
      </c>
      <c r="O412" s="29">
        <v>62.38</v>
      </c>
      <c r="P412" s="29">
        <v>350.25</v>
      </c>
      <c r="Q412" s="29">
        <v>0</v>
      </c>
      <c r="R412" s="29">
        <v>63.05</v>
      </c>
      <c r="S412" s="29">
        <v>413.3</v>
      </c>
      <c r="T412" s="29">
        <v>11</v>
      </c>
    </row>
    <row r="413" spans="2:20" hidden="1" outlineLevel="2">
      <c r="B413" s="29">
        <v>959100</v>
      </c>
      <c r="C413" s="29">
        <v>67</v>
      </c>
      <c r="D413" s="29" t="s">
        <v>591</v>
      </c>
      <c r="E413" s="29">
        <v>17028</v>
      </c>
      <c r="F413" s="29" t="s">
        <v>657</v>
      </c>
      <c r="G413" s="263">
        <v>42088</v>
      </c>
      <c r="H413" s="29">
        <v>4</v>
      </c>
      <c r="I413" s="29">
        <v>25151</v>
      </c>
      <c r="J413" s="29">
        <v>77</v>
      </c>
      <c r="K413" s="29" t="e">
        <f>VLOOKUP(J413,#REF!,2,0)</f>
        <v>#REF!</v>
      </c>
      <c r="L413" s="29">
        <v>8300</v>
      </c>
      <c r="M413" s="29" t="s">
        <v>718</v>
      </c>
      <c r="N413" s="29">
        <v>13</v>
      </c>
      <c r="O413" s="29">
        <v>40.72</v>
      </c>
      <c r="P413" s="29">
        <v>276.01</v>
      </c>
      <c r="Q413" s="29">
        <v>0</v>
      </c>
      <c r="R413" s="29">
        <v>49.68</v>
      </c>
      <c r="S413" s="29">
        <v>325.69</v>
      </c>
      <c r="T413" s="29">
        <v>11</v>
      </c>
    </row>
    <row r="414" spans="2:20" hidden="1" outlineLevel="2">
      <c r="B414" s="29">
        <v>959100</v>
      </c>
      <c r="C414" s="29">
        <v>67</v>
      </c>
      <c r="D414" s="29" t="s">
        <v>591</v>
      </c>
      <c r="E414" s="29">
        <v>17028</v>
      </c>
      <c r="F414" s="29" t="s">
        <v>657</v>
      </c>
      <c r="G414" s="263">
        <v>42088</v>
      </c>
      <c r="H414" s="29">
        <v>4</v>
      </c>
      <c r="I414" s="29">
        <v>25151</v>
      </c>
      <c r="J414" s="29">
        <v>77</v>
      </c>
      <c r="K414" s="29" t="e">
        <f>VLOOKUP(J414,#REF!,2,0)</f>
        <v>#REF!</v>
      </c>
      <c r="L414" s="29">
        <v>8300</v>
      </c>
      <c r="M414" s="29" t="s">
        <v>718</v>
      </c>
      <c r="N414" s="29">
        <v>13</v>
      </c>
      <c r="O414" s="29">
        <v>40.72</v>
      </c>
      <c r="P414" s="29">
        <v>276.01</v>
      </c>
      <c r="Q414" s="29">
        <v>0</v>
      </c>
      <c r="R414" s="29">
        <v>49.68</v>
      </c>
      <c r="S414" s="29">
        <v>325.69</v>
      </c>
      <c r="T414" s="29">
        <v>11</v>
      </c>
    </row>
    <row r="415" spans="2:20" hidden="1" outlineLevel="2">
      <c r="B415" s="29">
        <v>959114</v>
      </c>
      <c r="C415" s="29">
        <v>67</v>
      </c>
      <c r="D415" s="29" t="s">
        <v>591</v>
      </c>
      <c r="E415" s="29">
        <v>1728</v>
      </c>
      <c r="F415" s="29" t="s">
        <v>701</v>
      </c>
      <c r="G415" s="263">
        <v>42088</v>
      </c>
      <c r="H415" s="29">
        <v>4</v>
      </c>
      <c r="I415" s="29">
        <v>25155</v>
      </c>
      <c r="J415" s="29">
        <v>77</v>
      </c>
      <c r="K415" s="29" t="e">
        <f>VLOOKUP(J415,#REF!,2,0)</f>
        <v>#REF!</v>
      </c>
      <c r="L415" s="29">
        <v>8300</v>
      </c>
      <c r="M415" s="29" t="s">
        <v>718</v>
      </c>
      <c r="N415" s="29">
        <v>13</v>
      </c>
      <c r="O415" s="29">
        <v>40.72</v>
      </c>
      <c r="P415" s="29">
        <v>217.85</v>
      </c>
      <c r="Q415" s="29">
        <v>0</v>
      </c>
      <c r="R415" s="29">
        <v>39.21</v>
      </c>
      <c r="S415" s="29">
        <v>257.06</v>
      </c>
      <c r="T415" s="29">
        <v>8</v>
      </c>
    </row>
    <row r="416" spans="2:20" hidden="1" outlineLevel="2">
      <c r="B416" s="29">
        <v>959123</v>
      </c>
      <c r="C416" s="29">
        <v>67</v>
      </c>
      <c r="D416" s="29" t="s">
        <v>591</v>
      </c>
      <c r="E416" s="29">
        <v>12618</v>
      </c>
      <c r="F416" s="29" t="s">
        <v>702</v>
      </c>
      <c r="G416" s="263">
        <v>42088</v>
      </c>
      <c r="H416" s="29">
        <v>4</v>
      </c>
      <c r="I416" s="29">
        <v>25161</v>
      </c>
      <c r="J416" s="29">
        <v>77</v>
      </c>
      <c r="K416" s="29" t="e">
        <f>VLOOKUP(J416,#REF!,2,0)</f>
        <v>#REF!</v>
      </c>
      <c r="L416" s="29">
        <v>8300</v>
      </c>
      <c r="M416" s="29" t="s">
        <v>718</v>
      </c>
      <c r="N416" s="29">
        <v>26</v>
      </c>
      <c r="O416" s="29">
        <v>81.430000000000007</v>
      </c>
      <c r="P416" s="29">
        <v>304.29000000000002</v>
      </c>
      <c r="Q416" s="29">
        <v>0</v>
      </c>
      <c r="R416" s="29">
        <v>54.77</v>
      </c>
      <c r="S416" s="29">
        <v>359.06</v>
      </c>
      <c r="T416" s="29">
        <v>8</v>
      </c>
    </row>
    <row r="417" spans="2:20" hidden="1" outlineLevel="2">
      <c r="B417" s="29">
        <v>959123</v>
      </c>
      <c r="C417" s="29">
        <v>67</v>
      </c>
      <c r="D417" s="29" t="s">
        <v>591</v>
      </c>
      <c r="E417" s="29">
        <v>12618</v>
      </c>
      <c r="F417" s="29" t="s">
        <v>702</v>
      </c>
      <c r="G417" s="263">
        <v>42088</v>
      </c>
      <c r="H417" s="29">
        <v>4</v>
      </c>
      <c r="I417" s="29">
        <v>25161</v>
      </c>
      <c r="J417" s="29">
        <v>77</v>
      </c>
      <c r="K417" s="29" t="e">
        <f>VLOOKUP(J417,#REF!,2,0)</f>
        <v>#REF!</v>
      </c>
      <c r="L417" s="29">
        <v>14857</v>
      </c>
      <c r="M417" s="29" t="s">
        <v>720</v>
      </c>
      <c r="N417" s="29">
        <v>3</v>
      </c>
      <c r="O417" s="29">
        <v>93.56</v>
      </c>
      <c r="P417" s="29">
        <v>304.29000000000002</v>
      </c>
      <c r="Q417" s="29">
        <v>0</v>
      </c>
      <c r="R417" s="29">
        <v>54.77</v>
      </c>
      <c r="S417" s="29">
        <v>359.06</v>
      </c>
      <c r="T417" s="29">
        <v>8</v>
      </c>
    </row>
    <row r="418" spans="2:20" hidden="1" outlineLevel="2">
      <c r="B418" s="29">
        <v>959126</v>
      </c>
      <c r="C418" s="29">
        <v>67</v>
      </c>
      <c r="D418" s="29" t="s">
        <v>591</v>
      </c>
      <c r="E418" s="29">
        <v>8311</v>
      </c>
      <c r="F418" s="29" t="s">
        <v>704</v>
      </c>
      <c r="G418" s="263">
        <v>42088</v>
      </c>
      <c r="H418" s="29">
        <v>4</v>
      </c>
      <c r="I418" s="29">
        <v>25163</v>
      </c>
      <c r="J418" s="29">
        <v>77</v>
      </c>
      <c r="K418" s="29" t="e">
        <f>VLOOKUP(J418,#REF!,2,0)</f>
        <v>#REF!</v>
      </c>
      <c r="L418" s="29">
        <v>8300</v>
      </c>
      <c r="M418" s="29" t="s">
        <v>718</v>
      </c>
      <c r="N418" s="29">
        <v>13</v>
      </c>
      <c r="O418" s="29">
        <v>40.72</v>
      </c>
      <c r="P418" s="29">
        <v>62.59</v>
      </c>
      <c r="Q418" s="29">
        <v>0</v>
      </c>
      <c r="R418" s="29">
        <v>11.27</v>
      </c>
      <c r="S418" s="29">
        <v>73.86</v>
      </c>
      <c r="T418" s="29">
        <v>19</v>
      </c>
    </row>
    <row r="419" spans="2:20" hidden="1" outlineLevel="2">
      <c r="B419" s="29">
        <v>959128</v>
      </c>
      <c r="C419" s="29">
        <v>67</v>
      </c>
      <c r="D419" s="29" t="s">
        <v>591</v>
      </c>
      <c r="E419" s="29">
        <v>14050</v>
      </c>
      <c r="F419" s="29" t="s">
        <v>617</v>
      </c>
      <c r="G419" s="263">
        <v>42088</v>
      </c>
      <c r="H419" s="29">
        <v>4</v>
      </c>
      <c r="I419" s="29">
        <v>25164</v>
      </c>
      <c r="J419" s="29">
        <v>77</v>
      </c>
      <c r="K419" s="29" t="e">
        <f>VLOOKUP(J419,#REF!,2,0)</f>
        <v>#REF!</v>
      </c>
      <c r="L419" s="29">
        <v>14835</v>
      </c>
      <c r="M419" s="29" t="s">
        <v>719</v>
      </c>
      <c r="N419" s="29">
        <v>2</v>
      </c>
      <c r="O419" s="29">
        <v>67.62</v>
      </c>
      <c r="P419" s="29">
        <v>209.18</v>
      </c>
      <c r="Q419" s="29">
        <v>0</v>
      </c>
      <c r="R419" s="29">
        <v>37.65</v>
      </c>
      <c r="S419" s="29">
        <v>246.83</v>
      </c>
      <c r="T419" s="29">
        <v>5</v>
      </c>
    </row>
    <row r="420" spans="2:20" hidden="1" outlineLevel="2">
      <c r="B420" s="29">
        <v>959128</v>
      </c>
      <c r="C420" s="29">
        <v>67</v>
      </c>
      <c r="D420" s="29" t="s">
        <v>591</v>
      </c>
      <c r="E420" s="29">
        <v>14050</v>
      </c>
      <c r="F420" s="29" t="s">
        <v>617</v>
      </c>
      <c r="G420" s="263">
        <v>42088</v>
      </c>
      <c r="H420" s="29">
        <v>4</v>
      </c>
      <c r="I420" s="29">
        <v>25164</v>
      </c>
      <c r="J420" s="29">
        <v>77</v>
      </c>
      <c r="K420" s="29" t="e">
        <f>VLOOKUP(J420,#REF!,2,0)</f>
        <v>#REF!</v>
      </c>
      <c r="L420" s="29">
        <v>8300</v>
      </c>
      <c r="M420" s="29" t="s">
        <v>718</v>
      </c>
      <c r="N420" s="29">
        <v>13</v>
      </c>
      <c r="O420" s="29">
        <v>40.72</v>
      </c>
      <c r="P420" s="29">
        <v>209.18</v>
      </c>
      <c r="Q420" s="29">
        <v>0</v>
      </c>
      <c r="R420" s="29">
        <v>37.65</v>
      </c>
      <c r="S420" s="29">
        <v>246.83</v>
      </c>
      <c r="T420" s="29">
        <v>5</v>
      </c>
    </row>
    <row r="421" spans="2:20" hidden="1" outlineLevel="2">
      <c r="B421" s="29">
        <v>959128</v>
      </c>
      <c r="C421" s="29">
        <v>67</v>
      </c>
      <c r="D421" s="29" t="s">
        <v>591</v>
      </c>
      <c r="E421" s="29">
        <v>14050</v>
      </c>
      <c r="F421" s="29" t="s">
        <v>617</v>
      </c>
      <c r="G421" s="263">
        <v>42088</v>
      </c>
      <c r="H421" s="29">
        <v>4</v>
      </c>
      <c r="I421" s="29">
        <v>25164</v>
      </c>
      <c r="J421" s="29">
        <v>77</v>
      </c>
      <c r="K421" s="29" t="e">
        <f>VLOOKUP(J421,#REF!,2,0)</f>
        <v>#REF!</v>
      </c>
      <c r="L421" s="29">
        <v>14857</v>
      </c>
      <c r="M421" s="29" t="s">
        <v>720</v>
      </c>
      <c r="N421" s="29">
        <v>2</v>
      </c>
      <c r="O421" s="29">
        <v>62.38</v>
      </c>
      <c r="P421" s="29">
        <v>209.18</v>
      </c>
      <c r="Q421" s="29">
        <v>0</v>
      </c>
      <c r="R421" s="29">
        <v>37.65</v>
      </c>
      <c r="S421" s="29">
        <v>246.83</v>
      </c>
      <c r="T421" s="29">
        <v>5</v>
      </c>
    </row>
    <row r="422" spans="2:20" hidden="1" outlineLevel="2">
      <c r="B422" s="29">
        <v>959197</v>
      </c>
      <c r="C422" s="29">
        <v>67</v>
      </c>
      <c r="D422" s="29" t="s">
        <v>591</v>
      </c>
      <c r="E422" s="29">
        <v>15484</v>
      </c>
      <c r="F422" s="29" t="s">
        <v>623</v>
      </c>
      <c r="G422" s="263">
        <v>42089</v>
      </c>
      <c r="H422" s="29">
        <v>4</v>
      </c>
      <c r="I422" s="29">
        <v>25196</v>
      </c>
      <c r="J422" s="29">
        <v>77</v>
      </c>
      <c r="K422" s="29" t="e">
        <f>VLOOKUP(J422,#REF!,2,0)</f>
        <v>#REF!</v>
      </c>
      <c r="L422" s="29">
        <v>14835</v>
      </c>
      <c r="M422" s="29" t="s">
        <v>719</v>
      </c>
      <c r="N422" s="29">
        <v>1</v>
      </c>
      <c r="O422" s="29">
        <v>33.81</v>
      </c>
      <c r="P422" s="29">
        <v>477.16</v>
      </c>
      <c r="Q422" s="29">
        <v>0</v>
      </c>
      <c r="R422" s="29">
        <v>85.89</v>
      </c>
      <c r="S422" s="29">
        <v>563.04999999999995</v>
      </c>
      <c r="T422" s="29">
        <v>19</v>
      </c>
    </row>
    <row r="423" spans="2:20" hidden="1" outlineLevel="2">
      <c r="B423" s="29">
        <v>959197</v>
      </c>
      <c r="C423" s="29">
        <v>67</v>
      </c>
      <c r="D423" s="29" t="s">
        <v>591</v>
      </c>
      <c r="E423" s="29">
        <v>15484</v>
      </c>
      <c r="F423" s="29" t="s">
        <v>623</v>
      </c>
      <c r="G423" s="263">
        <v>42089</v>
      </c>
      <c r="H423" s="29">
        <v>4</v>
      </c>
      <c r="I423" s="29">
        <v>25196</v>
      </c>
      <c r="J423" s="29">
        <v>77</v>
      </c>
      <c r="K423" s="29" t="e">
        <f>VLOOKUP(J423,#REF!,2,0)</f>
        <v>#REF!</v>
      </c>
      <c r="L423" s="29">
        <v>8300</v>
      </c>
      <c r="M423" s="29" t="s">
        <v>718</v>
      </c>
      <c r="N423" s="29">
        <v>13</v>
      </c>
      <c r="O423" s="29">
        <v>40.72</v>
      </c>
      <c r="P423" s="29">
        <v>477.16</v>
      </c>
      <c r="Q423" s="29">
        <v>0</v>
      </c>
      <c r="R423" s="29">
        <v>85.89</v>
      </c>
      <c r="S423" s="29">
        <v>563.04999999999995</v>
      </c>
      <c r="T423" s="29">
        <v>19</v>
      </c>
    </row>
    <row r="424" spans="2:20" hidden="1" outlineLevel="2">
      <c r="B424" s="29">
        <v>959197</v>
      </c>
      <c r="C424" s="29">
        <v>67</v>
      </c>
      <c r="D424" s="29" t="s">
        <v>591</v>
      </c>
      <c r="E424" s="29">
        <v>15484</v>
      </c>
      <c r="F424" s="29" t="s">
        <v>623</v>
      </c>
      <c r="G424" s="263">
        <v>42089</v>
      </c>
      <c r="H424" s="29">
        <v>4</v>
      </c>
      <c r="I424" s="29">
        <v>25196</v>
      </c>
      <c r="J424" s="29">
        <v>77</v>
      </c>
      <c r="K424" s="29" t="e">
        <f>VLOOKUP(J424,#REF!,2,0)</f>
        <v>#REF!</v>
      </c>
      <c r="L424" s="29">
        <v>14857</v>
      </c>
      <c r="M424" s="29" t="s">
        <v>720</v>
      </c>
      <c r="N424" s="29">
        <v>2</v>
      </c>
      <c r="O424" s="29">
        <v>62.38</v>
      </c>
      <c r="P424" s="29">
        <v>477.16</v>
      </c>
      <c r="Q424" s="29">
        <v>0</v>
      </c>
      <c r="R424" s="29">
        <v>85.89</v>
      </c>
      <c r="S424" s="29">
        <v>563.04999999999995</v>
      </c>
      <c r="T424" s="29">
        <v>19</v>
      </c>
    </row>
    <row r="425" spans="2:20" hidden="1" outlineLevel="2">
      <c r="B425" s="29">
        <v>959195</v>
      </c>
      <c r="C425" s="29">
        <v>67</v>
      </c>
      <c r="D425" s="29" t="s">
        <v>591</v>
      </c>
      <c r="E425" s="29">
        <v>14408</v>
      </c>
      <c r="F425" s="29" t="s">
        <v>659</v>
      </c>
      <c r="G425" s="263">
        <v>42089</v>
      </c>
      <c r="H425" s="29">
        <v>4</v>
      </c>
      <c r="I425" s="29">
        <v>25194</v>
      </c>
      <c r="J425" s="29">
        <v>77</v>
      </c>
      <c r="K425" s="29" t="e">
        <f>VLOOKUP(J425,#REF!,2,0)</f>
        <v>#REF!</v>
      </c>
      <c r="L425" s="29">
        <v>14835</v>
      </c>
      <c r="M425" s="29" t="s">
        <v>719</v>
      </c>
      <c r="N425" s="29">
        <v>1</v>
      </c>
      <c r="O425" s="29">
        <v>33.81</v>
      </c>
      <c r="P425" s="29">
        <v>197.9</v>
      </c>
      <c r="Q425" s="29">
        <v>0</v>
      </c>
      <c r="R425" s="29">
        <v>35.619999999999997</v>
      </c>
      <c r="S425" s="29">
        <v>233.52</v>
      </c>
      <c r="T425" s="29">
        <v>19</v>
      </c>
    </row>
    <row r="426" spans="2:20" hidden="1" outlineLevel="2">
      <c r="B426" s="29">
        <v>959198</v>
      </c>
      <c r="C426" s="29">
        <v>67</v>
      </c>
      <c r="D426" s="29" t="s">
        <v>591</v>
      </c>
      <c r="E426" s="29">
        <v>14985</v>
      </c>
      <c r="F426" s="29" t="s">
        <v>660</v>
      </c>
      <c r="G426" s="263">
        <v>42089</v>
      </c>
      <c r="H426" s="29">
        <v>4</v>
      </c>
      <c r="I426" s="29">
        <v>25198</v>
      </c>
      <c r="J426" s="29">
        <v>77</v>
      </c>
      <c r="K426" s="29" t="e">
        <f>VLOOKUP(J426,#REF!,2,0)</f>
        <v>#REF!</v>
      </c>
      <c r="L426" s="29">
        <v>14857</v>
      </c>
      <c r="M426" s="29" t="s">
        <v>720</v>
      </c>
      <c r="N426" s="29">
        <v>2</v>
      </c>
      <c r="O426" s="29">
        <v>62.38</v>
      </c>
      <c r="P426" s="29">
        <v>87.42</v>
      </c>
      <c r="Q426" s="29">
        <v>0</v>
      </c>
      <c r="R426" s="29">
        <v>15.74</v>
      </c>
      <c r="S426" s="29">
        <v>103.16</v>
      </c>
      <c r="T426" s="29">
        <v>19</v>
      </c>
    </row>
    <row r="427" spans="2:20" hidden="1" outlineLevel="2">
      <c r="B427" s="29">
        <v>959855</v>
      </c>
      <c r="C427" s="29">
        <v>67</v>
      </c>
      <c r="D427" s="29" t="s">
        <v>591</v>
      </c>
      <c r="E427" s="29">
        <v>17056</v>
      </c>
      <c r="F427" s="29" t="s">
        <v>665</v>
      </c>
      <c r="G427" s="263">
        <v>42094</v>
      </c>
      <c r="H427" s="29">
        <v>4</v>
      </c>
      <c r="I427" s="29">
        <v>25574</v>
      </c>
      <c r="J427" s="29">
        <v>77</v>
      </c>
      <c r="K427" s="29" t="e">
        <f>VLOOKUP(J427,#REF!,2,0)</f>
        <v>#REF!</v>
      </c>
      <c r="L427" s="29">
        <v>8300</v>
      </c>
      <c r="M427" s="29" t="s">
        <v>718</v>
      </c>
      <c r="N427" s="29">
        <v>13</v>
      </c>
      <c r="O427" s="29">
        <v>40.72</v>
      </c>
      <c r="P427" s="29">
        <v>149.03</v>
      </c>
      <c r="Q427" s="29">
        <v>0</v>
      </c>
      <c r="R427" s="29">
        <v>26.83</v>
      </c>
      <c r="S427" s="29">
        <v>175.86</v>
      </c>
      <c r="T427" s="29">
        <v>11</v>
      </c>
    </row>
    <row r="428" spans="2:20" outlineLevel="1" collapsed="1">
      <c r="G428" s="263"/>
      <c r="K428" s="59" t="s">
        <v>731</v>
      </c>
      <c r="O428" s="29">
        <f>SUBTOTAL(9,O358:O427)</f>
        <v>5691.9600000000046</v>
      </c>
    </row>
    <row r="429" spans="2:20" hidden="1" outlineLevel="2">
      <c r="B429" s="29">
        <v>956718</v>
      </c>
      <c r="C429" s="29">
        <v>67</v>
      </c>
      <c r="D429" s="29" t="s">
        <v>591</v>
      </c>
      <c r="E429" s="29">
        <v>14765</v>
      </c>
      <c r="F429" s="29" t="s">
        <v>605</v>
      </c>
      <c r="G429" s="263">
        <v>42067</v>
      </c>
      <c r="H429" s="29">
        <v>4</v>
      </c>
      <c r="I429" s="29">
        <v>23759</v>
      </c>
      <c r="J429" s="29">
        <v>2</v>
      </c>
      <c r="K429" s="29" t="e">
        <f>VLOOKUP(J429,#REF!,2,0)</f>
        <v>#REF!</v>
      </c>
      <c r="L429" s="29">
        <v>1200</v>
      </c>
      <c r="M429" s="29" t="s">
        <v>732</v>
      </c>
      <c r="N429" s="29">
        <v>50</v>
      </c>
      <c r="O429" s="29">
        <v>32.4</v>
      </c>
      <c r="P429" s="29">
        <v>212.34</v>
      </c>
      <c r="Q429" s="29">
        <v>0</v>
      </c>
      <c r="R429" s="29">
        <v>38.22</v>
      </c>
      <c r="S429" s="29">
        <v>250.56</v>
      </c>
      <c r="T429" s="29">
        <v>10</v>
      </c>
    </row>
    <row r="430" spans="2:20" hidden="1" outlineLevel="2">
      <c r="B430" s="29">
        <v>956915</v>
      </c>
      <c r="C430" s="29">
        <v>67</v>
      </c>
      <c r="D430" s="29" t="s">
        <v>591</v>
      </c>
      <c r="E430" s="29">
        <v>1846</v>
      </c>
      <c r="F430" s="29" t="s">
        <v>608</v>
      </c>
      <c r="G430" s="263">
        <v>42068</v>
      </c>
      <c r="H430" s="29">
        <v>4</v>
      </c>
      <c r="I430" s="29">
        <v>23868</v>
      </c>
      <c r="J430" s="29">
        <v>2</v>
      </c>
      <c r="K430" s="29" t="e">
        <f>VLOOKUP(J430,#REF!,2,0)</f>
        <v>#REF!</v>
      </c>
      <c r="L430" s="29">
        <v>14549</v>
      </c>
      <c r="M430" s="29" t="s">
        <v>733</v>
      </c>
      <c r="N430" s="29">
        <v>10</v>
      </c>
      <c r="O430" s="29">
        <v>4.68</v>
      </c>
      <c r="P430" s="29">
        <v>223.48</v>
      </c>
      <c r="Q430" s="29">
        <v>0</v>
      </c>
      <c r="R430" s="29">
        <v>40.229999999999997</v>
      </c>
      <c r="S430" s="29">
        <v>263.70999999999998</v>
      </c>
      <c r="T430" s="29">
        <v>11</v>
      </c>
    </row>
    <row r="431" spans="2:20" hidden="1" outlineLevel="2">
      <c r="B431" s="29">
        <v>956915</v>
      </c>
      <c r="C431" s="29">
        <v>67</v>
      </c>
      <c r="D431" s="29" t="s">
        <v>591</v>
      </c>
      <c r="E431" s="29">
        <v>1846</v>
      </c>
      <c r="F431" s="29" t="s">
        <v>608</v>
      </c>
      <c r="G431" s="263">
        <v>42068</v>
      </c>
      <c r="H431" s="29">
        <v>4</v>
      </c>
      <c r="I431" s="29">
        <v>23868</v>
      </c>
      <c r="J431" s="29">
        <v>2</v>
      </c>
      <c r="K431" s="29" t="e">
        <f>VLOOKUP(J431,#REF!,2,0)</f>
        <v>#REF!</v>
      </c>
      <c r="L431" s="29">
        <v>9748</v>
      </c>
      <c r="M431" s="29" t="s">
        <v>734</v>
      </c>
      <c r="N431" s="29">
        <v>10</v>
      </c>
      <c r="O431" s="29">
        <v>15.92</v>
      </c>
      <c r="P431" s="29">
        <v>223.48</v>
      </c>
      <c r="Q431" s="29">
        <v>0</v>
      </c>
      <c r="R431" s="29">
        <v>40.229999999999997</v>
      </c>
      <c r="S431" s="29">
        <v>263.70999999999998</v>
      </c>
      <c r="T431" s="29">
        <v>11</v>
      </c>
    </row>
    <row r="432" spans="2:20" hidden="1" outlineLevel="2">
      <c r="B432" s="29">
        <v>956915</v>
      </c>
      <c r="C432" s="29">
        <v>67</v>
      </c>
      <c r="D432" s="29" t="s">
        <v>591</v>
      </c>
      <c r="E432" s="29">
        <v>1846</v>
      </c>
      <c r="F432" s="29" t="s">
        <v>608</v>
      </c>
      <c r="G432" s="263">
        <v>42068</v>
      </c>
      <c r="H432" s="29">
        <v>4</v>
      </c>
      <c r="I432" s="29">
        <v>23868</v>
      </c>
      <c r="J432" s="29">
        <v>2</v>
      </c>
      <c r="K432" s="29" t="e">
        <f>VLOOKUP(J432,#REF!,2,0)</f>
        <v>#REF!</v>
      </c>
      <c r="L432" s="29">
        <v>1209</v>
      </c>
      <c r="M432" s="29" t="s">
        <v>735</v>
      </c>
      <c r="N432" s="29">
        <v>100</v>
      </c>
      <c r="O432" s="29">
        <v>55.57</v>
      </c>
      <c r="P432" s="29">
        <v>223.48</v>
      </c>
      <c r="Q432" s="29">
        <v>0</v>
      </c>
      <c r="R432" s="29">
        <v>40.229999999999997</v>
      </c>
      <c r="S432" s="29">
        <v>263.70999999999998</v>
      </c>
      <c r="T432" s="29">
        <v>11</v>
      </c>
    </row>
    <row r="433" spans="2:20" hidden="1" outlineLevel="2">
      <c r="B433" s="29">
        <v>957441</v>
      </c>
      <c r="C433" s="29">
        <v>67</v>
      </c>
      <c r="D433" s="29" t="s">
        <v>591</v>
      </c>
      <c r="E433" s="29">
        <v>1577</v>
      </c>
      <c r="F433" s="29" t="s">
        <v>683</v>
      </c>
      <c r="G433" s="263">
        <v>42074</v>
      </c>
      <c r="H433" s="29">
        <v>4</v>
      </c>
      <c r="I433" s="29">
        <v>24187</v>
      </c>
      <c r="J433" s="29">
        <v>2</v>
      </c>
      <c r="K433" s="29" t="e">
        <f>VLOOKUP(J433,#REF!,2,0)</f>
        <v>#REF!</v>
      </c>
      <c r="L433" s="29">
        <v>9694</v>
      </c>
      <c r="M433" s="29" t="s">
        <v>736</v>
      </c>
      <c r="N433" s="29">
        <v>10</v>
      </c>
      <c r="O433" s="29">
        <v>6.16</v>
      </c>
      <c r="P433" s="29">
        <v>303.18</v>
      </c>
      <c r="Q433" s="29">
        <v>0</v>
      </c>
      <c r="R433" s="29">
        <v>54.57</v>
      </c>
      <c r="S433" s="29">
        <v>357.75</v>
      </c>
      <c r="T433" s="29">
        <v>19</v>
      </c>
    </row>
    <row r="434" spans="2:20" hidden="1" outlineLevel="2">
      <c r="B434" s="29">
        <v>957441</v>
      </c>
      <c r="C434" s="29">
        <v>67</v>
      </c>
      <c r="D434" s="29" t="s">
        <v>591</v>
      </c>
      <c r="E434" s="29">
        <v>1577</v>
      </c>
      <c r="F434" s="29" t="s">
        <v>683</v>
      </c>
      <c r="G434" s="263">
        <v>42074</v>
      </c>
      <c r="H434" s="29">
        <v>4</v>
      </c>
      <c r="I434" s="29">
        <v>24187</v>
      </c>
      <c r="J434" s="29">
        <v>2</v>
      </c>
      <c r="K434" s="29" t="e">
        <f>VLOOKUP(J434,#REF!,2,0)</f>
        <v>#REF!</v>
      </c>
      <c r="L434" s="29">
        <v>12528</v>
      </c>
      <c r="M434" s="29" t="s">
        <v>737</v>
      </c>
      <c r="N434" s="29">
        <v>9</v>
      </c>
      <c r="O434" s="29">
        <v>4.13</v>
      </c>
      <c r="P434" s="29">
        <v>303.18</v>
      </c>
      <c r="Q434" s="29">
        <v>0</v>
      </c>
      <c r="R434" s="29">
        <v>54.57</v>
      </c>
      <c r="S434" s="29">
        <v>357.75</v>
      </c>
      <c r="T434" s="29">
        <v>19</v>
      </c>
    </row>
    <row r="435" spans="2:20" hidden="1" outlineLevel="2">
      <c r="B435" s="29">
        <v>957441</v>
      </c>
      <c r="C435" s="29">
        <v>67</v>
      </c>
      <c r="D435" s="29" t="s">
        <v>591</v>
      </c>
      <c r="E435" s="29">
        <v>1577</v>
      </c>
      <c r="F435" s="29" t="s">
        <v>683</v>
      </c>
      <c r="G435" s="263">
        <v>42074</v>
      </c>
      <c r="H435" s="29">
        <v>4</v>
      </c>
      <c r="I435" s="29">
        <v>24187</v>
      </c>
      <c r="J435" s="29">
        <v>2</v>
      </c>
      <c r="K435" s="29" t="e">
        <f>VLOOKUP(J435,#REF!,2,0)</f>
        <v>#REF!</v>
      </c>
      <c r="L435" s="29">
        <v>12528</v>
      </c>
      <c r="M435" s="29" t="s">
        <v>737</v>
      </c>
      <c r="N435" s="29">
        <v>1</v>
      </c>
      <c r="O435" s="29">
        <v>0.46</v>
      </c>
      <c r="P435" s="29">
        <v>303.18</v>
      </c>
      <c r="Q435" s="29">
        <v>0</v>
      </c>
      <c r="R435" s="29">
        <v>54.57</v>
      </c>
      <c r="S435" s="29">
        <v>357.75</v>
      </c>
      <c r="T435" s="29">
        <v>19</v>
      </c>
    </row>
    <row r="436" spans="2:20" hidden="1" outlineLevel="2">
      <c r="B436" s="29">
        <v>959111</v>
      </c>
      <c r="C436" s="29">
        <v>67</v>
      </c>
      <c r="D436" s="29" t="s">
        <v>591</v>
      </c>
      <c r="E436" s="29">
        <v>10456</v>
      </c>
      <c r="F436" s="29" t="s">
        <v>726</v>
      </c>
      <c r="G436" s="263">
        <v>42088</v>
      </c>
      <c r="H436" s="29">
        <v>4</v>
      </c>
      <c r="I436" s="29">
        <v>25184</v>
      </c>
      <c r="J436" s="29">
        <v>2</v>
      </c>
      <c r="K436" s="29" t="e">
        <f>VLOOKUP(J436,#REF!,2,0)</f>
        <v>#REF!</v>
      </c>
      <c r="L436" s="29">
        <v>21089</v>
      </c>
      <c r="M436" s="29" t="s">
        <v>738</v>
      </c>
      <c r="N436" s="29">
        <v>6</v>
      </c>
      <c r="O436" s="29">
        <v>2.97</v>
      </c>
      <c r="P436" s="29">
        <v>463.59</v>
      </c>
      <c r="Q436" s="29">
        <v>0</v>
      </c>
      <c r="R436" s="29">
        <v>83.45</v>
      </c>
      <c r="S436" s="29">
        <v>547.04</v>
      </c>
      <c r="T436" s="29">
        <v>14</v>
      </c>
    </row>
    <row r="437" spans="2:20" outlineLevel="1" collapsed="1">
      <c r="G437" s="263"/>
      <c r="K437" s="59" t="s">
        <v>739</v>
      </c>
      <c r="O437" s="29">
        <f>SUBTOTAL(9,O429:O436)</f>
        <v>122.28999999999998</v>
      </c>
    </row>
    <row r="438" spans="2:20">
      <c r="G438" s="263"/>
      <c r="K438" s="59" t="s">
        <v>740</v>
      </c>
      <c r="O438" s="29">
        <f>SUBTOTAL(9,O40:O436)</f>
        <v>29426.880000000016</v>
      </c>
    </row>
    <row r="447" spans="2:20">
      <c r="B447" s="29" t="s">
        <v>557</v>
      </c>
      <c r="C447" s="29" t="s">
        <v>741</v>
      </c>
      <c r="D447" s="29" t="s">
        <v>547</v>
      </c>
      <c r="E447" s="29" t="s">
        <v>741</v>
      </c>
      <c r="F447" s="29" t="s">
        <v>548</v>
      </c>
      <c r="G447" s="29" t="s">
        <v>741</v>
      </c>
      <c r="H447" s="29" t="s">
        <v>549</v>
      </c>
      <c r="I447" s="29" t="s">
        <v>741</v>
      </c>
      <c r="J447" s="29" t="s">
        <v>550</v>
      </c>
      <c r="K447" s="29" t="s">
        <v>741</v>
      </c>
      <c r="L447" s="29" t="s">
        <v>481</v>
      </c>
      <c r="M447" s="29" t="s">
        <v>741</v>
      </c>
      <c r="N447" s="29" t="s">
        <v>551</v>
      </c>
      <c r="O447" s="29" t="s">
        <v>741</v>
      </c>
    </row>
    <row r="448" spans="2:20">
      <c r="B448" s="29">
        <v>959101</v>
      </c>
      <c r="C448" s="29">
        <v>67</v>
      </c>
      <c r="D448" s="29" t="s">
        <v>591</v>
      </c>
      <c r="E448" s="29">
        <v>15820</v>
      </c>
      <c r="F448" s="29" t="s">
        <v>707</v>
      </c>
      <c r="G448" s="263">
        <v>42088</v>
      </c>
      <c r="H448" s="29">
        <v>4</v>
      </c>
      <c r="I448" s="29">
        <v>25152</v>
      </c>
      <c r="J448" s="29">
        <v>107.43</v>
      </c>
      <c r="K448" s="29">
        <v>0</v>
      </c>
      <c r="L448" s="29">
        <v>19.34</v>
      </c>
      <c r="M448" s="29">
        <v>126.77</v>
      </c>
      <c r="N448" s="29">
        <v>11</v>
      </c>
      <c r="O448" s="29">
        <v>63</v>
      </c>
    </row>
    <row r="449" spans="2:15">
      <c r="B449" s="29">
        <v>956718</v>
      </c>
      <c r="C449" s="29">
        <v>67</v>
      </c>
      <c r="D449" s="29" t="s">
        <v>591</v>
      </c>
      <c r="E449" s="29">
        <v>14765</v>
      </c>
      <c r="F449" s="29" t="s">
        <v>605</v>
      </c>
      <c r="G449" s="263">
        <v>42067</v>
      </c>
      <c r="H449" s="29">
        <v>4</v>
      </c>
      <c r="I449" s="29">
        <v>23759</v>
      </c>
      <c r="J449" s="29">
        <v>212.34</v>
      </c>
      <c r="K449" s="29">
        <v>0</v>
      </c>
      <c r="L449" s="29">
        <v>38.22</v>
      </c>
      <c r="M449" s="29">
        <v>250.56</v>
      </c>
      <c r="N449" s="29">
        <v>10</v>
      </c>
      <c r="O449" s="29">
        <v>2</v>
      </c>
    </row>
    <row r="450" spans="2:15">
      <c r="B450" s="29">
        <v>959103</v>
      </c>
      <c r="C450" s="29">
        <v>67</v>
      </c>
      <c r="D450" s="29" t="s">
        <v>591</v>
      </c>
      <c r="E450" s="29">
        <v>1711</v>
      </c>
      <c r="F450" s="29" t="s">
        <v>633</v>
      </c>
      <c r="G450" s="263">
        <v>42088</v>
      </c>
      <c r="H450" s="29">
        <v>4</v>
      </c>
      <c r="I450" s="29">
        <v>25153</v>
      </c>
      <c r="J450" s="29">
        <v>40.450000000000003</v>
      </c>
      <c r="K450" s="29">
        <v>0</v>
      </c>
      <c r="L450" s="29">
        <v>7.28</v>
      </c>
      <c r="M450" s="29">
        <v>47.73</v>
      </c>
      <c r="N450" s="29">
        <v>11</v>
      </c>
      <c r="O450" s="29">
        <v>28</v>
      </c>
    </row>
    <row r="451" spans="2:15">
      <c r="B451" s="29">
        <v>959097</v>
      </c>
      <c r="C451" s="29">
        <v>67</v>
      </c>
      <c r="D451" s="29" t="s">
        <v>591</v>
      </c>
      <c r="E451" s="29">
        <v>1158</v>
      </c>
      <c r="F451" s="29" t="s">
        <v>697</v>
      </c>
      <c r="G451" s="263">
        <v>42088</v>
      </c>
      <c r="H451" s="29">
        <v>4</v>
      </c>
      <c r="I451" s="29">
        <v>25149</v>
      </c>
      <c r="J451" s="29">
        <v>108.34</v>
      </c>
      <c r="K451" s="29">
        <v>0</v>
      </c>
      <c r="L451" s="29">
        <v>19.5</v>
      </c>
      <c r="M451" s="29">
        <v>127.84</v>
      </c>
      <c r="N451" s="29">
        <v>11</v>
      </c>
      <c r="O451" s="29">
        <v>39</v>
      </c>
    </row>
    <row r="452" spans="2:15">
      <c r="B452" s="29">
        <v>959100</v>
      </c>
      <c r="C452" s="29">
        <v>67</v>
      </c>
      <c r="D452" s="29" t="s">
        <v>591</v>
      </c>
      <c r="E452" s="29">
        <v>17028</v>
      </c>
      <c r="F452" s="29" t="s">
        <v>657</v>
      </c>
      <c r="G452" s="263">
        <v>42088</v>
      </c>
      <c r="H452" s="29">
        <v>4</v>
      </c>
      <c r="I452" s="29">
        <v>25151</v>
      </c>
      <c r="J452" s="29">
        <v>276.01</v>
      </c>
      <c r="K452" s="29">
        <v>0</v>
      </c>
      <c r="L452" s="29">
        <v>49.68</v>
      </c>
      <c r="M452" s="29">
        <v>325.69</v>
      </c>
      <c r="N452" s="29">
        <v>11</v>
      </c>
      <c r="O452" s="29">
        <v>50</v>
      </c>
    </row>
    <row r="453" spans="2:15">
      <c r="B453" s="29">
        <v>959205</v>
      </c>
      <c r="C453" s="29">
        <v>67</v>
      </c>
      <c r="D453" s="29" t="s">
        <v>591</v>
      </c>
      <c r="E453" s="29">
        <v>14461</v>
      </c>
      <c r="F453" s="29" t="s">
        <v>706</v>
      </c>
      <c r="G453" s="263">
        <v>42089</v>
      </c>
      <c r="H453" s="29">
        <v>4</v>
      </c>
      <c r="I453" s="29">
        <v>25207</v>
      </c>
      <c r="J453" s="29">
        <v>426.75</v>
      </c>
      <c r="K453" s="29">
        <v>0</v>
      </c>
      <c r="L453" s="29">
        <v>76.819999999999993</v>
      </c>
      <c r="M453" s="29">
        <v>503.57</v>
      </c>
      <c r="N453" s="29">
        <v>19</v>
      </c>
      <c r="O453" s="29">
        <v>61</v>
      </c>
    </row>
    <row r="454" spans="2:15">
      <c r="B454" s="29">
        <v>959143</v>
      </c>
      <c r="C454" s="29">
        <v>67</v>
      </c>
      <c r="D454" s="29" t="s">
        <v>591</v>
      </c>
      <c r="E454" s="29">
        <v>16381</v>
      </c>
      <c r="F454" s="29" t="s">
        <v>695</v>
      </c>
      <c r="G454" s="263">
        <v>42088</v>
      </c>
      <c r="H454" s="29">
        <v>4</v>
      </c>
      <c r="I454" s="29">
        <v>25182</v>
      </c>
      <c r="J454" s="29">
        <v>202.85</v>
      </c>
      <c r="K454" s="29">
        <v>0</v>
      </c>
      <c r="L454" s="29">
        <v>36.51</v>
      </c>
      <c r="M454" s="29">
        <v>239.36</v>
      </c>
      <c r="N454" s="29">
        <v>8</v>
      </c>
      <c r="O454" s="29">
        <v>31</v>
      </c>
    </row>
    <row r="455" spans="2:15">
      <c r="B455" s="29">
        <v>956915</v>
      </c>
      <c r="C455" s="29">
        <v>67</v>
      </c>
      <c r="D455" s="29" t="s">
        <v>591</v>
      </c>
      <c r="E455" s="29">
        <v>1846</v>
      </c>
      <c r="F455" s="33" t="s">
        <v>608</v>
      </c>
      <c r="G455" s="263">
        <v>42068</v>
      </c>
      <c r="H455" s="29">
        <v>4</v>
      </c>
      <c r="I455" s="29">
        <v>23868</v>
      </c>
      <c r="J455" s="29">
        <v>223.48</v>
      </c>
      <c r="K455" s="29">
        <v>0</v>
      </c>
      <c r="L455" s="29">
        <v>40.229999999999997</v>
      </c>
      <c r="M455" s="29">
        <v>263.70999999999998</v>
      </c>
      <c r="N455" s="29">
        <v>11</v>
      </c>
      <c r="O455" s="29">
        <v>3</v>
      </c>
    </row>
    <row r="456" spans="2:15">
      <c r="B456" s="29">
        <v>959087</v>
      </c>
      <c r="C456" s="29">
        <v>67</v>
      </c>
      <c r="D456" s="29" t="s">
        <v>591</v>
      </c>
      <c r="E456" s="29">
        <v>1846</v>
      </c>
      <c r="F456" s="33" t="s">
        <v>608</v>
      </c>
      <c r="G456" s="263">
        <v>42088</v>
      </c>
      <c r="H456" s="29">
        <v>4</v>
      </c>
      <c r="I456" s="29">
        <v>25143</v>
      </c>
      <c r="J456" s="29">
        <v>108.07</v>
      </c>
      <c r="K456" s="29">
        <v>0</v>
      </c>
      <c r="L456" s="29">
        <v>19.45</v>
      </c>
      <c r="M456" s="29">
        <v>127.52</v>
      </c>
      <c r="N456" s="29">
        <v>11</v>
      </c>
      <c r="O456" s="29">
        <v>16</v>
      </c>
    </row>
    <row r="457" spans="2:15">
      <c r="B457" s="29">
        <v>957204</v>
      </c>
      <c r="C457" s="29">
        <v>67</v>
      </c>
      <c r="D457" s="29" t="s">
        <v>591</v>
      </c>
      <c r="E457" s="29">
        <v>17402</v>
      </c>
      <c r="F457" s="29" t="s">
        <v>681</v>
      </c>
      <c r="G457" s="263">
        <v>42073</v>
      </c>
      <c r="H457" s="29">
        <v>4</v>
      </c>
      <c r="I457" s="29">
        <v>24029</v>
      </c>
      <c r="J457" s="29">
        <v>250.17</v>
      </c>
      <c r="K457" s="29">
        <v>0</v>
      </c>
      <c r="L457" s="29">
        <v>45.03</v>
      </c>
      <c r="M457" s="29">
        <v>295.2</v>
      </c>
      <c r="N457" s="29">
        <v>8</v>
      </c>
      <c r="O457" s="29">
        <v>8</v>
      </c>
    </row>
    <row r="458" spans="2:15">
      <c r="B458" s="29">
        <v>956733</v>
      </c>
      <c r="C458" s="29">
        <v>67</v>
      </c>
      <c r="D458" s="29" t="s">
        <v>591</v>
      </c>
      <c r="E458" s="29">
        <v>17063</v>
      </c>
      <c r="F458" s="29" t="s">
        <v>632</v>
      </c>
      <c r="G458" s="263">
        <v>42088</v>
      </c>
      <c r="H458" s="29">
        <v>4</v>
      </c>
      <c r="I458" s="29">
        <v>25121</v>
      </c>
      <c r="J458" s="29">
        <v>162.75</v>
      </c>
      <c r="K458" s="29">
        <v>14.4</v>
      </c>
      <c r="L458" s="29">
        <v>29.3</v>
      </c>
      <c r="M458" s="29">
        <v>206.45</v>
      </c>
      <c r="N458" s="29">
        <v>19</v>
      </c>
      <c r="O458" s="29">
        <v>24</v>
      </c>
    </row>
    <row r="459" spans="2:15">
      <c r="B459" s="29">
        <v>957125</v>
      </c>
      <c r="C459" s="29">
        <v>67</v>
      </c>
      <c r="D459" s="29" t="s">
        <v>591</v>
      </c>
      <c r="E459" s="29">
        <v>14050</v>
      </c>
      <c r="F459" s="33" t="s">
        <v>617</v>
      </c>
      <c r="G459" s="263">
        <v>42072</v>
      </c>
      <c r="H459" s="29">
        <v>4</v>
      </c>
      <c r="I459" s="29">
        <v>23984</v>
      </c>
      <c r="J459" s="29">
        <v>50.32</v>
      </c>
      <c r="K459" s="29">
        <v>35.369999999999997</v>
      </c>
      <c r="L459" s="29">
        <v>9.06</v>
      </c>
      <c r="M459" s="29">
        <v>94.75</v>
      </c>
      <c r="N459" s="29">
        <v>5</v>
      </c>
      <c r="O459" s="29">
        <v>5</v>
      </c>
    </row>
    <row r="460" spans="2:15">
      <c r="B460" s="29">
        <v>959128</v>
      </c>
      <c r="C460" s="29">
        <v>67</v>
      </c>
      <c r="D460" s="29" t="s">
        <v>591</v>
      </c>
      <c r="E460" s="29">
        <v>14050</v>
      </c>
      <c r="F460" s="33" t="s">
        <v>617</v>
      </c>
      <c r="G460" s="263">
        <v>42088</v>
      </c>
      <c r="H460" s="29">
        <v>4</v>
      </c>
      <c r="I460" s="29">
        <v>25164</v>
      </c>
      <c r="J460" s="29">
        <v>209.18</v>
      </c>
      <c r="K460" s="29">
        <v>0</v>
      </c>
      <c r="L460" s="29">
        <v>37.65</v>
      </c>
      <c r="M460" s="29">
        <v>246.83</v>
      </c>
      <c r="N460" s="29">
        <v>5</v>
      </c>
      <c r="O460" s="29">
        <v>56</v>
      </c>
    </row>
    <row r="461" spans="2:15">
      <c r="B461" s="29">
        <v>959123</v>
      </c>
      <c r="C461" s="29">
        <v>67</v>
      </c>
      <c r="D461" s="29" t="s">
        <v>591</v>
      </c>
      <c r="E461" s="29">
        <v>12618</v>
      </c>
      <c r="F461" s="29" t="s">
        <v>702</v>
      </c>
      <c r="G461" s="263">
        <v>42088</v>
      </c>
      <c r="H461" s="29">
        <v>4</v>
      </c>
      <c r="I461" s="29">
        <v>25161</v>
      </c>
      <c r="J461" s="29">
        <v>304.29000000000002</v>
      </c>
      <c r="K461" s="29">
        <v>0</v>
      </c>
      <c r="L461" s="29">
        <v>54.77</v>
      </c>
      <c r="M461" s="29">
        <v>359.06</v>
      </c>
      <c r="N461" s="29">
        <v>8</v>
      </c>
      <c r="O461" s="29">
        <v>53</v>
      </c>
    </row>
    <row r="462" spans="2:15">
      <c r="B462" s="29">
        <v>956706</v>
      </c>
      <c r="C462" s="29">
        <v>67</v>
      </c>
      <c r="D462" s="29" t="s">
        <v>591</v>
      </c>
      <c r="E462" s="29">
        <v>11648</v>
      </c>
      <c r="F462" s="29" t="s">
        <v>638</v>
      </c>
      <c r="G462" s="263">
        <v>42088</v>
      </c>
      <c r="H462" s="29">
        <v>4</v>
      </c>
      <c r="I462" s="29">
        <v>25119</v>
      </c>
      <c r="J462" s="29">
        <v>254.54</v>
      </c>
      <c r="K462" s="29">
        <v>78.569999999999993</v>
      </c>
      <c r="L462" s="29">
        <v>45.82</v>
      </c>
      <c r="M462" s="29">
        <v>378.93</v>
      </c>
      <c r="N462" s="29">
        <v>8</v>
      </c>
      <c r="O462" s="29">
        <v>36</v>
      </c>
    </row>
    <row r="463" spans="2:15">
      <c r="B463" s="29">
        <v>959081</v>
      </c>
      <c r="C463" s="29">
        <v>67</v>
      </c>
      <c r="D463" s="29" t="s">
        <v>591</v>
      </c>
      <c r="E463" s="29">
        <v>1762</v>
      </c>
      <c r="F463" s="29" t="s">
        <v>685</v>
      </c>
      <c r="G463" s="263">
        <v>42088</v>
      </c>
      <c r="H463" s="29">
        <v>4</v>
      </c>
      <c r="I463" s="29">
        <v>25137</v>
      </c>
      <c r="J463" s="29">
        <v>239.2</v>
      </c>
      <c r="K463" s="29">
        <v>0</v>
      </c>
      <c r="L463" s="29">
        <v>43.06</v>
      </c>
      <c r="M463" s="29">
        <v>282.26</v>
      </c>
      <c r="N463" s="29">
        <v>10</v>
      </c>
      <c r="O463" s="29">
        <v>13</v>
      </c>
    </row>
    <row r="464" spans="2:15">
      <c r="B464" s="29">
        <v>959144</v>
      </c>
      <c r="C464" s="29">
        <v>67</v>
      </c>
      <c r="D464" s="29" t="s">
        <v>591</v>
      </c>
      <c r="E464" s="29">
        <v>11855</v>
      </c>
      <c r="F464" s="29" t="s">
        <v>699</v>
      </c>
      <c r="G464" s="263">
        <v>42088</v>
      </c>
      <c r="H464" s="29">
        <v>4</v>
      </c>
      <c r="I464" s="29">
        <v>25183</v>
      </c>
      <c r="J464" s="29">
        <v>237.64</v>
      </c>
      <c r="K464" s="29">
        <v>0</v>
      </c>
      <c r="L464" s="29">
        <v>42.78</v>
      </c>
      <c r="M464" s="29">
        <v>280.42</v>
      </c>
      <c r="N464" s="29">
        <v>8</v>
      </c>
      <c r="O464" s="29">
        <v>43</v>
      </c>
    </row>
    <row r="465" spans="2:15">
      <c r="B465" s="29">
        <v>959119</v>
      </c>
      <c r="C465" s="29">
        <v>67</v>
      </c>
      <c r="D465" s="29" t="s">
        <v>591</v>
      </c>
      <c r="E465" s="29">
        <v>3346</v>
      </c>
      <c r="F465" s="29" t="s">
        <v>658</v>
      </c>
      <c r="G465" s="263">
        <v>42088</v>
      </c>
      <c r="H465" s="29">
        <v>4</v>
      </c>
      <c r="I465" s="29">
        <v>25157</v>
      </c>
      <c r="J465" s="29">
        <v>76.67</v>
      </c>
      <c r="K465" s="29">
        <v>0</v>
      </c>
      <c r="L465" s="29">
        <v>13.8</v>
      </c>
      <c r="M465" s="29">
        <v>90.47</v>
      </c>
      <c r="N465" s="29">
        <v>8</v>
      </c>
      <c r="O465" s="29">
        <v>52</v>
      </c>
    </row>
    <row r="466" spans="2:15">
      <c r="B466" s="29">
        <v>959855</v>
      </c>
      <c r="C466" s="29">
        <v>67</v>
      </c>
      <c r="D466" s="29" t="s">
        <v>591</v>
      </c>
      <c r="E466" s="29">
        <v>17056</v>
      </c>
      <c r="F466" s="29" t="s">
        <v>665</v>
      </c>
      <c r="G466" s="263">
        <v>42094</v>
      </c>
      <c r="H466" s="29">
        <v>4</v>
      </c>
      <c r="I466" s="29">
        <v>25574</v>
      </c>
      <c r="J466" s="29">
        <v>149.03</v>
      </c>
      <c r="K466" s="29">
        <v>0</v>
      </c>
      <c r="L466" s="29">
        <v>26.83</v>
      </c>
      <c r="M466" s="29">
        <v>175.86</v>
      </c>
      <c r="N466" s="29">
        <v>11</v>
      </c>
      <c r="O466" s="29">
        <v>67</v>
      </c>
    </row>
    <row r="467" spans="2:15">
      <c r="B467" s="29">
        <v>959084</v>
      </c>
      <c r="C467" s="29">
        <v>67</v>
      </c>
      <c r="D467" s="29" t="s">
        <v>591</v>
      </c>
      <c r="E467" s="29">
        <v>1556</v>
      </c>
      <c r="F467" s="29" t="s">
        <v>656</v>
      </c>
      <c r="G467" s="263">
        <v>42088</v>
      </c>
      <c r="H467" s="29">
        <v>4</v>
      </c>
      <c r="I467" s="29">
        <v>25140</v>
      </c>
      <c r="J467" s="29">
        <v>118.15</v>
      </c>
      <c r="K467" s="29">
        <v>0</v>
      </c>
      <c r="L467" s="29">
        <v>21.27</v>
      </c>
      <c r="M467" s="29">
        <v>139.41999999999999</v>
      </c>
      <c r="N467" s="29">
        <v>10</v>
      </c>
      <c r="O467" s="29">
        <v>48</v>
      </c>
    </row>
    <row r="468" spans="2:15">
      <c r="B468" s="29">
        <v>959111</v>
      </c>
      <c r="C468" s="29">
        <v>67</v>
      </c>
      <c r="D468" s="29" t="s">
        <v>591</v>
      </c>
      <c r="E468" s="29">
        <v>10456</v>
      </c>
      <c r="F468" s="29" t="s">
        <v>726</v>
      </c>
      <c r="G468" s="263">
        <v>42088</v>
      </c>
      <c r="H468" s="29">
        <v>4</v>
      </c>
      <c r="I468" s="29">
        <v>25184</v>
      </c>
      <c r="J468" s="29">
        <v>463.59</v>
      </c>
      <c r="K468" s="29">
        <v>0</v>
      </c>
      <c r="L468" s="29">
        <v>83.45</v>
      </c>
      <c r="M468" s="29">
        <v>547.04</v>
      </c>
      <c r="N468" s="29">
        <v>14</v>
      </c>
      <c r="O468" s="29">
        <v>44</v>
      </c>
    </row>
    <row r="469" spans="2:15">
      <c r="B469" s="29">
        <v>956511</v>
      </c>
      <c r="C469" s="29">
        <v>67</v>
      </c>
      <c r="D469" s="29" t="s">
        <v>591</v>
      </c>
      <c r="E469" s="29">
        <v>14608</v>
      </c>
      <c r="F469" s="29" t="s">
        <v>592</v>
      </c>
      <c r="G469" s="263">
        <v>42065</v>
      </c>
      <c r="H469" s="29">
        <v>4</v>
      </c>
      <c r="I469" s="29">
        <v>23614</v>
      </c>
      <c r="J469" s="29">
        <v>2447.0300000000002</v>
      </c>
      <c r="K469" s="29">
        <v>276.48</v>
      </c>
      <c r="L469" s="29">
        <v>440.47</v>
      </c>
      <c r="M469" s="29">
        <v>3163.98</v>
      </c>
      <c r="N469" s="29">
        <v>10</v>
      </c>
      <c r="O469" s="29">
        <v>1</v>
      </c>
    </row>
    <row r="470" spans="2:15">
      <c r="B470" s="29">
        <v>956714</v>
      </c>
      <c r="C470" s="29">
        <v>67</v>
      </c>
      <c r="D470" s="29" t="s">
        <v>591</v>
      </c>
      <c r="E470" s="29">
        <v>17037</v>
      </c>
      <c r="F470" s="29" t="s">
        <v>652</v>
      </c>
      <c r="G470" s="263">
        <v>42088</v>
      </c>
      <c r="H470" s="29">
        <v>4</v>
      </c>
      <c r="I470" s="29">
        <v>25120</v>
      </c>
      <c r="J470" s="29">
        <v>226.73</v>
      </c>
      <c r="K470" s="29">
        <v>141.12</v>
      </c>
      <c r="L470" s="29">
        <v>40.81</v>
      </c>
      <c r="M470" s="29">
        <v>408.66</v>
      </c>
      <c r="N470" s="29">
        <v>11</v>
      </c>
      <c r="O470" s="29">
        <v>46</v>
      </c>
    </row>
    <row r="471" spans="2:15">
      <c r="B471" s="29">
        <v>959141</v>
      </c>
      <c r="C471" s="29">
        <v>67</v>
      </c>
      <c r="D471" s="29" t="s">
        <v>591</v>
      </c>
      <c r="E471" s="29">
        <v>15435</v>
      </c>
      <c r="F471" s="29" t="s">
        <v>634</v>
      </c>
      <c r="G471" s="263">
        <v>42088</v>
      </c>
      <c r="H471" s="29">
        <v>4</v>
      </c>
      <c r="I471" s="29">
        <v>25180</v>
      </c>
      <c r="J471" s="29">
        <v>268.92</v>
      </c>
      <c r="K471" s="29">
        <v>0</v>
      </c>
      <c r="L471" s="29">
        <v>48.41</v>
      </c>
      <c r="M471" s="29">
        <v>317.33</v>
      </c>
      <c r="N471" s="29">
        <v>5</v>
      </c>
      <c r="O471" s="29">
        <v>29</v>
      </c>
    </row>
    <row r="472" spans="2:15">
      <c r="B472" s="29">
        <v>959203</v>
      </c>
      <c r="C472" s="29">
        <v>67</v>
      </c>
      <c r="D472" s="29" t="s">
        <v>591</v>
      </c>
      <c r="E472" s="29">
        <v>16554</v>
      </c>
      <c r="F472" s="29" t="s">
        <v>637</v>
      </c>
      <c r="G472" s="263">
        <v>42089</v>
      </c>
      <c r="H472" s="29">
        <v>4</v>
      </c>
      <c r="I472" s="29">
        <v>25205</v>
      </c>
      <c r="J472" s="29">
        <v>488.29</v>
      </c>
      <c r="K472" s="29">
        <v>0</v>
      </c>
      <c r="L472" s="29">
        <v>87.89</v>
      </c>
      <c r="M472" s="29">
        <v>576.17999999999995</v>
      </c>
      <c r="N472" s="29">
        <v>11</v>
      </c>
      <c r="O472" s="29">
        <v>35</v>
      </c>
    </row>
    <row r="473" spans="2:15">
      <c r="B473" s="29">
        <v>956505</v>
      </c>
      <c r="C473" s="29">
        <v>67</v>
      </c>
      <c r="D473" s="29" t="s">
        <v>591</v>
      </c>
      <c r="E473" s="29">
        <v>1646</v>
      </c>
      <c r="F473" s="33" t="s">
        <v>661</v>
      </c>
      <c r="G473" s="263">
        <v>42088</v>
      </c>
      <c r="H473" s="29">
        <v>4</v>
      </c>
      <c r="I473" s="29">
        <v>25117</v>
      </c>
      <c r="J473" s="29">
        <v>524.62</v>
      </c>
      <c r="K473" s="29">
        <v>0</v>
      </c>
      <c r="L473" s="29">
        <v>94.43</v>
      </c>
      <c r="M473" s="29">
        <v>619.04999999999995</v>
      </c>
      <c r="N473" s="29">
        <v>14</v>
      </c>
      <c r="O473" s="29">
        <v>26</v>
      </c>
    </row>
    <row r="474" spans="2:15">
      <c r="B474" s="29">
        <v>956506</v>
      </c>
      <c r="C474" s="29">
        <v>67</v>
      </c>
      <c r="D474" s="29" t="s">
        <v>591</v>
      </c>
      <c r="E474" s="29">
        <v>1646</v>
      </c>
      <c r="F474" s="33" t="s">
        <v>661</v>
      </c>
      <c r="G474" s="263">
        <v>42088</v>
      </c>
      <c r="H474" s="29">
        <v>4</v>
      </c>
      <c r="I474" s="29">
        <v>25116</v>
      </c>
      <c r="J474" s="29">
        <v>1343.79</v>
      </c>
      <c r="K474" s="29">
        <v>0</v>
      </c>
      <c r="L474" s="29">
        <v>241.88</v>
      </c>
      <c r="M474" s="29">
        <v>1585.67</v>
      </c>
      <c r="N474" s="29">
        <v>14</v>
      </c>
      <c r="O474" s="29">
        <v>64</v>
      </c>
    </row>
    <row r="475" spans="2:15">
      <c r="B475" s="29">
        <v>956507</v>
      </c>
      <c r="C475" s="29">
        <v>67</v>
      </c>
      <c r="D475" s="29" t="s">
        <v>591</v>
      </c>
      <c r="E475" s="29">
        <v>1646</v>
      </c>
      <c r="F475" s="33" t="s">
        <v>661</v>
      </c>
      <c r="G475" s="263">
        <v>42088</v>
      </c>
      <c r="H475" s="29">
        <v>4</v>
      </c>
      <c r="I475" s="29">
        <v>25115</v>
      </c>
      <c r="J475" s="29">
        <v>1461.54</v>
      </c>
      <c r="K475" s="29">
        <v>288.11</v>
      </c>
      <c r="L475" s="29">
        <v>263.08</v>
      </c>
      <c r="M475" s="29">
        <v>2012.73</v>
      </c>
      <c r="N475" s="29">
        <v>14</v>
      </c>
      <c r="O475" s="29">
        <v>65</v>
      </c>
    </row>
    <row r="476" spans="2:15">
      <c r="B476" s="29">
        <v>956508</v>
      </c>
      <c r="C476" s="29">
        <v>67</v>
      </c>
      <c r="D476" s="29" t="s">
        <v>591</v>
      </c>
      <c r="E476" s="29">
        <v>1646</v>
      </c>
      <c r="F476" s="33" t="s">
        <v>661</v>
      </c>
      <c r="G476" s="263">
        <v>42088</v>
      </c>
      <c r="H476" s="29">
        <v>4</v>
      </c>
      <c r="I476" s="29">
        <v>25114</v>
      </c>
      <c r="J476" s="29">
        <v>43.2</v>
      </c>
      <c r="K476" s="29">
        <v>0</v>
      </c>
      <c r="L476" s="29">
        <v>7.78</v>
      </c>
      <c r="M476" s="29">
        <v>50.98</v>
      </c>
      <c r="N476" s="29">
        <v>14</v>
      </c>
      <c r="O476" s="29">
        <v>66</v>
      </c>
    </row>
    <row r="477" spans="2:15">
      <c r="B477" s="29">
        <v>959122</v>
      </c>
      <c r="C477" s="29">
        <v>67</v>
      </c>
      <c r="D477" s="29" t="s">
        <v>591</v>
      </c>
      <c r="E477" s="29">
        <v>3925</v>
      </c>
      <c r="F477" s="29" t="s">
        <v>650</v>
      </c>
      <c r="G477" s="263">
        <v>42088</v>
      </c>
      <c r="H477" s="29">
        <v>4</v>
      </c>
      <c r="I477" s="29">
        <v>25160</v>
      </c>
      <c r="J477" s="29">
        <v>201.51</v>
      </c>
      <c r="K477" s="29">
        <v>0</v>
      </c>
      <c r="L477" s="29">
        <v>36.270000000000003</v>
      </c>
      <c r="M477" s="29">
        <v>237.78</v>
      </c>
      <c r="N477" s="29">
        <v>8</v>
      </c>
      <c r="O477" s="29">
        <v>42</v>
      </c>
    </row>
    <row r="478" spans="2:15">
      <c r="B478" s="29">
        <v>959120</v>
      </c>
      <c r="C478" s="29">
        <v>67</v>
      </c>
      <c r="D478" s="29" t="s">
        <v>591</v>
      </c>
      <c r="E478" s="29">
        <v>16690</v>
      </c>
      <c r="F478" s="29" t="s">
        <v>691</v>
      </c>
      <c r="G478" s="263">
        <v>42088</v>
      </c>
      <c r="H478" s="29">
        <v>4</v>
      </c>
      <c r="I478" s="29">
        <v>25158</v>
      </c>
      <c r="J478" s="29">
        <v>139.05000000000001</v>
      </c>
      <c r="K478" s="29">
        <v>0</v>
      </c>
      <c r="L478" s="29">
        <v>25.03</v>
      </c>
      <c r="M478" s="29">
        <v>164.08</v>
      </c>
      <c r="N478" s="29">
        <v>8</v>
      </c>
      <c r="O478" s="29">
        <v>20</v>
      </c>
    </row>
    <row r="479" spans="2:15">
      <c r="B479" s="29">
        <v>959117</v>
      </c>
      <c r="C479" s="29">
        <v>67</v>
      </c>
      <c r="D479" s="29" t="s">
        <v>591</v>
      </c>
      <c r="E479" s="29">
        <v>3716</v>
      </c>
      <c r="F479" s="29" t="s">
        <v>649</v>
      </c>
      <c r="G479" s="263">
        <v>42088</v>
      </c>
      <c r="H479" s="29">
        <v>4</v>
      </c>
      <c r="I479" s="29">
        <v>25156</v>
      </c>
      <c r="J479" s="29">
        <v>26.84</v>
      </c>
      <c r="K479" s="29">
        <v>0</v>
      </c>
      <c r="L479" s="29">
        <v>4.83</v>
      </c>
      <c r="M479" s="29">
        <v>31.67</v>
      </c>
      <c r="N479" s="29">
        <v>8</v>
      </c>
      <c r="O479" s="29">
        <v>41</v>
      </c>
    </row>
    <row r="480" spans="2:15">
      <c r="B480" s="29">
        <v>959098</v>
      </c>
      <c r="C480" s="29">
        <v>67</v>
      </c>
      <c r="D480" s="29" t="s">
        <v>591</v>
      </c>
      <c r="E480" s="29">
        <v>17302</v>
      </c>
      <c r="F480" s="29" t="s">
        <v>698</v>
      </c>
      <c r="G480" s="263">
        <v>42088</v>
      </c>
      <c r="H480" s="29">
        <v>4</v>
      </c>
      <c r="I480" s="29">
        <v>25150</v>
      </c>
      <c r="J480" s="29">
        <v>369.63</v>
      </c>
      <c r="K480" s="29">
        <v>0</v>
      </c>
      <c r="L480" s="29">
        <v>66.53</v>
      </c>
      <c r="M480" s="29">
        <v>436.16</v>
      </c>
      <c r="N480" s="29">
        <v>5</v>
      </c>
      <c r="O480" s="29">
        <v>40</v>
      </c>
    </row>
    <row r="481" spans="2:15">
      <c r="B481" s="29">
        <v>959126</v>
      </c>
      <c r="C481" s="29">
        <v>67</v>
      </c>
      <c r="D481" s="29" t="s">
        <v>591</v>
      </c>
      <c r="E481" s="29">
        <v>8311</v>
      </c>
      <c r="F481" s="29" t="s">
        <v>704</v>
      </c>
      <c r="G481" s="263">
        <v>42088</v>
      </c>
      <c r="H481" s="29">
        <v>4</v>
      </c>
      <c r="I481" s="29">
        <v>25163</v>
      </c>
      <c r="J481" s="29">
        <v>62.59</v>
      </c>
      <c r="K481" s="29">
        <v>0</v>
      </c>
      <c r="L481" s="29">
        <v>11.27</v>
      </c>
      <c r="M481" s="29">
        <v>73.86</v>
      </c>
      <c r="N481" s="29">
        <v>19</v>
      </c>
      <c r="O481" s="29">
        <v>55</v>
      </c>
    </row>
    <row r="482" spans="2:15">
      <c r="B482" s="29">
        <v>959199</v>
      </c>
      <c r="C482" s="29">
        <v>67</v>
      </c>
      <c r="D482" s="29" t="s">
        <v>591</v>
      </c>
      <c r="E482" s="29">
        <v>1544</v>
      </c>
      <c r="F482" s="29" t="s">
        <v>636</v>
      </c>
      <c r="G482" s="263">
        <v>42089</v>
      </c>
      <c r="H482" s="29">
        <v>4</v>
      </c>
      <c r="I482" s="29">
        <v>25201</v>
      </c>
      <c r="J482" s="29">
        <v>36.409999999999997</v>
      </c>
      <c r="K482" s="29">
        <v>0</v>
      </c>
      <c r="L482" s="29">
        <v>6.55</v>
      </c>
      <c r="M482" s="29">
        <v>42.96</v>
      </c>
      <c r="N482" s="29">
        <v>11</v>
      </c>
      <c r="O482" s="29">
        <v>34</v>
      </c>
    </row>
    <row r="483" spans="2:15">
      <c r="B483" s="29">
        <v>957440</v>
      </c>
      <c r="C483" s="29">
        <v>67</v>
      </c>
      <c r="D483" s="29" t="s">
        <v>591</v>
      </c>
      <c r="E483" s="29">
        <v>15484</v>
      </c>
      <c r="F483" s="33" t="s">
        <v>623</v>
      </c>
      <c r="G483" s="263">
        <v>42074</v>
      </c>
      <c r="H483" s="29">
        <v>4</v>
      </c>
      <c r="I483" s="29">
        <v>24188</v>
      </c>
      <c r="J483" s="29">
        <v>443.05</v>
      </c>
      <c r="K483" s="29">
        <v>0</v>
      </c>
      <c r="L483" s="29">
        <v>79.75</v>
      </c>
      <c r="M483" s="29">
        <v>522.79999999999995</v>
      </c>
      <c r="N483" s="29">
        <v>19</v>
      </c>
      <c r="O483" s="29">
        <v>12</v>
      </c>
    </row>
    <row r="484" spans="2:15">
      <c r="B484" s="29">
        <v>959197</v>
      </c>
      <c r="C484" s="29">
        <v>67</v>
      </c>
      <c r="D484" s="29" t="s">
        <v>591</v>
      </c>
      <c r="E484" s="29">
        <v>15484</v>
      </c>
      <c r="F484" s="33" t="s">
        <v>623</v>
      </c>
      <c r="G484" s="263">
        <v>42089</v>
      </c>
      <c r="H484" s="29">
        <v>4</v>
      </c>
      <c r="I484" s="29">
        <v>25196</v>
      </c>
      <c r="J484" s="29">
        <v>477.16</v>
      </c>
      <c r="K484" s="29">
        <v>0</v>
      </c>
      <c r="L484" s="29">
        <v>85.89</v>
      </c>
      <c r="M484" s="29">
        <v>563.04999999999995</v>
      </c>
      <c r="N484" s="29">
        <v>19</v>
      </c>
      <c r="O484" s="29">
        <v>57</v>
      </c>
    </row>
    <row r="485" spans="2:15">
      <c r="B485" s="29">
        <v>957441</v>
      </c>
      <c r="C485" s="29">
        <v>67</v>
      </c>
      <c r="D485" s="29" t="s">
        <v>591</v>
      </c>
      <c r="E485" s="29">
        <v>1577</v>
      </c>
      <c r="F485" s="29" t="s">
        <v>683</v>
      </c>
      <c r="G485" s="263">
        <v>42074</v>
      </c>
      <c r="H485" s="29">
        <v>4</v>
      </c>
      <c r="I485" s="29">
        <v>24187</v>
      </c>
      <c r="J485" s="29">
        <v>303.18</v>
      </c>
      <c r="K485" s="29">
        <v>0</v>
      </c>
      <c r="L485" s="29">
        <v>54.57</v>
      </c>
      <c r="M485" s="29">
        <v>357.75</v>
      </c>
      <c r="N485" s="29">
        <v>19</v>
      </c>
      <c r="O485" s="29">
        <v>11</v>
      </c>
    </row>
    <row r="486" spans="2:15">
      <c r="B486" s="29">
        <v>956918</v>
      </c>
      <c r="C486" s="29">
        <v>67</v>
      </c>
      <c r="D486" s="29" t="s">
        <v>591</v>
      </c>
      <c r="E486" s="29">
        <v>13104</v>
      </c>
      <c r="F486" s="33" t="s">
        <v>609</v>
      </c>
      <c r="G486" s="263">
        <v>42068</v>
      </c>
      <c r="H486" s="29">
        <v>4</v>
      </c>
      <c r="I486" s="29">
        <v>23869</v>
      </c>
      <c r="J486" s="29">
        <v>341.99</v>
      </c>
      <c r="K486" s="29">
        <v>225.17</v>
      </c>
      <c r="L486" s="29">
        <v>61.56</v>
      </c>
      <c r="M486" s="29">
        <v>628.72</v>
      </c>
      <c r="N486" s="29">
        <v>10</v>
      </c>
      <c r="O486" s="29">
        <v>4</v>
      </c>
    </row>
    <row r="487" spans="2:15">
      <c r="B487" s="29">
        <v>959085</v>
      </c>
      <c r="C487" s="29">
        <v>67</v>
      </c>
      <c r="D487" s="29" t="s">
        <v>591</v>
      </c>
      <c r="E487" s="29">
        <v>13104</v>
      </c>
      <c r="F487" s="33" t="s">
        <v>609</v>
      </c>
      <c r="G487" s="263">
        <v>42088</v>
      </c>
      <c r="H487" s="29">
        <v>4</v>
      </c>
      <c r="I487" s="29">
        <v>25141</v>
      </c>
      <c r="J487" s="29">
        <v>377.23</v>
      </c>
      <c r="K487" s="29">
        <v>0</v>
      </c>
      <c r="L487" s="29">
        <v>67.900000000000006</v>
      </c>
      <c r="M487" s="29">
        <v>445.13</v>
      </c>
      <c r="N487" s="29">
        <v>10</v>
      </c>
      <c r="O487" s="29">
        <v>14</v>
      </c>
    </row>
    <row r="488" spans="2:15">
      <c r="B488" s="29">
        <v>956703</v>
      </c>
      <c r="C488" s="29">
        <v>67</v>
      </c>
      <c r="D488" s="29" t="s">
        <v>591</v>
      </c>
      <c r="E488" s="29">
        <v>16340</v>
      </c>
      <c r="F488" s="29" t="s">
        <v>694</v>
      </c>
      <c r="G488" s="263">
        <v>42088</v>
      </c>
      <c r="H488" s="29">
        <v>4</v>
      </c>
      <c r="I488" s="29">
        <v>25118</v>
      </c>
      <c r="J488" s="29">
        <v>1752.03</v>
      </c>
      <c r="K488" s="29">
        <v>0</v>
      </c>
      <c r="L488" s="29">
        <v>315.37</v>
      </c>
      <c r="M488" s="29">
        <v>2067.4</v>
      </c>
      <c r="N488" s="29">
        <v>5</v>
      </c>
      <c r="O488" s="29">
        <v>27</v>
      </c>
    </row>
    <row r="489" spans="2:15">
      <c r="B489" s="29">
        <v>957128</v>
      </c>
      <c r="C489" s="29">
        <v>67</v>
      </c>
      <c r="D489" s="29" t="s">
        <v>591</v>
      </c>
      <c r="E489" s="29">
        <v>14401</v>
      </c>
      <c r="F489" s="33" t="s">
        <v>620</v>
      </c>
      <c r="G489" s="263">
        <v>42073</v>
      </c>
      <c r="H489" s="29">
        <v>4</v>
      </c>
      <c r="I489" s="29">
        <v>23999</v>
      </c>
      <c r="J489" s="29">
        <v>298.69</v>
      </c>
      <c r="K489" s="29">
        <v>0</v>
      </c>
      <c r="L489" s="29">
        <v>53.76</v>
      </c>
      <c r="M489" s="29">
        <v>352.45</v>
      </c>
      <c r="N489" s="29">
        <v>8</v>
      </c>
      <c r="O489" s="29">
        <v>7</v>
      </c>
    </row>
    <row r="490" spans="2:15">
      <c r="B490" s="29">
        <v>959113</v>
      </c>
      <c r="C490" s="29">
        <v>67</v>
      </c>
      <c r="D490" s="29" t="s">
        <v>591</v>
      </c>
      <c r="E490" s="29">
        <v>14401</v>
      </c>
      <c r="F490" s="33" t="s">
        <v>620</v>
      </c>
      <c r="G490" s="263">
        <v>42088</v>
      </c>
      <c r="H490" s="29">
        <v>4</v>
      </c>
      <c r="I490" s="29">
        <v>25154</v>
      </c>
      <c r="J490" s="29">
        <v>299.81</v>
      </c>
      <c r="K490" s="29">
        <v>0</v>
      </c>
      <c r="L490" s="29">
        <v>53.97</v>
      </c>
      <c r="M490" s="29">
        <v>353.78</v>
      </c>
      <c r="N490" s="29">
        <v>8</v>
      </c>
      <c r="O490" s="29">
        <v>19</v>
      </c>
    </row>
    <row r="491" spans="2:15">
      <c r="B491" s="29">
        <v>959114</v>
      </c>
      <c r="C491" s="29">
        <v>67</v>
      </c>
      <c r="D491" s="29" t="s">
        <v>591</v>
      </c>
      <c r="E491" s="29">
        <v>1728</v>
      </c>
      <c r="F491" s="29" t="s">
        <v>701</v>
      </c>
      <c r="G491" s="263">
        <v>42088</v>
      </c>
      <c r="H491" s="29">
        <v>4</v>
      </c>
      <c r="I491" s="29">
        <v>25155</v>
      </c>
      <c r="J491" s="29">
        <v>217.85</v>
      </c>
      <c r="K491" s="29">
        <v>0</v>
      </c>
      <c r="L491" s="29">
        <v>39.21</v>
      </c>
      <c r="M491" s="29">
        <v>257.06</v>
      </c>
      <c r="N491" s="29">
        <v>8</v>
      </c>
      <c r="O491" s="29">
        <v>51</v>
      </c>
    </row>
    <row r="492" spans="2:15">
      <c r="B492" s="29">
        <v>959096</v>
      </c>
      <c r="C492" s="29">
        <v>67</v>
      </c>
      <c r="D492" s="29" t="s">
        <v>591</v>
      </c>
      <c r="E492" s="29">
        <v>17390</v>
      </c>
      <c r="F492" s="29" t="s">
        <v>700</v>
      </c>
      <c r="G492" s="263">
        <v>42088</v>
      </c>
      <c r="H492" s="29">
        <v>4</v>
      </c>
      <c r="I492" s="29">
        <v>25148</v>
      </c>
      <c r="J492" s="29">
        <v>350.25</v>
      </c>
      <c r="K492" s="29">
        <v>0</v>
      </c>
      <c r="L492" s="29">
        <v>63.05</v>
      </c>
      <c r="M492" s="29">
        <v>413.3</v>
      </c>
      <c r="N492" s="29">
        <v>11</v>
      </c>
      <c r="O492" s="29">
        <v>49</v>
      </c>
    </row>
    <row r="493" spans="2:15">
      <c r="B493" s="29">
        <v>959086</v>
      </c>
      <c r="C493" s="29">
        <v>67</v>
      </c>
      <c r="D493" s="29" t="s">
        <v>591</v>
      </c>
      <c r="E493" s="29">
        <v>12277</v>
      </c>
      <c r="F493" s="29" t="s">
        <v>688</v>
      </c>
      <c r="G493" s="263">
        <v>42088</v>
      </c>
      <c r="H493" s="29">
        <v>4</v>
      </c>
      <c r="I493" s="29">
        <v>25142</v>
      </c>
      <c r="J493" s="29">
        <v>212.68</v>
      </c>
      <c r="K493" s="29">
        <v>0</v>
      </c>
      <c r="L493" s="29">
        <v>38.28</v>
      </c>
      <c r="M493" s="29">
        <v>250.96</v>
      </c>
      <c r="N493" s="29">
        <v>10</v>
      </c>
      <c r="O493" s="29">
        <v>15</v>
      </c>
    </row>
    <row r="494" spans="2:15">
      <c r="B494" s="29">
        <v>959195</v>
      </c>
      <c r="C494" s="29">
        <v>67</v>
      </c>
      <c r="D494" s="29" t="s">
        <v>591</v>
      </c>
      <c r="E494" s="29">
        <v>14408</v>
      </c>
      <c r="F494" s="29" t="s">
        <v>659</v>
      </c>
      <c r="G494" s="263">
        <v>42089</v>
      </c>
      <c r="H494" s="29">
        <v>4</v>
      </c>
      <c r="I494" s="29">
        <v>25194</v>
      </c>
      <c r="J494" s="29">
        <v>197.9</v>
      </c>
      <c r="K494" s="29">
        <v>0</v>
      </c>
      <c r="L494" s="29">
        <v>35.619999999999997</v>
      </c>
      <c r="M494" s="29">
        <v>233.52</v>
      </c>
      <c r="N494" s="29">
        <v>19</v>
      </c>
      <c r="O494" s="29">
        <v>58</v>
      </c>
    </row>
    <row r="495" spans="2:15">
      <c r="B495" s="29">
        <v>959066</v>
      </c>
      <c r="C495" s="29">
        <v>67</v>
      </c>
      <c r="D495" s="29" t="s">
        <v>591</v>
      </c>
      <c r="E495" s="29">
        <v>13077</v>
      </c>
      <c r="F495" s="33" t="s">
        <v>631</v>
      </c>
      <c r="G495" s="263">
        <v>42088</v>
      </c>
      <c r="H495" s="29">
        <v>4</v>
      </c>
      <c r="I495" s="29">
        <v>25111</v>
      </c>
      <c r="J495" s="29">
        <v>3287.93</v>
      </c>
      <c r="K495" s="29">
        <v>0</v>
      </c>
      <c r="L495" s="29">
        <v>591.83000000000004</v>
      </c>
      <c r="M495" s="29">
        <v>3879.76</v>
      </c>
      <c r="N495" s="29">
        <v>14</v>
      </c>
      <c r="O495" s="29">
        <v>23</v>
      </c>
    </row>
    <row r="496" spans="2:15">
      <c r="B496" s="29">
        <v>956773</v>
      </c>
      <c r="C496" s="29">
        <v>67</v>
      </c>
      <c r="D496" s="29" t="s">
        <v>591</v>
      </c>
      <c r="E496" s="29">
        <v>13077</v>
      </c>
      <c r="F496" s="33" t="s">
        <v>631</v>
      </c>
      <c r="G496" s="263">
        <v>42088</v>
      </c>
      <c r="H496" s="29">
        <v>4</v>
      </c>
      <c r="I496" s="29">
        <v>25122</v>
      </c>
      <c r="J496" s="29">
        <v>88.46</v>
      </c>
      <c r="K496" s="29">
        <v>0</v>
      </c>
      <c r="L496" s="29">
        <v>15.92</v>
      </c>
      <c r="M496" s="29">
        <v>104.38</v>
      </c>
      <c r="N496" s="29">
        <v>14</v>
      </c>
      <c r="O496" s="29">
        <v>25</v>
      </c>
    </row>
    <row r="497" spans="2:15">
      <c r="B497" s="29">
        <v>957254</v>
      </c>
      <c r="C497" s="29">
        <v>67</v>
      </c>
      <c r="D497" s="29" t="s">
        <v>591</v>
      </c>
      <c r="E497" s="29">
        <v>13077</v>
      </c>
      <c r="F497" s="33" t="s">
        <v>631</v>
      </c>
      <c r="G497" s="263">
        <v>42088</v>
      </c>
      <c r="H497" s="29">
        <v>4</v>
      </c>
      <c r="I497" s="29">
        <v>25125</v>
      </c>
      <c r="J497" s="29">
        <v>1407.94</v>
      </c>
      <c r="K497" s="29">
        <v>0</v>
      </c>
      <c r="L497" s="29">
        <v>253.43</v>
      </c>
      <c r="M497" s="29">
        <v>1661.37</v>
      </c>
      <c r="N497" s="29">
        <v>14</v>
      </c>
      <c r="O497" s="29">
        <v>38</v>
      </c>
    </row>
    <row r="498" spans="2:15">
      <c r="B498" s="29">
        <v>959206</v>
      </c>
      <c r="C498" s="29">
        <v>67</v>
      </c>
      <c r="D498" s="29" t="s">
        <v>591</v>
      </c>
      <c r="E498" s="29">
        <v>13077</v>
      </c>
      <c r="F498" s="33" t="s">
        <v>631</v>
      </c>
      <c r="G498" s="263">
        <v>42089</v>
      </c>
      <c r="H498" s="29">
        <v>4</v>
      </c>
      <c r="I498" s="29">
        <v>25208</v>
      </c>
      <c r="J498" s="29">
        <v>238.78</v>
      </c>
      <c r="K498" s="29">
        <v>0</v>
      </c>
      <c r="L498" s="29">
        <v>42.98</v>
      </c>
      <c r="M498" s="29">
        <v>281.76</v>
      </c>
      <c r="N498" s="29">
        <v>14</v>
      </c>
      <c r="O498" s="29">
        <v>62</v>
      </c>
    </row>
    <row r="499" spans="2:15">
      <c r="B499" s="29">
        <v>959124</v>
      </c>
      <c r="C499" s="29">
        <v>67</v>
      </c>
      <c r="D499" s="29" t="s">
        <v>591</v>
      </c>
      <c r="E499" s="29">
        <v>11319</v>
      </c>
      <c r="F499" s="29" t="s">
        <v>703</v>
      </c>
      <c r="G499" s="263">
        <v>42088</v>
      </c>
      <c r="H499" s="29">
        <v>4</v>
      </c>
      <c r="I499" s="29">
        <v>25162</v>
      </c>
      <c r="J499" s="29">
        <v>331.26</v>
      </c>
      <c r="K499" s="29">
        <v>0</v>
      </c>
      <c r="L499" s="29">
        <v>59.63</v>
      </c>
      <c r="M499" s="29">
        <v>390.89</v>
      </c>
      <c r="N499" s="29">
        <v>19</v>
      </c>
      <c r="O499" s="29">
        <v>54</v>
      </c>
    </row>
    <row r="500" spans="2:15">
      <c r="B500" s="29">
        <v>959198</v>
      </c>
      <c r="C500" s="29">
        <v>67</v>
      </c>
      <c r="D500" s="29" t="s">
        <v>591</v>
      </c>
      <c r="E500" s="29">
        <v>14985</v>
      </c>
      <c r="F500" s="29" t="s">
        <v>660</v>
      </c>
      <c r="G500" s="263">
        <v>42089</v>
      </c>
      <c r="H500" s="29">
        <v>4</v>
      </c>
      <c r="I500" s="29">
        <v>25198</v>
      </c>
      <c r="J500" s="29">
        <v>87.42</v>
      </c>
      <c r="K500" s="29">
        <v>0</v>
      </c>
      <c r="L500" s="29">
        <v>15.74</v>
      </c>
      <c r="M500" s="29">
        <v>103.16</v>
      </c>
      <c r="N500" s="29">
        <v>19</v>
      </c>
      <c r="O500" s="29">
        <v>60</v>
      </c>
    </row>
    <row r="501" spans="2:15">
      <c r="B501" s="29">
        <v>959083</v>
      </c>
      <c r="C501" s="29">
        <v>67</v>
      </c>
      <c r="D501" s="29" t="s">
        <v>591</v>
      </c>
      <c r="E501" s="29">
        <v>1370</v>
      </c>
      <c r="F501" s="29" t="s">
        <v>655</v>
      </c>
      <c r="G501" s="263">
        <v>42088</v>
      </c>
      <c r="H501" s="29">
        <v>4</v>
      </c>
      <c r="I501" s="29">
        <v>25139</v>
      </c>
      <c r="J501" s="29">
        <v>220.11</v>
      </c>
      <c r="K501" s="29">
        <v>0</v>
      </c>
      <c r="L501" s="29">
        <v>39.619999999999997</v>
      </c>
      <c r="M501" s="29">
        <v>259.73</v>
      </c>
      <c r="N501" s="29">
        <v>10</v>
      </c>
      <c r="O501" s="29">
        <v>47</v>
      </c>
    </row>
    <row r="502" spans="2:15">
      <c r="B502" s="29">
        <v>959092</v>
      </c>
      <c r="C502" s="29">
        <v>67</v>
      </c>
      <c r="D502" s="29" t="s">
        <v>591</v>
      </c>
      <c r="E502" s="29">
        <v>14160</v>
      </c>
      <c r="F502" s="29" t="s">
        <v>629</v>
      </c>
      <c r="G502" s="263">
        <v>42088</v>
      </c>
      <c r="H502" s="29">
        <v>4</v>
      </c>
      <c r="I502" s="29">
        <v>25145</v>
      </c>
      <c r="J502" s="29">
        <v>110.12</v>
      </c>
      <c r="K502" s="29">
        <v>0</v>
      </c>
      <c r="L502" s="29">
        <v>19.82</v>
      </c>
      <c r="M502" s="29">
        <v>129.94</v>
      </c>
      <c r="N502" s="29">
        <v>11</v>
      </c>
      <c r="O502" s="29">
        <v>18</v>
      </c>
    </row>
    <row r="503" spans="2:15">
      <c r="B503" s="29">
        <v>957148</v>
      </c>
      <c r="C503" s="29">
        <v>67</v>
      </c>
      <c r="D503" s="29" t="s">
        <v>591</v>
      </c>
      <c r="E503" s="29">
        <v>16684</v>
      </c>
      <c r="F503" s="33" t="s">
        <v>642</v>
      </c>
      <c r="G503" s="263">
        <v>42088</v>
      </c>
      <c r="H503" s="29">
        <v>4</v>
      </c>
      <c r="I503" s="29">
        <v>25124</v>
      </c>
      <c r="J503" s="29">
        <v>1301.3599999999999</v>
      </c>
      <c r="K503" s="29">
        <v>0</v>
      </c>
      <c r="L503" s="29">
        <v>234.24</v>
      </c>
      <c r="M503" s="29">
        <v>1535.6</v>
      </c>
      <c r="N503" s="29">
        <v>11</v>
      </c>
      <c r="O503" s="29">
        <v>37</v>
      </c>
    </row>
    <row r="504" spans="2:15">
      <c r="B504" s="29">
        <v>957147</v>
      </c>
      <c r="C504" s="29">
        <v>67</v>
      </c>
      <c r="D504" s="29" t="s">
        <v>591</v>
      </c>
      <c r="E504" s="29">
        <v>16684</v>
      </c>
      <c r="F504" s="33" t="s">
        <v>642</v>
      </c>
      <c r="G504" s="263">
        <v>42088</v>
      </c>
      <c r="H504" s="29">
        <v>4</v>
      </c>
      <c r="I504" s="29">
        <v>25123</v>
      </c>
      <c r="J504" s="29">
        <v>1672.96</v>
      </c>
      <c r="K504" s="29">
        <v>70.73</v>
      </c>
      <c r="L504" s="29">
        <v>301.13</v>
      </c>
      <c r="M504" s="29">
        <v>2044.82</v>
      </c>
      <c r="N504" s="29">
        <v>11</v>
      </c>
      <c r="O504" s="29">
        <v>45</v>
      </c>
    </row>
    <row r="505" spans="2:15">
      <c r="B505" s="29">
        <v>959121</v>
      </c>
      <c r="C505" s="29">
        <v>67</v>
      </c>
      <c r="D505" s="29" t="s">
        <v>591</v>
      </c>
      <c r="E505" s="29">
        <v>17376</v>
      </c>
      <c r="F505" s="29" t="s">
        <v>693</v>
      </c>
      <c r="G505" s="263">
        <v>42088</v>
      </c>
      <c r="H505" s="29">
        <v>4</v>
      </c>
      <c r="I505" s="29">
        <v>25159</v>
      </c>
      <c r="J505" s="29">
        <v>103.11</v>
      </c>
      <c r="K505" s="29">
        <v>0</v>
      </c>
      <c r="L505" s="29">
        <v>18.559999999999999</v>
      </c>
      <c r="M505" s="29">
        <v>121.67</v>
      </c>
      <c r="N505" s="29">
        <v>8</v>
      </c>
      <c r="O505" s="29">
        <v>21</v>
      </c>
    </row>
    <row r="506" spans="2:15">
      <c r="B506" s="29">
        <v>957124</v>
      </c>
      <c r="C506" s="29">
        <v>67</v>
      </c>
      <c r="D506" s="29" t="s">
        <v>591</v>
      </c>
      <c r="E506" s="29">
        <v>15008</v>
      </c>
      <c r="F506" s="29" t="s">
        <v>618</v>
      </c>
      <c r="G506" s="263">
        <v>42072</v>
      </c>
      <c r="H506" s="29">
        <v>4</v>
      </c>
      <c r="I506" s="29">
        <v>23985</v>
      </c>
      <c r="J506" s="29">
        <v>455.28</v>
      </c>
      <c r="K506" s="29">
        <v>174.07</v>
      </c>
      <c r="L506" s="29">
        <v>81.95</v>
      </c>
      <c r="M506" s="29">
        <v>711.3</v>
      </c>
      <c r="N506" s="29">
        <v>5</v>
      </c>
      <c r="O506" s="29">
        <v>6</v>
      </c>
    </row>
    <row r="507" spans="2:15">
      <c r="B507" s="29">
        <v>959145</v>
      </c>
      <c r="C507" s="29">
        <v>67</v>
      </c>
      <c r="D507" s="29" t="s">
        <v>591</v>
      </c>
      <c r="E507" s="29">
        <v>13502</v>
      </c>
      <c r="F507" s="29" t="s">
        <v>696</v>
      </c>
      <c r="G507" s="263">
        <v>42088</v>
      </c>
      <c r="H507" s="29">
        <v>4</v>
      </c>
      <c r="I507" s="29">
        <v>25187</v>
      </c>
      <c r="J507" s="29">
        <v>224.16</v>
      </c>
      <c r="K507" s="29">
        <v>0</v>
      </c>
      <c r="L507" s="29">
        <v>40.35</v>
      </c>
      <c r="M507" s="29">
        <v>264.51</v>
      </c>
      <c r="N507" s="29">
        <v>8</v>
      </c>
      <c r="O507" s="29">
        <v>32</v>
      </c>
    </row>
    <row r="508" spans="2:15">
      <c r="B508" s="29">
        <v>959089</v>
      </c>
      <c r="C508" s="29">
        <v>67</v>
      </c>
      <c r="D508" s="29" t="s">
        <v>591</v>
      </c>
      <c r="E508" s="29">
        <v>12789</v>
      </c>
      <c r="F508" s="29" t="s">
        <v>689</v>
      </c>
      <c r="G508" s="263">
        <v>42088</v>
      </c>
      <c r="H508" s="29">
        <v>4</v>
      </c>
      <c r="I508" s="29">
        <v>25144</v>
      </c>
      <c r="J508" s="29">
        <v>207.76</v>
      </c>
      <c r="K508" s="29">
        <v>0</v>
      </c>
      <c r="L508" s="29">
        <v>37.4</v>
      </c>
      <c r="M508" s="29">
        <v>245.16</v>
      </c>
      <c r="N508" s="29">
        <v>11</v>
      </c>
      <c r="O508" s="29">
        <v>17</v>
      </c>
    </row>
    <row r="509" spans="2:15">
      <c r="B509" s="29">
        <v>957290</v>
      </c>
      <c r="C509" s="29">
        <v>67</v>
      </c>
      <c r="D509" s="29" t="s">
        <v>591</v>
      </c>
      <c r="E509" s="29">
        <v>13740</v>
      </c>
      <c r="F509" s="33" t="s">
        <v>622</v>
      </c>
      <c r="G509" s="263">
        <v>42073</v>
      </c>
      <c r="H509" s="29">
        <v>4</v>
      </c>
      <c r="I509" s="29">
        <v>24083</v>
      </c>
      <c r="J509" s="29">
        <v>100.47</v>
      </c>
      <c r="K509" s="29">
        <v>0</v>
      </c>
      <c r="L509" s="29">
        <v>18.079999999999998</v>
      </c>
      <c r="M509" s="29">
        <v>118.55</v>
      </c>
      <c r="N509" s="29">
        <v>8</v>
      </c>
      <c r="O509" s="29">
        <v>10</v>
      </c>
    </row>
    <row r="510" spans="2:15">
      <c r="B510" s="29">
        <v>959146</v>
      </c>
      <c r="C510" s="29">
        <v>67</v>
      </c>
      <c r="D510" s="29" t="s">
        <v>591</v>
      </c>
      <c r="E510" s="29">
        <v>13740</v>
      </c>
      <c r="F510" s="33" t="s">
        <v>622</v>
      </c>
      <c r="G510" s="263">
        <v>42088</v>
      </c>
      <c r="H510" s="29">
        <v>4</v>
      </c>
      <c r="I510" s="29">
        <v>25188</v>
      </c>
      <c r="J510" s="29">
        <v>213.73</v>
      </c>
      <c r="K510" s="29">
        <v>0</v>
      </c>
      <c r="L510" s="29">
        <v>38.47</v>
      </c>
      <c r="M510" s="29">
        <v>252.2</v>
      </c>
      <c r="N510" s="29">
        <v>8</v>
      </c>
      <c r="O510" s="29">
        <v>22</v>
      </c>
    </row>
    <row r="511" spans="2:15">
      <c r="B511" s="29">
        <v>959196</v>
      </c>
      <c r="C511" s="29">
        <v>67</v>
      </c>
      <c r="D511" s="29" t="s">
        <v>591</v>
      </c>
      <c r="E511" s="29">
        <v>12431</v>
      </c>
      <c r="F511" s="29" t="s">
        <v>705</v>
      </c>
      <c r="G511" s="263">
        <v>42089</v>
      </c>
      <c r="H511" s="29">
        <v>4</v>
      </c>
      <c r="I511" s="29">
        <v>25195</v>
      </c>
      <c r="J511" s="29">
        <v>264.52999999999997</v>
      </c>
      <c r="K511" s="29">
        <v>0</v>
      </c>
      <c r="L511" s="29">
        <v>47.62</v>
      </c>
      <c r="M511" s="29">
        <v>312.14999999999998</v>
      </c>
      <c r="N511" s="29">
        <v>8</v>
      </c>
      <c r="O511" s="29">
        <v>59</v>
      </c>
    </row>
    <row r="512" spans="2:15">
      <c r="B512" s="29">
        <v>959142</v>
      </c>
      <c r="C512" s="29">
        <v>67</v>
      </c>
      <c r="D512" s="29" t="s">
        <v>591</v>
      </c>
      <c r="E512" s="29">
        <v>17043</v>
      </c>
      <c r="F512" s="29" t="s">
        <v>635</v>
      </c>
      <c r="G512" s="263">
        <v>42088</v>
      </c>
      <c r="H512" s="29">
        <v>4</v>
      </c>
      <c r="I512" s="29">
        <v>25181</v>
      </c>
      <c r="J512" s="29">
        <v>268.94</v>
      </c>
      <c r="K512" s="29">
        <v>0</v>
      </c>
      <c r="L512" s="29">
        <v>48.41</v>
      </c>
      <c r="M512" s="29">
        <v>317.35000000000002</v>
      </c>
      <c r="N512" s="29">
        <v>5</v>
      </c>
      <c r="O512" s="29">
        <v>30</v>
      </c>
    </row>
    <row r="513" spans="2:15">
      <c r="B513" s="29">
        <v>957289</v>
      </c>
      <c r="C513" s="29">
        <v>67</v>
      </c>
      <c r="D513" s="29" t="s">
        <v>591</v>
      </c>
      <c r="E513" s="29">
        <v>10139</v>
      </c>
      <c r="F513" s="33" t="s">
        <v>621</v>
      </c>
      <c r="G513" s="263">
        <v>42073</v>
      </c>
      <c r="H513" s="29">
        <v>4</v>
      </c>
      <c r="I513" s="29">
        <v>24082</v>
      </c>
      <c r="J513" s="29">
        <v>0</v>
      </c>
      <c r="K513" s="29">
        <v>345.6</v>
      </c>
      <c r="L513" s="29">
        <v>0</v>
      </c>
      <c r="M513" s="29">
        <v>345.6</v>
      </c>
      <c r="N513" s="29">
        <v>8</v>
      </c>
      <c r="O513" s="29">
        <v>9</v>
      </c>
    </row>
    <row r="514" spans="2:15">
      <c r="B514" s="29">
        <v>959194</v>
      </c>
      <c r="C514" s="29">
        <v>67</v>
      </c>
      <c r="D514" s="29" t="s">
        <v>591</v>
      </c>
      <c r="E514" s="29">
        <v>10139</v>
      </c>
      <c r="F514" s="33" t="s">
        <v>621</v>
      </c>
      <c r="G514" s="263">
        <v>42089</v>
      </c>
      <c r="H514" s="29">
        <v>4</v>
      </c>
      <c r="I514" s="29">
        <v>25193</v>
      </c>
      <c r="J514" s="29">
        <v>59.72</v>
      </c>
      <c r="K514" s="29">
        <v>0</v>
      </c>
      <c r="L514" s="29">
        <v>10.75</v>
      </c>
      <c r="M514" s="29">
        <v>70.47</v>
      </c>
      <c r="N514" s="29">
        <v>8</v>
      </c>
      <c r="O514" s="29">
        <v>33</v>
      </c>
    </row>
    <row r="521" spans="2:15">
      <c r="C521" s="144" t="s">
        <v>742</v>
      </c>
    </row>
    <row r="523" spans="2:15" ht="14.45" customHeight="1">
      <c r="C523" s="144"/>
      <c r="D523" s="381" t="s">
        <v>743</v>
      </c>
      <c r="E523" s="381" t="s">
        <v>744</v>
      </c>
      <c r="F523" s="282"/>
      <c r="G523" s="282"/>
      <c r="H523" s="282"/>
    </row>
    <row r="524" spans="2:15">
      <c r="C524" s="144"/>
      <c r="D524" s="381"/>
      <c r="E524" s="381"/>
      <c r="F524" s="282">
        <v>1.4999999999999999E-2</v>
      </c>
      <c r="G524" s="282">
        <v>1.7999999999999999E-2</v>
      </c>
      <c r="H524" s="282">
        <v>0.02</v>
      </c>
    </row>
    <row r="525" spans="2:15">
      <c r="C525" s="29" t="s">
        <v>173</v>
      </c>
      <c r="D525" s="194">
        <v>30000</v>
      </c>
      <c r="E525" s="194">
        <f>D525*50%</f>
        <v>15000</v>
      </c>
      <c r="F525" s="194">
        <f>E525*1.5%</f>
        <v>225</v>
      </c>
      <c r="G525" s="194">
        <f>E525*1.8%</f>
        <v>270.00000000000006</v>
      </c>
      <c r="H525" s="194">
        <f>E525*2%</f>
        <v>300</v>
      </c>
    </row>
    <row r="526" spans="2:15">
      <c r="C526" s="29" t="s">
        <v>190</v>
      </c>
      <c r="D526" s="194">
        <v>40000</v>
      </c>
      <c r="E526" s="194">
        <f>D526*50%</f>
        <v>20000</v>
      </c>
      <c r="F526" s="194">
        <f>E526*1.5%</f>
        <v>300</v>
      </c>
      <c r="G526" s="194">
        <f>E526*1.8%</f>
        <v>360.00000000000006</v>
      </c>
      <c r="H526" s="194">
        <f>E526*2%</f>
        <v>400</v>
      </c>
    </row>
    <row r="527" spans="2:15">
      <c r="C527" s="29" t="s">
        <v>167</v>
      </c>
      <c r="D527" s="194">
        <v>30000</v>
      </c>
      <c r="E527" s="194">
        <f>D527*50%</f>
        <v>15000</v>
      </c>
      <c r="F527" s="194">
        <f>E527*1.5%</f>
        <v>225</v>
      </c>
      <c r="G527" s="194">
        <f>E527*1.8%</f>
        <v>270.00000000000006</v>
      </c>
      <c r="H527" s="194">
        <f>E527*2%</f>
        <v>300</v>
      </c>
    </row>
    <row r="528" spans="2:15">
      <c r="C528" s="29" t="s">
        <v>193</v>
      </c>
      <c r="D528" s="194">
        <v>6000</v>
      </c>
      <c r="E528" s="194">
        <f>D528*50%</f>
        <v>3000</v>
      </c>
      <c r="F528" s="194">
        <f>E528*1.5%</f>
        <v>45</v>
      </c>
      <c r="G528" s="194">
        <f>E528*1.8%</f>
        <v>54.000000000000007</v>
      </c>
      <c r="H528" s="194">
        <f>E528*2%</f>
        <v>60</v>
      </c>
    </row>
    <row r="529" spans="3:8">
      <c r="C529" s="283" t="s">
        <v>745</v>
      </c>
      <c r="D529" s="284"/>
      <c r="E529" s="284"/>
      <c r="F529" s="285">
        <f>SUM(F525:F528)</f>
        <v>795</v>
      </c>
      <c r="G529" s="285">
        <f>SUM(G525:G528)</f>
        <v>954.00000000000023</v>
      </c>
      <c r="H529" s="286">
        <f>SUM(H525:H528)</f>
        <v>1060</v>
      </c>
    </row>
    <row r="530" spans="3:8">
      <c r="C530" s="144" t="s">
        <v>746</v>
      </c>
      <c r="F530" s="194"/>
      <c r="G530" s="194"/>
      <c r="H530" s="194"/>
    </row>
    <row r="531" spans="3:8">
      <c r="C531" s="29" t="s">
        <v>747</v>
      </c>
      <c r="D531" s="194">
        <v>200</v>
      </c>
      <c r="F531" s="287">
        <f>F529+D531</f>
        <v>995</v>
      </c>
      <c r="G531" s="287">
        <f>G529+D531</f>
        <v>1154.0000000000002</v>
      </c>
      <c r="H531" s="287">
        <f>H529+D531</f>
        <v>1260</v>
      </c>
    </row>
    <row r="532" spans="3:8">
      <c r="C532" s="29" t="s">
        <v>748</v>
      </c>
      <c r="D532" s="194">
        <v>150</v>
      </c>
      <c r="F532" s="287">
        <f>F529+D532</f>
        <v>945</v>
      </c>
      <c r="G532" s="287">
        <f>G529+D532</f>
        <v>1104.0000000000002</v>
      </c>
      <c r="H532" s="287">
        <f>H529+D532</f>
        <v>1210</v>
      </c>
    </row>
    <row r="533" spans="3:8">
      <c r="C533" s="29" t="s">
        <v>749</v>
      </c>
      <c r="D533" s="194">
        <v>100</v>
      </c>
      <c r="F533" s="287">
        <f>F529+D533</f>
        <v>895</v>
      </c>
      <c r="G533" s="287">
        <f>G529+D533</f>
        <v>1054.0000000000002</v>
      </c>
      <c r="H533" s="287">
        <f>H529+D533</f>
        <v>1160</v>
      </c>
    </row>
    <row r="536" spans="3:8">
      <c r="C536" s="144" t="s">
        <v>750</v>
      </c>
      <c r="D536" s="144"/>
      <c r="E536" s="144"/>
      <c r="F536" s="144"/>
      <c r="G536" s="144"/>
    </row>
    <row r="537" spans="3:8">
      <c r="C537" s="144" t="s">
        <v>751</v>
      </c>
      <c r="D537" s="144"/>
      <c r="E537" s="144"/>
      <c r="F537" s="144"/>
      <c r="G537" s="144"/>
    </row>
  </sheetData>
  <autoFilter ref="B447:O447" xr:uid="{00000000-0009-0000-0000-000024000000}"/>
  <mergeCells count="2">
    <mergeCell ref="D523:D524"/>
    <mergeCell ref="E523:E5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1"/>
  <sheetViews>
    <sheetView zoomScale="120" zoomScaleNormal="120" workbookViewId="0">
      <selection activeCell="P16" sqref="P16"/>
    </sheetView>
  </sheetViews>
  <sheetFormatPr baseColWidth="10" defaultColWidth="8.85546875" defaultRowHeight="15"/>
  <cols>
    <col min="1" max="1" width="9.140625" customWidth="1"/>
    <col min="2" max="2" width="14.140625" customWidth="1"/>
    <col min="3" max="3" width="11.5703125" customWidth="1"/>
    <col min="4" max="4" width="11.140625" customWidth="1"/>
    <col min="5" max="5" width="9.28515625" customWidth="1"/>
    <col min="6" max="8" width="9.140625" customWidth="1"/>
    <col min="9" max="9" width="9.85546875" customWidth="1"/>
    <col min="10" max="1025" width="9.140625" customWidth="1"/>
  </cols>
  <sheetData>
    <row r="1" spans="1:9">
      <c r="A1" s="84" t="s">
        <v>112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113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20142_25</v>
      </c>
    </row>
    <row r="3" spans="1:9">
      <c r="A3" s="84" t="s">
        <v>114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25</v>
      </c>
    </row>
    <row r="5" spans="1:9">
      <c r="A5" s="120" t="s">
        <v>115</v>
      </c>
      <c r="B5" s="120"/>
      <c r="C5" s="120"/>
      <c r="D5" s="120"/>
      <c r="E5" s="120"/>
      <c r="F5" s="120"/>
      <c r="G5" s="120"/>
      <c r="H5" s="120"/>
      <c r="I5" s="278">
        <v>42064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116</v>
      </c>
      <c r="B7" s="120"/>
      <c r="C7" s="84" t="s">
        <v>752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118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120</v>
      </c>
      <c r="B10" s="120"/>
      <c r="C10" s="120"/>
      <c r="D10" s="120"/>
      <c r="E10" s="120"/>
      <c r="F10" s="120"/>
      <c r="G10" s="120"/>
      <c r="H10" s="120"/>
      <c r="I10" s="181">
        <v>130</v>
      </c>
    </row>
    <row r="11" spans="1:9">
      <c r="A11" s="120" t="s">
        <v>492</v>
      </c>
      <c r="B11" s="120"/>
      <c r="C11" s="120"/>
      <c r="D11" s="120"/>
      <c r="E11" s="120"/>
      <c r="F11" s="182"/>
      <c r="G11" s="182"/>
      <c r="H11" s="182"/>
      <c r="I11" s="181"/>
    </row>
    <row r="12" spans="1:9">
      <c r="A12" s="120" t="s">
        <v>753</v>
      </c>
      <c r="B12" s="120"/>
      <c r="C12" s="120">
        <v>57</v>
      </c>
      <c r="D12" s="120"/>
      <c r="E12" s="120"/>
      <c r="F12" s="120"/>
      <c r="G12" s="120"/>
      <c r="H12" s="120"/>
      <c r="I12" s="181">
        <v>0</v>
      </c>
    </row>
    <row r="13" spans="1:9">
      <c r="A13" s="120"/>
      <c r="B13" s="120"/>
      <c r="C13" s="120"/>
      <c r="D13" s="120"/>
      <c r="E13" s="120"/>
      <c r="F13" s="120"/>
      <c r="G13" s="120"/>
      <c r="H13" s="120"/>
      <c r="I13" s="181"/>
    </row>
    <row r="14" spans="1:9">
      <c r="A14" s="120"/>
      <c r="B14" s="84" t="s">
        <v>754</v>
      </c>
      <c r="C14" s="84" t="s">
        <v>8</v>
      </c>
      <c r="D14" s="84" t="s">
        <v>755</v>
      </c>
      <c r="E14" s="288" t="s">
        <v>48</v>
      </c>
      <c r="F14" s="120"/>
      <c r="G14" s="120"/>
      <c r="H14" s="120"/>
      <c r="I14" s="181"/>
    </row>
    <row r="15" spans="1:9">
      <c r="A15" s="120"/>
      <c r="B15" t="s">
        <v>173</v>
      </c>
      <c r="C15" s="194">
        <v>30000</v>
      </c>
      <c r="D15" s="120">
        <v>14922.6</v>
      </c>
      <c r="E15" s="182">
        <f>D15*100/C15</f>
        <v>49.741999999999997</v>
      </c>
      <c r="F15" s="120"/>
      <c r="G15" s="120"/>
      <c r="H15" s="120"/>
      <c r="I15" s="181">
        <f>D15*1.5%</f>
        <v>223.839</v>
      </c>
    </row>
    <row r="16" spans="1:9">
      <c r="A16" s="120"/>
      <c r="B16" t="s">
        <v>190</v>
      </c>
      <c r="C16" s="194">
        <v>40000</v>
      </c>
      <c r="D16" s="120">
        <v>5691.96</v>
      </c>
      <c r="E16" s="182">
        <f>D16*100/C16</f>
        <v>14.229900000000001</v>
      </c>
      <c r="F16" s="120"/>
      <c r="G16" s="120"/>
      <c r="H16" s="120"/>
      <c r="I16" s="181">
        <f>D16*1.5%</f>
        <v>85.379400000000004</v>
      </c>
    </row>
    <row r="17" spans="1:9">
      <c r="A17" s="120"/>
      <c r="B17" t="s">
        <v>167</v>
      </c>
      <c r="C17" s="194">
        <v>30000</v>
      </c>
      <c r="D17" s="120">
        <v>8690.0300000000007</v>
      </c>
      <c r="E17" s="182">
        <f>D17*100/C17</f>
        <v>28.966766666666672</v>
      </c>
      <c r="F17" s="120"/>
      <c r="G17" s="120"/>
      <c r="H17" s="120"/>
      <c r="I17" s="181">
        <f>D17*1.5%</f>
        <v>130.35045</v>
      </c>
    </row>
    <row r="18" spans="1:9">
      <c r="A18" s="120"/>
      <c r="B18" t="s">
        <v>193</v>
      </c>
      <c r="C18" s="194">
        <v>6000</v>
      </c>
      <c r="D18" s="120">
        <v>122.29</v>
      </c>
      <c r="E18" s="182">
        <f>D18*100/C18</f>
        <v>2.0381666666666667</v>
      </c>
      <c r="F18" s="120"/>
      <c r="G18" s="120"/>
      <c r="H18" s="120"/>
      <c r="I18" s="181">
        <f>D18*1.5%</f>
        <v>1.8343499999999999</v>
      </c>
    </row>
    <row r="19" spans="1:9">
      <c r="A19" s="120"/>
      <c r="B19" s="81"/>
      <c r="C19" s="289">
        <f>SUM(C15:C18)</f>
        <v>106000</v>
      </c>
      <c r="D19" s="290">
        <f>SUM(D15:D18)</f>
        <v>29426.880000000005</v>
      </c>
      <c r="E19" s="291">
        <f>D19*100/C19</f>
        <v>27.761207547169814</v>
      </c>
      <c r="F19" s="81"/>
      <c r="G19" s="81"/>
      <c r="H19" s="81"/>
      <c r="I19" s="82"/>
    </row>
    <row r="20" spans="1:9">
      <c r="A20" s="120"/>
      <c r="B20" s="84"/>
      <c r="C20" s="120"/>
      <c r="D20" s="120"/>
      <c r="E20" s="120"/>
      <c r="F20" s="120"/>
      <c r="G20" s="120"/>
      <c r="H20" s="120"/>
      <c r="I20" s="183"/>
    </row>
    <row r="21" spans="1:9" ht="15.75">
      <c r="A21" s="184" t="s">
        <v>129</v>
      </c>
      <c r="B21" s="185"/>
      <c r="C21" s="185"/>
      <c r="D21" s="185"/>
      <c r="E21" s="185"/>
      <c r="F21" s="185"/>
      <c r="G21" s="185"/>
      <c r="H21" s="185"/>
      <c r="I21" s="186">
        <f>SUM(I10:I20)</f>
        <v>571.40319999999997</v>
      </c>
    </row>
  </sheetData>
  <pageMargins left="0.390277777777778" right="0.59027777777777801" top="0.75" bottom="0.75" header="0.51180555555555496" footer="0.51180555555555496"/>
  <pageSetup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  <pageSetUpPr fitToPage="1"/>
  </sheetPr>
  <dimension ref="A1:AMK2462"/>
  <sheetViews>
    <sheetView topLeftCell="E2314" zoomScale="120" zoomScaleNormal="120" workbookViewId="0">
      <selection activeCell="N2343" sqref="N2343"/>
    </sheetView>
  </sheetViews>
  <sheetFormatPr baseColWidth="10" defaultColWidth="8.85546875" defaultRowHeight="15"/>
  <cols>
    <col min="1" max="1" width="3.85546875" style="29" customWidth="1"/>
    <col min="2" max="2" width="3.5703125" style="29" customWidth="1"/>
    <col min="3" max="3" width="6.28515625" style="29" customWidth="1"/>
    <col min="4" max="4" width="33.85546875" style="29" customWidth="1"/>
    <col min="5" max="5" width="6.28515625" style="29" customWidth="1"/>
    <col min="6" max="6" width="8.7109375" style="29" customWidth="1"/>
    <col min="7" max="7" width="11" style="29" customWidth="1"/>
    <col min="8" max="8" width="8.5703125" style="29" customWidth="1"/>
    <col min="9" max="9" width="7.85546875" style="29" customWidth="1"/>
    <col min="10" max="10" width="6.7109375" style="292" customWidth="1"/>
    <col min="11" max="11" width="8.42578125" style="29" customWidth="1"/>
    <col min="12" max="12" width="7.5703125" style="29" customWidth="1"/>
    <col min="13" max="1025" width="6.28515625" style="29" customWidth="1"/>
  </cols>
  <sheetData>
    <row r="1" spans="2:11" s="59" customFormat="1" ht="9">
      <c r="D1" s="59" t="s">
        <v>756</v>
      </c>
      <c r="J1" s="293"/>
    </row>
    <row r="2" spans="2:11" s="59" customFormat="1" ht="9">
      <c r="J2" s="293"/>
    </row>
    <row r="3" spans="2:11" s="59" customFormat="1" ht="9">
      <c r="B3" s="264" t="s">
        <v>369</v>
      </c>
      <c r="C3" s="264" t="s">
        <v>370</v>
      </c>
      <c r="D3" s="264" t="s">
        <v>371</v>
      </c>
      <c r="E3" s="264" t="s">
        <v>372</v>
      </c>
      <c r="F3" s="264" t="s">
        <v>373</v>
      </c>
      <c r="G3" s="264" t="s">
        <v>374</v>
      </c>
      <c r="H3" s="264" t="s">
        <v>375</v>
      </c>
      <c r="I3" s="264" t="s">
        <v>376</v>
      </c>
      <c r="J3" s="294" t="s">
        <v>377</v>
      </c>
      <c r="K3" s="264" t="s">
        <v>378</v>
      </c>
    </row>
    <row r="4" spans="2:11">
      <c r="B4" s="111">
        <v>4</v>
      </c>
      <c r="C4" s="111">
        <v>12704</v>
      </c>
      <c r="D4" s="111" t="s">
        <v>757</v>
      </c>
      <c r="E4" s="111" t="s">
        <v>448</v>
      </c>
      <c r="F4" s="265">
        <v>41890</v>
      </c>
      <c r="G4" s="265">
        <v>41929</v>
      </c>
      <c r="H4" s="111">
        <v>882.98</v>
      </c>
      <c r="I4" s="111">
        <v>0</v>
      </c>
      <c r="J4" s="295">
        <v>1</v>
      </c>
      <c r="K4" s="266">
        <v>8.8298000000000005</v>
      </c>
    </row>
    <row r="5" spans="2:11">
      <c r="B5" s="111">
        <v>4</v>
      </c>
      <c r="C5" s="111">
        <v>12755</v>
      </c>
      <c r="D5" s="111" t="s">
        <v>758</v>
      </c>
      <c r="E5" s="111" t="s">
        <v>448</v>
      </c>
      <c r="F5" s="265">
        <v>41891</v>
      </c>
      <c r="G5" s="265">
        <v>41928</v>
      </c>
      <c r="H5" s="111">
        <v>2376.59</v>
      </c>
      <c r="I5" s="111">
        <v>0</v>
      </c>
      <c r="J5" s="295">
        <v>1</v>
      </c>
      <c r="K5" s="266">
        <v>23.765899999999998</v>
      </c>
    </row>
    <row r="6" spans="2:11">
      <c r="B6" s="111">
        <v>4</v>
      </c>
      <c r="C6" s="111">
        <v>12767</v>
      </c>
      <c r="D6" s="111" t="s">
        <v>759</v>
      </c>
      <c r="E6" s="111" t="s">
        <v>448</v>
      </c>
      <c r="F6" s="265">
        <v>41891</v>
      </c>
      <c r="G6" s="265">
        <v>41929</v>
      </c>
      <c r="H6" s="111">
        <v>19995.689999999999</v>
      </c>
      <c r="I6" s="111">
        <v>0</v>
      </c>
      <c r="J6" s="295">
        <v>1</v>
      </c>
      <c r="K6" s="266">
        <v>199.95689999999999</v>
      </c>
    </row>
    <row r="7" spans="2:11">
      <c r="B7" s="111">
        <v>4</v>
      </c>
      <c r="C7" s="111">
        <v>12754</v>
      </c>
      <c r="D7" s="111" t="s">
        <v>758</v>
      </c>
      <c r="E7" s="111" t="s">
        <v>448</v>
      </c>
      <c r="F7" s="265">
        <v>41891</v>
      </c>
      <c r="G7" s="265">
        <v>41928</v>
      </c>
      <c r="H7" s="111">
        <v>2724.33</v>
      </c>
      <c r="I7" s="111">
        <v>0</v>
      </c>
      <c r="J7" s="295">
        <v>1</v>
      </c>
      <c r="K7" s="266">
        <v>27.243300000000001</v>
      </c>
    </row>
    <row r="8" spans="2:11">
      <c r="B8" s="111">
        <v>4</v>
      </c>
      <c r="C8" s="111">
        <v>12772</v>
      </c>
      <c r="D8" s="111" t="s">
        <v>758</v>
      </c>
      <c r="E8" s="111" t="s">
        <v>448</v>
      </c>
      <c r="F8" s="265">
        <v>41891</v>
      </c>
      <c r="G8" s="265">
        <v>41928</v>
      </c>
      <c r="H8" s="111">
        <v>1097.4000000000001</v>
      </c>
      <c r="I8" s="111">
        <v>0</v>
      </c>
      <c r="J8" s="295">
        <v>1</v>
      </c>
      <c r="K8" s="266">
        <v>10.974</v>
      </c>
    </row>
    <row r="9" spans="2:11">
      <c r="B9" s="111">
        <v>4</v>
      </c>
      <c r="C9" s="111">
        <v>12823</v>
      </c>
      <c r="D9" s="111" t="s">
        <v>757</v>
      </c>
      <c r="E9" s="111" t="s">
        <v>448</v>
      </c>
      <c r="F9" s="265">
        <v>41891</v>
      </c>
      <c r="G9" s="265">
        <v>41929</v>
      </c>
      <c r="H9" s="111">
        <v>223.81</v>
      </c>
      <c r="I9" s="111">
        <v>0</v>
      </c>
      <c r="J9" s="295">
        <v>1</v>
      </c>
      <c r="K9" s="266">
        <v>2.2381000000000002</v>
      </c>
    </row>
    <row r="10" spans="2:11">
      <c r="B10" s="111">
        <v>4</v>
      </c>
      <c r="C10" s="111">
        <v>12878</v>
      </c>
      <c r="D10" s="111" t="s">
        <v>758</v>
      </c>
      <c r="E10" s="111" t="s">
        <v>448</v>
      </c>
      <c r="F10" s="265">
        <v>41892</v>
      </c>
      <c r="G10" s="265">
        <v>41928</v>
      </c>
      <c r="H10" s="111">
        <v>2047.5</v>
      </c>
      <c r="I10" s="111">
        <v>0</v>
      </c>
      <c r="J10" s="295">
        <v>1</v>
      </c>
      <c r="K10" s="266">
        <v>20.475000000000001</v>
      </c>
    </row>
    <row r="11" spans="2:11">
      <c r="B11" s="111">
        <v>4</v>
      </c>
      <c r="C11" s="111">
        <v>12855</v>
      </c>
      <c r="D11" s="111" t="s">
        <v>759</v>
      </c>
      <c r="E11" s="111" t="s">
        <v>448</v>
      </c>
      <c r="F11" s="265">
        <v>41892</v>
      </c>
      <c r="G11" s="265">
        <v>41929</v>
      </c>
      <c r="H11" s="111">
        <v>1539.36</v>
      </c>
      <c r="I11" s="111">
        <v>0</v>
      </c>
      <c r="J11" s="295">
        <v>1</v>
      </c>
      <c r="K11" s="266">
        <v>15.393599999999999</v>
      </c>
    </row>
    <row r="12" spans="2:11">
      <c r="B12" s="111">
        <v>4</v>
      </c>
      <c r="C12" s="111">
        <v>12680</v>
      </c>
      <c r="D12" s="111" t="s">
        <v>758</v>
      </c>
      <c r="E12" s="111" t="s">
        <v>448</v>
      </c>
      <c r="F12" s="265">
        <v>41890</v>
      </c>
      <c r="G12" s="265">
        <v>41928</v>
      </c>
      <c r="H12" s="111">
        <v>2318.13</v>
      </c>
      <c r="I12" s="111">
        <v>0</v>
      </c>
      <c r="J12" s="295">
        <v>1</v>
      </c>
      <c r="K12" s="266">
        <v>23.1813</v>
      </c>
    </row>
    <row r="13" spans="2:11">
      <c r="B13" s="111">
        <v>4</v>
      </c>
      <c r="C13" s="111">
        <v>12925</v>
      </c>
      <c r="D13" s="111" t="s">
        <v>759</v>
      </c>
      <c r="E13" s="111" t="s">
        <v>448</v>
      </c>
      <c r="F13" s="265">
        <v>41892</v>
      </c>
      <c r="G13" s="265">
        <v>41929</v>
      </c>
      <c r="H13" s="111">
        <v>561.53</v>
      </c>
      <c r="I13" s="111">
        <v>0</v>
      </c>
      <c r="J13" s="295">
        <v>1</v>
      </c>
      <c r="K13" s="266">
        <v>5.6153000000000004</v>
      </c>
    </row>
    <row r="14" spans="2:11">
      <c r="B14" s="111">
        <v>4</v>
      </c>
      <c r="C14" s="111">
        <v>12994</v>
      </c>
      <c r="D14" s="111" t="s">
        <v>759</v>
      </c>
      <c r="E14" s="111" t="s">
        <v>448</v>
      </c>
      <c r="F14" s="265">
        <v>41893</v>
      </c>
      <c r="G14" s="265">
        <v>41929</v>
      </c>
      <c r="H14" s="111">
        <v>1314.08</v>
      </c>
      <c r="I14" s="111">
        <v>0</v>
      </c>
      <c r="J14" s="295">
        <v>1</v>
      </c>
      <c r="K14" s="266">
        <v>13.1408</v>
      </c>
    </row>
    <row r="15" spans="2:11">
      <c r="B15" s="111">
        <v>4</v>
      </c>
      <c r="C15" s="111">
        <v>13019</v>
      </c>
      <c r="D15" s="111" t="s">
        <v>758</v>
      </c>
      <c r="E15" s="111" t="s">
        <v>448</v>
      </c>
      <c r="F15" s="265">
        <v>41894</v>
      </c>
      <c r="G15" s="265">
        <v>41928</v>
      </c>
      <c r="H15" s="111">
        <v>744.88</v>
      </c>
      <c r="I15" s="111">
        <v>0</v>
      </c>
      <c r="J15" s="295">
        <v>1</v>
      </c>
      <c r="K15" s="266">
        <v>7.4488000000000003</v>
      </c>
    </row>
    <row r="16" spans="2:11">
      <c r="B16" s="111">
        <v>4</v>
      </c>
      <c r="C16" s="111">
        <v>13018</v>
      </c>
      <c r="D16" s="111" t="s">
        <v>758</v>
      </c>
      <c r="E16" s="111" t="s">
        <v>448</v>
      </c>
      <c r="F16" s="265">
        <v>41894</v>
      </c>
      <c r="G16" s="265">
        <v>41918</v>
      </c>
      <c r="H16" s="111">
        <v>4994.57</v>
      </c>
      <c r="I16" s="111">
        <v>4994.57</v>
      </c>
      <c r="J16" s="295">
        <v>1</v>
      </c>
      <c r="K16" s="266">
        <v>0</v>
      </c>
    </row>
    <row r="17" spans="2:11">
      <c r="B17" s="111">
        <v>4</v>
      </c>
      <c r="C17" s="111">
        <v>13037</v>
      </c>
      <c r="D17" s="111" t="s">
        <v>758</v>
      </c>
      <c r="E17" s="111" t="s">
        <v>448</v>
      </c>
      <c r="F17" s="265">
        <v>41894</v>
      </c>
      <c r="G17" s="265">
        <v>41928</v>
      </c>
      <c r="H17" s="111">
        <v>1682.15</v>
      </c>
      <c r="I17" s="111">
        <v>0</v>
      </c>
      <c r="J17" s="295">
        <v>1</v>
      </c>
      <c r="K17" s="266">
        <v>16.8215</v>
      </c>
    </row>
    <row r="18" spans="2:11">
      <c r="B18" s="111">
        <v>4</v>
      </c>
      <c r="C18" s="111">
        <v>13218</v>
      </c>
      <c r="D18" s="111" t="s">
        <v>760</v>
      </c>
      <c r="E18" s="111" t="s">
        <v>448</v>
      </c>
      <c r="F18" s="265">
        <v>41898</v>
      </c>
      <c r="G18" s="265">
        <v>41932</v>
      </c>
      <c r="H18" s="111">
        <v>531.74</v>
      </c>
      <c r="I18" s="111">
        <v>0</v>
      </c>
      <c r="J18" s="295">
        <v>1</v>
      </c>
      <c r="K18" s="266">
        <v>5.3174000000000001</v>
      </c>
    </row>
    <row r="19" spans="2:11">
      <c r="B19" s="111">
        <v>4</v>
      </c>
      <c r="C19" s="111">
        <v>13233</v>
      </c>
      <c r="D19" s="111" t="s">
        <v>759</v>
      </c>
      <c r="E19" s="111" t="s">
        <v>448</v>
      </c>
      <c r="F19" s="265">
        <v>41898</v>
      </c>
      <c r="G19" s="265">
        <v>41929</v>
      </c>
      <c r="H19" s="111">
        <v>1178.97</v>
      </c>
      <c r="I19" s="111">
        <v>0</v>
      </c>
      <c r="J19" s="295">
        <v>1</v>
      </c>
      <c r="K19" s="266">
        <v>11.7897</v>
      </c>
    </row>
    <row r="20" spans="2:11">
      <c r="B20" s="111">
        <v>4</v>
      </c>
      <c r="C20" s="111">
        <v>13223</v>
      </c>
      <c r="D20" s="111" t="s">
        <v>760</v>
      </c>
      <c r="E20" s="111" t="s">
        <v>448</v>
      </c>
      <c r="F20" s="265">
        <v>41898</v>
      </c>
      <c r="G20" s="265">
        <v>41932</v>
      </c>
      <c r="H20" s="111">
        <v>706.24</v>
      </c>
      <c r="I20" s="111">
        <v>0</v>
      </c>
      <c r="J20" s="295">
        <v>1</v>
      </c>
      <c r="K20" s="266">
        <v>7.0624000000000002</v>
      </c>
    </row>
    <row r="21" spans="2:11">
      <c r="B21" s="111">
        <v>4</v>
      </c>
      <c r="C21" s="111">
        <v>13307</v>
      </c>
      <c r="D21" s="111" t="s">
        <v>758</v>
      </c>
      <c r="E21" s="111" t="s">
        <v>448</v>
      </c>
      <c r="F21" s="265">
        <v>41899</v>
      </c>
      <c r="G21" s="265">
        <v>41943</v>
      </c>
      <c r="H21" s="111">
        <v>5776.87</v>
      </c>
      <c r="I21" s="111">
        <v>0</v>
      </c>
      <c r="J21" s="295">
        <v>1</v>
      </c>
      <c r="K21" s="266">
        <v>57.768700000000003</v>
      </c>
    </row>
    <row r="22" spans="2:11">
      <c r="B22" s="111">
        <v>4</v>
      </c>
      <c r="C22" s="111">
        <v>13310</v>
      </c>
      <c r="D22" s="111" t="s">
        <v>758</v>
      </c>
      <c r="E22" s="111" t="s">
        <v>448</v>
      </c>
      <c r="F22" s="265">
        <v>41899</v>
      </c>
      <c r="G22" s="265">
        <v>41943</v>
      </c>
      <c r="H22" s="111">
        <v>2671.04</v>
      </c>
      <c r="I22" s="111">
        <v>0</v>
      </c>
      <c r="J22" s="295">
        <v>1</v>
      </c>
      <c r="K22" s="266">
        <v>26.7104</v>
      </c>
    </row>
    <row r="23" spans="2:11">
      <c r="B23" s="111">
        <v>4</v>
      </c>
      <c r="C23" s="111">
        <v>13382</v>
      </c>
      <c r="D23" s="111" t="s">
        <v>761</v>
      </c>
      <c r="E23" s="111" t="s">
        <v>448</v>
      </c>
      <c r="F23" s="265">
        <v>41900</v>
      </c>
      <c r="G23" s="265">
        <v>41918</v>
      </c>
      <c r="H23" s="111">
        <v>1325.84</v>
      </c>
      <c r="I23" s="111">
        <v>0</v>
      </c>
      <c r="J23" s="295">
        <v>1</v>
      </c>
      <c r="K23" s="266">
        <v>13.2584</v>
      </c>
    </row>
    <row r="24" spans="2:11">
      <c r="B24" s="111">
        <v>4</v>
      </c>
      <c r="C24" s="111">
        <v>13358</v>
      </c>
      <c r="D24" s="111" t="s">
        <v>758</v>
      </c>
      <c r="E24" s="111" t="s">
        <v>448</v>
      </c>
      <c r="F24" s="265">
        <v>41900</v>
      </c>
      <c r="G24" s="265">
        <v>41943</v>
      </c>
      <c r="H24" s="111">
        <v>974.39</v>
      </c>
      <c r="I24" s="111">
        <v>0</v>
      </c>
      <c r="J24" s="295">
        <v>1</v>
      </c>
      <c r="K24" s="266">
        <v>9.7439</v>
      </c>
    </row>
    <row r="25" spans="2:11">
      <c r="B25" s="111">
        <v>4</v>
      </c>
      <c r="C25" s="111">
        <v>13431</v>
      </c>
      <c r="D25" s="111" t="s">
        <v>759</v>
      </c>
      <c r="E25" s="111" t="s">
        <v>448</v>
      </c>
      <c r="F25" s="265">
        <v>41900</v>
      </c>
      <c r="G25" s="265">
        <v>41940</v>
      </c>
      <c r="H25" s="111">
        <v>636.82000000000005</v>
      </c>
      <c r="I25" s="111">
        <v>249.78</v>
      </c>
      <c r="J25" s="295">
        <v>1</v>
      </c>
      <c r="K25" s="266">
        <v>3.8704000000000001</v>
      </c>
    </row>
    <row r="26" spans="2:11">
      <c r="B26" s="111">
        <v>4</v>
      </c>
      <c r="C26" s="111">
        <v>13465</v>
      </c>
      <c r="D26" s="111" t="s">
        <v>759</v>
      </c>
      <c r="E26" s="111" t="s">
        <v>448</v>
      </c>
      <c r="F26" s="265">
        <v>41900</v>
      </c>
      <c r="G26" s="265">
        <v>41940</v>
      </c>
      <c r="H26" s="111">
        <v>998.13</v>
      </c>
      <c r="I26" s="111">
        <v>0</v>
      </c>
      <c r="J26" s="295">
        <v>1</v>
      </c>
      <c r="K26" s="266">
        <v>9.9812999999999992</v>
      </c>
    </row>
    <row r="27" spans="2:11">
      <c r="B27" s="111">
        <v>4</v>
      </c>
      <c r="C27" s="111">
        <v>13333</v>
      </c>
      <c r="D27" s="111" t="s">
        <v>758</v>
      </c>
      <c r="E27" s="111" t="s">
        <v>448</v>
      </c>
      <c r="F27" s="265">
        <v>41899</v>
      </c>
      <c r="G27" s="265">
        <v>41943</v>
      </c>
      <c r="H27" s="111">
        <v>743.01</v>
      </c>
      <c r="I27" s="111">
        <v>0</v>
      </c>
      <c r="J27" s="295">
        <v>1</v>
      </c>
      <c r="K27" s="266">
        <v>7.4301000000000004</v>
      </c>
    </row>
    <row r="28" spans="2:11">
      <c r="B28" s="111">
        <v>4</v>
      </c>
      <c r="C28" s="111">
        <v>13482</v>
      </c>
      <c r="D28" s="111" t="s">
        <v>759</v>
      </c>
      <c r="E28" s="111" t="s">
        <v>448</v>
      </c>
      <c r="F28" s="265">
        <v>41901</v>
      </c>
      <c r="G28" s="265">
        <v>41940</v>
      </c>
      <c r="H28" s="111">
        <v>3298.94</v>
      </c>
      <c r="I28" s="111">
        <v>0</v>
      </c>
      <c r="J28" s="295">
        <v>1</v>
      </c>
      <c r="K28" s="266">
        <v>32.989400000000003</v>
      </c>
    </row>
    <row r="29" spans="2:11">
      <c r="B29" s="111">
        <v>4</v>
      </c>
      <c r="C29" s="111">
        <v>13493</v>
      </c>
      <c r="D29" s="111" t="s">
        <v>759</v>
      </c>
      <c r="E29" s="111" t="s">
        <v>448</v>
      </c>
      <c r="F29" s="265">
        <v>41901</v>
      </c>
      <c r="G29" s="265">
        <v>41940</v>
      </c>
      <c r="H29" s="111">
        <v>1727.08</v>
      </c>
      <c r="I29" s="111">
        <v>0</v>
      </c>
      <c r="J29" s="295">
        <v>1</v>
      </c>
      <c r="K29" s="266">
        <v>17.270800000000001</v>
      </c>
    </row>
    <row r="30" spans="2:11">
      <c r="B30" s="111">
        <v>4</v>
      </c>
      <c r="C30" s="111">
        <v>13494</v>
      </c>
      <c r="D30" s="111" t="s">
        <v>758</v>
      </c>
      <c r="E30" s="111" t="s">
        <v>448</v>
      </c>
      <c r="F30" s="265">
        <v>41901</v>
      </c>
      <c r="G30" s="265">
        <v>41943</v>
      </c>
      <c r="H30" s="111">
        <v>1379.24</v>
      </c>
      <c r="I30" s="111">
        <v>0</v>
      </c>
      <c r="J30" s="295">
        <v>1</v>
      </c>
      <c r="K30" s="266">
        <v>13.792400000000001</v>
      </c>
    </row>
    <row r="31" spans="2:11">
      <c r="B31" s="111">
        <v>4</v>
      </c>
      <c r="C31" s="111">
        <v>13498</v>
      </c>
      <c r="D31" s="111" t="s">
        <v>759</v>
      </c>
      <c r="E31" s="111" t="s">
        <v>448</v>
      </c>
      <c r="F31" s="265">
        <v>41901</v>
      </c>
      <c r="G31" s="265">
        <v>41940</v>
      </c>
      <c r="H31" s="111">
        <v>1218.44</v>
      </c>
      <c r="I31" s="111">
        <v>761.52</v>
      </c>
      <c r="J31" s="295">
        <v>1</v>
      </c>
      <c r="K31" s="266">
        <v>4.5692000000000004</v>
      </c>
    </row>
    <row r="32" spans="2:11">
      <c r="B32" s="111">
        <v>4</v>
      </c>
      <c r="C32" s="111">
        <v>13648</v>
      </c>
      <c r="D32" s="111" t="s">
        <v>758</v>
      </c>
      <c r="E32" s="111" t="s">
        <v>448</v>
      </c>
      <c r="F32" s="265">
        <v>41904</v>
      </c>
      <c r="G32" s="265">
        <v>41943</v>
      </c>
      <c r="H32" s="111">
        <v>5725.45</v>
      </c>
      <c r="I32" s="111">
        <v>0</v>
      </c>
      <c r="J32" s="295">
        <v>1</v>
      </c>
      <c r="K32" s="266">
        <v>57.2545</v>
      </c>
    </row>
    <row r="33" spans="2:11">
      <c r="B33" s="111">
        <v>4</v>
      </c>
      <c r="C33" s="111">
        <v>13707</v>
      </c>
      <c r="D33" s="111" t="s">
        <v>758</v>
      </c>
      <c r="E33" s="111" t="s">
        <v>448</v>
      </c>
      <c r="F33" s="265">
        <v>41905</v>
      </c>
      <c r="G33" s="265">
        <v>41943</v>
      </c>
      <c r="H33" s="111">
        <v>3064.22</v>
      </c>
      <c r="I33" s="111">
        <v>0</v>
      </c>
      <c r="J33" s="295">
        <v>1</v>
      </c>
      <c r="K33" s="266">
        <v>30.642199999999999</v>
      </c>
    </row>
    <row r="34" spans="2:11">
      <c r="B34" s="111">
        <v>4</v>
      </c>
      <c r="C34" s="111">
        <v>13706</v>
      </c>
      <c r="D34" s="111" t="s">
        <v>758</v>
      </c>
      <c r="E34" s="111" t="s">
        <v>448</v>
      </c>
      <c r="F34" s="265">
        <v>41905</v>
      </c>
      <c r="G34" s="265">
        <v>41943</v>
      </c>
      <c r="H34" s="111">
        <v>198.33</v>
      </c>
      <c r="I34" s="111">
        <v>0</v>
      </c>
      <c r="J34" s="295">
        <v>1</v>
      </c>
      <c r="K34" s="266">
        <v>1.9833000000000001</v>
      </c>
    </row>
    <row r="35" spans="2:11">
      <c r="B35" s="111">
        <v>4</v>
      </c>
      <c r="C35" s="111">
        <v>13745</v>
      </c>
      <c r="D35" s="111" t="s">
        <v>759</v>
      </c>
      <c r="E35" s="111" t="s">
        <v>448</v>
      </c>
      <c r="F35" s="265">
        <v>41905</v>
      </c>
      <c r="G35" s="265">
        <v>41940</v>
      </c>
      <c r="H35" s="111">
        <v>5429.06</v>
      </c>
      <c r="I35" s="111">
        <v>0</v>
      </c>
      <c r="J35" s="295">
        <v>1</v>
      </c>
      <c r="K35" s="266">
        <v>54.290599999999998</v>
      </c>
    </row>
    <row r="36" spans="2:11">
      <c r="B36" s="111">
        <v>4</v>
      </c>
      <c r="C36" s="111">
        <v>13736</v>
      </c>
      <c r="D36" s="111" t="s">
        <v>759</v>
      </c>
      <c r="E36" s="111" t="s">
        <v>448</v>
      </c>
      <c r="F36" s="265">
        <v>41905</v>
      </c>
      <c r="G36" s="265">
        <v>41940</v>
      </c>
      <c r="H36" s="111">
        <v>1727.08</v>
      </c>
      <c r="I36" s="111">
        <v>0</v>
      </c>
      <c r="J36" s="295">
        <v>1</v>
      </c>
      <c r="K36" s="266">
        <v>17.270800000000001</v>
      </c>
    </row>
    <row r="37" spans="2:11">
      <c r="B37" s="111">
        <v>4</v>
      </c>
      <c r="C37" s="111">
        <v>13817</v>
      </c>
      <c r="D37" s="111" t="s">
        <v>758</v>
      </c>
      <c r="E37" s="111" t="s">
        <v>448</v>
      </c>
      <c r="F37" s="265">
        <v>41906</v>
      </c>
      <c r="G37" s="265">
        <v>41943</v>
      </c>
      <c r="H37" s="111">
        <v>426.94</v>
      </c>
      <c r="I37" s="111">
        <v>0</v>
      </c>
      <c r="J37" s="295">
        <v>1</v>
      </c>
      <c r="K37" s="266">
        <v>4.2694000000000001</v>
      </c>
    </row>
    <row r="38" spans="2:11">
      <c r="B38" s="111">
        <v>4</v>
      </c>
      <c r="C38" s="111">
        <v>13862</v>
      </c>
      <c r="D38" s="111" t="s">
        <v>758</v>
      </c>
      <c r="E38" s="111" t="s">
        <v>448</v>
      </c>
      <c r="F38" s="265">
        <v>41906</v>
      </c>
      <c r="G38" s="265">
        <v>41943</v>
      </c>
      <c r="H38" s="111">
        <v>456.67</v>
      </c>
      <c r="I38" s="111">
        <v>0</v>
      </c>
      <c r="J38" s="295">
        <v>1</v>
      </c>
      <c r="K38" s="266">
        <v>4.5667</v>
      </c>
    </row>
    <row r="39" spans="2:11">
      <c r="B39" s="111">
        <v>4</v>
      </c>
      <c r="C39" s="111">
        <v>13987</v>
      </c>
      <c r="D39" s="111" t="s">
        <v>758</v>
      </c>
      <c r="E39" s="111" t="s">
        <v>448</v>
      </c>
      <c r="F39" s="265">
        <v>41908</v>
      </c>
      <c r="G39" s="265">
        <v>41943</v>
      </c>
      <c r="H39" s="111">
        <v>1073.97</v>
      </c>
      <c r="I39" s="111">
        <v>0</v>
      </c>
      <c r="J39" s="295">
        <v>1</v>
      </c>
      <c r="K39" s="266">
        <v>10.739699999999999</v>
      </c>
    </row>
    <row r="40" spans="2:11">
      <c r="B40" s="111">
        <v>4</v>
      </c>
      <c r="C40" s="111">
        <v>14011</v>
      </c>
      <c r="D40" s="111" t="s">
        <v>758</v>
      </c>
      <c r="E40" s="111" t="s">
        <v>448</v>
      </c>
      <c r="F40" s="265">
        <v>41908</v>
      </c>
      <c r="G40" s="265">
        <v>41943</v>
      </c>
      <c r="H40" s="111">
        <v>3291.22</v>
      </c>
      <c r="I40" s="111">
        <v>0</v>
      </c>
      <c r="J40" s="295">
        <v>1</v>
      </c>
      <c r="K40" s="266">
        <v>32.912199999999999</v>
      </c>
    </row>
    <row r="41" spans="2:11">
      <c r="B41" s="111">
        <v>4</v>
      </c>
      <c r="C41" s="111">
        <v>14030</v>
      </c>
      <c r="D41" s="111" t="s">
        <v>759</v>
      </c>
      <c r="E41" s="111" t="s">
        <v>448</v>
      </c>
      <c r="F41" s="265">
        <v>41908</v>
      </c>
      <c r="G41" s="265">
        <v>41943</v>
      </c>
      <c r="H41" s="111">
        <v>1727.08</v>
      </c>
      <c r="I41" s="111">
        <v>0</v>
      </c>
      <c r="J41" s="295">
        <v>1</v>
      </c>
      <c r="K41" s="266">
        <v>17.270800000000001</v>
      </c>
    </row>
    <row r="42" spans="2:11">
      <c r="B42" s="111">
        <v>4</v>
      </c>
      <c r="C42" s="111">
        <v>14060</v>
      </c>
      <c r="D42" s="111" t="s">
        <v>758</v>
      </c>
      <c r="E42" s="111" t="s">
        <v>448</v>
      </c>
      <c r="F42" s="265">
        <v>41909</v>
      </c>
      <c r="G42" s="265">
        <v>41943</v>
      </c>
      <c r="H42" s="111">
        <v>3520.32</v>
      </c>
      <c r="I42" s="111">
        <v>0</v>
      </c>
      <c r="J42" s="295">
        <v>1</v>
      </c>
      <c r="K42" s="266">
        <v>35.203200000000002</v>
      </c>
    </row>
    <row r="43" spans="2:11">
      <c r="B43" s="111">
        <v>4</v>
      </c>
      <c r="C43" s="111">
        <v>14074</v>
      </c>
      <c r="D43" s="111" t="s">
        <v>758</v>
      </c>
      <c r="E43" s="111" t="s">
        <v>448</v>
      </c>
      <c r="F43" s="265">
        <v>41909</v>
      </c>
      <c r="G43" s="265">
        <v>41943</v>
      </c>
      <c r="H43" s="111">
        <v>611.26</v>
      </c>
      <c r="I43" s="111">
        <v>0</v>
      </c>
      <c r="J43" s="295">
        <v>1</v>
      </c>
      <c r="K43" s="266">
        <v>6.1125999999999996</v>
      </c>
    </row>
    <row r="44" spans="2:11">
      <c r="B44" s="111">
        <v>4</v>
      </c>
      <c r="C44" s="111">
        <v>680</v>
      </c>
      <c r="D44" s="111" t="s">
        <v>762</v>
      </c>
      <c r="E44" s="111" t="s">
        <v>448</v>
      </c>
      <c r="F44" s="265">
        <v>41911</v>
      </c>
      <c r="G44" s="265">
        <v>41913</v>
      </c>
      <c r="H44" s="111">
        <v>215.75</v>
      </c>
      <c r="I44" s="111">
        <v>0</v>
      </c>
      <c r="J44" s="295">
        <v>1</v>
      </c>
      <c r="K44" s="266">
        <v>2.1575000000000002</v>
      </c>
    </row>
    <row r="45" spans="2:11">
      <c r="B45" s="111">
        <v>4</v>
      </c>
      <c r="C45" s="111">
        <v>14184</v>
      </c>
      <c r="D45" s="111" t="s">
        <v>763</v>
      </c>
      <c r="E45" s="111" t="s">
        <v>448</v>
      </c>
      <c r="F45" s="265">
        <v>41911</v>
      </c>
      <c r="G45" s="265">
        <v>41913</v>
      </c>
      <c r="H45" s="111">
        <v>175.77</v>
      </c>
      <c r="I45" s="111">
        <v>0</v>
      </c>
      <c r="J45" s="295">
        <v>1</v>
      </c>
      <c r="K45" s="266">
        <v>1.7577</v>
      </c>
    </row>
    <row r="46" spans="2:11">
      <c r="B46" s="111">
        <v>4</v>
      </c>
      <c r="C46" s="111">
        <v>14321</v>
      </c>
      <c r="D46" s="111" t="s">
        <v>758</v>
      </c>
      <c r="E46" s="111" t="s">
        <v>448</v>
      </c>
      <c r="F46" s="265">
        <v>41912</v>
      </c>
      <c r="G46" s="265">
        <v>41943</v>
      </c>
      <c r="H46" s="111">
        <v>3446.28</v>
      </c>
      <c r="I46" s="111">
        <v>0</v>
      </c>
      <c r="J46" s="295">
        <v>1</v>
      </c>
      <c r="K46" s="266">
        <v>34.462800000000001</v>
      </c>
    </row>
    <row r="47" spans="2:11">
      <c r="B47" s="111">
        <v>4</v>
      </c>
      <c r="C47" s="111">
        <v>14320</v>
      </c>
      <c r="D47" s="111" t="s">
        <v>758</v>
      </c>
      <c r="E47" s="111" t="s">
        <v>448</v>
      </c>
      <c r="F47" s="265">
        <v>41912</v>
      </c>
      <c r="G47" s="265">
        <v>41943</v>
      </c>
      <c r="H47" s="111">
        <v>5353.73</v>
      </c>
      <c r="I47" s="111">
        <v>0</v>
      </c>
      <c r="J47" s="295">
        <v>1</v>
      </c>
      <c r="K47" s="266">
        <v>53.537300000000002</v>
      </c>
    </row>
    <row r="48" spans="2:11">
      <c r="B48" s="111">
        <v>4</v>
      </c>
      <c r="C48" s="111">
        <v>14063</v>
      </c>
      <c r="D48" s="111" t="s">
        <v>758</v>
      </c>
      <c r="E48" s="111" t="s">
        <v>448</v>
      </c>
      <c r="F48" s="265">
        <v>41909</v>
      </c>
      <c r="G48" s="265">
        <v>41943</v>
      </c>
      <c r="H48" s="111">
        <v>6567.53</v>
      </c>
      <c r="I48" s="111">
        <v>0</v>
      </c>
      <c r="J48" s="295">
        <v>1</v>
      </c>
      <c r="K48" s="266">
        <v>65.675299999999993</v>
      </c>
    </row>
    <row r="49" spans="2:17">
      <c r="B49" s="111">
        <v>4</v>
      </c>
      <c r="C49" s="111">
        <v>14064</v>
      </c>
      <c r="D49" s="111" t="s">
        <v>758</v>
      </c>
      <c r="E49" s="111" t="s">
        <v>448</v>
      </c>
      <c r="F49" s="265">
        <v>41909</v>
      </c>
      <c r="G49" s="265">
        <v>41943</v>
      </c>
      <c r="H49" s="111">
        <v>1098.25</v>
      </c>
      <c r="I49" s="111">
        <v>0</v>
      </c>
      <c r="J49" s="295">
        <v>1</v>
      </c>
      <c r="K49" s="266">
        <v>10.9825</v>
      </c>
    </row>
    <row r="50" spans="2:17">
      <c r="B50" s="111">
        <v>4</v>
      </c>
      <c r="C50" s="111">
        <v>14082</v>
      </c>
      <c r="D50" s="111" t="s">
        <v>759</v>
      </c>
      <c r="E50" s="111" t="s">
        <v>448</v>
      </c>
      <c r="F50" s="265">
        <v>41909</v>
      </c>
      <c r="G50" s="265">
        <v>41943</v>
      </c>
      <c r="H50" s="111">
        <v>1527.07</v>
      </c>
      <c r="I50" s="111">
        <v>0</v>
      </c>
      <c r="J50" s="295">
        <v>1</v>
      </c>
      <c r="K50" s="266">
        <v>15.2707</v>
      </c>
    </row>
    <row r="51" spans="2:17">
      <c r="B51" s="111">
        <v>4</v>
      </c>
      <c r="C51" s="111">
        <v>14510</v>
      </c>
      <c r="D51" s="111" t="s">
        <v>758</v>
      </c>
      <c r="E51" s="111" t="s">
        <v>448</v>
      </c>
      <c r="F51" s="265">
        <v>41913</v>
      </c>
      <c r="G51" s="265">
        <v>41925</v>
      </c>
      <c r="H51" s="111">
        <v>122.8</v>
      </c>
      <c r="I51" s="111">
        <v>0</v>
      </c>
      <c r="J51" s="295">
        <v>1</v>
      </c>
      <c r="K51" s="266">
        <v>1.228</v>
      </c>
    </row>
    <row r="52" spans="2:17">
      <c r="B52" s="111">
        <v>4</v>
      </c>
      <c r="C52" s="111">
        <v>14202</v>
      </c>
      <c r="D52" s="111" t="s">
        <v>758</v>
      </c>
      <c r="E52" s="111" t="s">
        <v>448</v>
      </c>
      <c r="F52" s="265">
        <v>41911</v>
      </c>
      <c r="G52" s="265">
        <v>41943</v>
      </c>
      <c r="H52" s="111">
        <v>2923.16</v>
      </c>
      <c r="I52" s="111">
        <v>0</v>
      </c>
      <c r="J52" s="295">
        <v>1</v>
      </c>
      <c r="K52" s="266">
        <v>29.2316</v>
      </c>
    </row>
    <row r="53" spans="2:17">
      <c r="B53" s="111">
        <v>4</v>
      </c>
      <c r="C53" s="111">
        <v>14086</v>
      </c>
      <c r="D53" s="111" t="s">
        <v>759</v>
      </c>
      <c r="E53" s="111" t="s">
        <v>448</v>
      </c>
      <c r="F53" s="265">
        <v>41909</v>
      </c>
      <c r="G53" s="265">
        <v>41943</v>
      </c>
      <c r="H53" s="111">
        <v>7558.03</v>
      </c>
      <c r="I53" s="111">
        <v>0</v>
      </c>
      <c r="J53" s="295">
        <v>1</v>
      </c>
      <c r="K53" s="266">
        <v>75.580299999999994</v>
      </c>
    </row>
    <row r="54" spans="2:17">
      <c r="B54" s="111">
        <v>4</v>
      </c>
      <c r="C54" s="111">
        <v>14352</v>
      </c>
      <c r="D54" s="111" t="s">
        <v>758</v>
      </c>
      <c r="E54" s="111" t="s">
        <v>448</v>
      </c>
      <c r="F54" s="265">
        <v>41912</v>
      </c>
      <c r="G54" s="265">
        <v>41943</v>
      </c>
      <c r="H54" s="111">
        <v>11468.3</v>
      </c>
      <c r="I54" s="111">
        <v>0</v>
      </c>
      <c r="J54" s="295">
        <v>1</v>
      </c>
      <c r="K54" s="266">
        <v>114.68300000000001</v>
      </c>
    </row>
    <row r="55" spans="2:17">
      <c r="B55" s="111">
        <v>4</v>
      </c>
      <c r="C55" s="111">
        <v>14330</v>
      </c>
      <c r="D55" s="111" t="s">
        <v>761</v>
      </c>
      <c r="E55" s="111" t="s">
        <v>448</v>
      </c>
      <c r="F55" s="265">
        <v>41912</v>
      </c>
      <c r="G55" s="265">
        <v>41918</v>
      </c>
      <c r="H55" s="111">
        <v>16500.18</v>
      </c>
      <c r="I55" s="111">
        <v>0</v>
      </c>
      <c r="J55" s="296">
        <v>0.5</v>
      </c>
      <c r="K55" s="266">
        <f>H55*J55%</f>
        <v>82.500900000000001</v>
      </c>
    </row>
    <row r="56" spans="2:17">
      <c r="B56" s="111">
        <v>4</v>
      </c>
      <c r="C56" s="111">
        <v>13750</v>
      </c>
      <c r="D56" s="111" t="s">
        <v>761</v>
      </c>
      <c r="E56" s="111" t="s">
        <v>448</v>
      </c>
      <c r="F56" s="265">
        <v>41905</v>
      </c>
      <c r="G56" s="265">
        <v>41918</v>
      </c>
      <c r="H56" s="111">
        <v>2753.66</v>
      </c>
      <c r="I56" s="111">
        <v>0</v>
      </c>
      <c r="J56" s="295">
        <v>1</v>
      </c>
      <c r="K56" s="266">
        <v>27.5366</v>
      </c>
    </row>
    <row r="57" spans="2:17" ht="10.5" customHeight="1">
      <c r="B57" s="111">
        <v>4</v>
      </c>
      <c r="C57" s="111">
        <v>14453</v>
      </c>
      <c r="D57" s="111" t="s">
        <v>764</v>
      </c>
      <c r="E57" s="111" t="s">
        <v>448</v>
      </c>
      <c r="F57" s="265">
        <v>41912</v>
      </c>
      <c r="G57" s="265">
        <v>41918</v>
      </c>
      <c r="H57" s="111">
        <v>47699.14</v>
      </c>
      <c r="I57" s="111">
        <v>0</v>
      </c>
      <c r="J57" s="295">
        <v>0.5</v>
      </c>
      <c r="K57" s="266">
        <v>289.48</v>
      </c>
      <c r="M57" s="221">
        <v>5330.54</v>
      </c>
      <c r="N57" s="221">
        <v>4868.2</v>
      </c>
      <c r="O57" s="29">
        <f>M57+N57</f>
        <v>10198.74</v>
      </c>
      <c r="P57" s="29">
        <v>1</v>
      </c>
      <c r="Q57" s="29">
        <f>O57*P57%</f>
        <v>101.98739999999999</v>
      </c>
    </row>
    <row r="58" spans="2:17">
      <c r="B58" s="111">
        <v>4</v>
      </c>
      <c r="C58" s="111">
        <v>686</v>
      </c>
      <c r="D58" s="111" t="s">
        <v>762</v>
      </c>
      <c r="E58" s="111" t="s">
        <v>448</v>
      </c>
      <c r="F58" s="265">
        <v>41919</v>
      </c>
      <c r="G58" s="265">
        <v>41922</v>
      </c>
      <c r="H58" s="111">
        <v>122.77</v>
      </c>
      <c r="I58" s="111">
        <v>0</v>
      </c>
      <c r="J58" s="295">
        <v>1</v>
      </c>
      <c r="K58" s="266">
        <v>1.2277</v>
      </c>
    </row>
    <row r="59" spans="2:17">
      <c r="B59" s="111">
        <v>4</v>
      </c>
      <c r="C59" s="111">
        <v>11067</v>
      </c>
      <c r="D59" s="111" t="s">
        <v>758</v>
      </c>
      <c r="E59" s="111" t="s">
        <v>448</v>
      </c>
      <c r="F59" s="265">
        <v>41869</v>
      </c>
      <c r="G59" s="265">
        <v>41913</v>
      </c>
      <c r="H59" s="111">
        <v>849.48</v>
      </c>
      <c r="I59" s="111">
        <v>0</v>
      </c>
      <c r="J59" s="295">
        <v>1</v>
      </c>
      <c r="K59" s="266">
        <v>8.4947999999999997</v>
      </c>
    </row>
    <row r="60" spans="2:17">
      <c r="B60" s="111">
        <v>4</v>
      </c>
      <c r="C60" s="111">
        <v>11104</v>
      </c>
      <c r="D60" s="111" t="s">
        <v>758</v>
      </c>
      <c r="E60" s="111" t="s">
        <v>448</v>
      </c>
      <c r="F60" s="265">
        <v>41870</v>
      </c>
      <c r="G60" s="265">
        <v>41913</v>
      </c>
      <c r="H60" s="111">
        <v>1097.4000000000001</v>
      </c>
      <c r="I60" s="111">
        <v>0</v>
      </c>
      <c r="J60" s="295">
        <v>1</v>
      </c>
      <c r="K60" s="266">
        <v>10.974</v>
      </c>
    </row>
    <row r="61" spans="2:17">
      <c r="B61" s="111">
        <v>4</v>
      </c>
      <c r="C61" s="111">
        <v>11193</v>
      </c>
      <c r="D61" s="111" t="s">
        <v>758</v>
      </c>
      <c r="E61" s="111" t="s">
        <v>448</v>
      </c>
      <c r="F61" s="265">
        <v>41871</v>
      </c>
      <c r="G61" s="265">
        <v>41913</v>
      </c>
      <c r="H61" s="111">
        <v>6689.25</v>
      </c>
      <c r="I61" s="111">
        <v>0</v>
      </c>
      <c r="J61" s="295">
        <v>1</v>
      </c>
      <c r="K61" s="266">
        <v>66.892499999999998</v>
      </c>
    </row>
    <row r="62" spans="2:17">
      <c r="B62" s="111">
        <v>4</v>
      </c>
      <c r="C62" s="111">
        <v>11194</v>
      </c>
      <c r="D62" s="111" t="s">
        <v>758</v>
      </c>
      <c r="E62" s="111" t="s">
        <v>448</v>
      </c>
      <c r="F62" s="265">
        <v>41871</v>
      </c>
      <c r="G62" s="265">
        <v>41913</v>
      </c>
      <c r="H62" s="111">
        <v>4744.87</v>
      </c>
      <c r="I62" s="111">
        <v>0</v>
      </c>
      <c r="J62" s="295">
        <v>1</v>
      </c>
      <c r="K62" s="266">
        <v>47.448700000000002</v>
      </c>
    </row>
    <row r="63" spans="2:17">
      <c r="B63" s="111">
        <v>4</v>
      </c>
      <c r="C63" s="111">
        <v>11195</v>
      </c>
      <c r="D63" s="111" t="s">
        <v>758</v>
      </c>
      <c r="E63" s="111" t="s">
        <v>448</v>
      </c>
      <c r="F63" s="265">
        <v>41871</v>
      </c>
      <c r="G63" s="265">
        <v>41913</v>
      </c>
      <c r="H63" s="111">
        <v>930.01</v>
      </c>
      <c r="I63" s="111">
        <v>0</v>
      </c>
      <c r="J63" s="295">
        <v>1</v>
      </c>
      <c r="K63" s="266">
        <v>9.3001000000000005</v>
      </c>
    </row>
    <row r="64" spans="2:17">
      <c r="B64" s="111">
        <v>4</v>
      </c>
      <c r="C64" s="111">
        <v>11196</v>
      </c>
      <c r="D64" s="111" t="s">
        <v>758</v>
      </c>
      <c r="E64" s="111" t="s">
        <v>448</v>
      </c>
      <c r="F64" s="265">
        <v>41871</v>
      </c>
      <c r="G64" s="265">
        <v>41913</v>
      </c>
      <c r="H64" s="111">
        <v>4690.28</v>
      </c>
      <c r="I64" s="111">
        <v>0</v>
      </c>
      <c r="J64" s="295">
        <v>1</v>
      </c>
      <c r="K64" s="266">
        <v>46.902799999999999</v>
      </c>
    </row>
    <row r="65" spans="2:11">
      <c r="B65" s="111">
        <v>4</v>
      </c>
      <c r="C65" s="111">
        <v>11212</v>
      </c>
      <c r="D65" s="111" t="s">
        <v>758</v>
      </c>
      <c r="E65" s="111" t="s">
        <v>448</v>
      </c>
      <c r="F65" s="265">
        <v>41871</v>
      </c>
      <c r="G65" s="265">
        <v>41913</v>
      </c>
      <c r="H65" s="111">
        <v>2668.45</v>
      </c>
      <c r="I65" s="111">
        <v>0</v>
      </c>
      <c r="J65" s="295">
        <v>1</v>
      </c>
      <c r="K65" s="266">
        <v>26.6845</v>
      </c>
    </row>
    <row r="66" spans="2:11">
      <c r="B66" s="111">
        <v>4</v>
      </c>
      <c r="C66" s="111">
        <v>688</v>
      </c>
      <c r="D66" s="111" t="s">
        <v>762</v>
      </c>
      <c r="E66" s="111" t="s">
        <v>448</v>
      </c>
      <c r="F66" s="265">
        <v>41921</v>
      </c>
      <c r="G66" s="265">
        <v>41926</v>
      </c>
      <c r="H66" s="111">
        <v>448.29</v>
      </c>
      <c r="I66" s="111">
        <v>0</v>
      </c>
      <c r="J66" s="295">
        <v>1</v>
      </c>
      <c r="K66" s="266">
        <v>4.4828999999999999</v>
      </c>
    </row>
    <row r="67" spans="2:11">
      <c r="B67" s="111">
        <v>4</v>
      </c>
      <c r="C67" s="111">
        <v>11330</v>
      </c>
      <c r="D67" s="111" t="s">
        <v>758</v>
      </c>
      <c r="E67" s="111" t="s">
        <v>448</v>
      </c>
      <c r="F67" s="265">
        <v>41872</v>
      </c>
      <c r="G67" s="265">
        <v>41913</v>
      </c>
      <c r="H67" s="111">
        <v>5553.38</v>
      </c>
      <c r="I67" s="111">
        <v>0</v>
      </c>
      <c r="J67" s="295">
        <v>1</v>
      </c>
      <c r="K67" s="266">
        <v>55.533799999999999</v>
      </c>
    </row>
    <row r="68" spans="2:11">
      <c r="B68" s="111">
        <v>4</v>
      </c>
      <c r="C68" s="111">
        <v>11382</v>
      </c>
      <c r="D68" s="111" t="s">
        <v>758</v>
      </c>
      <c r="E68" s="111" t="s">
        <v>448</v>
      </c>
      <c r="F68" s="265">
        <v>41872</v>
      </c>
      <c r="G68" s="265">
        <v>41913</v>
      </c>
      <c r="H68" s="111">
        <v>1074.69</v>
      </c>
      <c r="I68" s="111">
        <v>0</v>
      </c>
      <c r="J68" s="295">
        <v>1</v>
      </c>
      <c r="K68" s="266">
        <v>10.7469</v>
      </c>
    </row>
    <row r="69" spans="2:11">
      <c r="B69" s="111">
        <v>4</v>
      </c>
      <c r="C69" s="111">
        <v>11383</v>
      </c>
      <c r="D69" s="111" t="s">
        <v>758</v>
      </c>
      <c r="E69" s="111" t="s">
        <v>448</v>
      </c>
      <c r="F69" s="265">
        <v>41872</v>
      </c>
      <c r="G69" s="265">
        <v>41913</v>
      </c>
      <c r="H69" s="111">
        <v>974.21</v>
      </c>
      <c r="I69" s="111">
        <v>0</v>
      </c>
      <c r="J69" s="295">
        <v>1</v>
      </c>
      <c r="K69" s="266">
        <v>9.7421000000000006</v>
      </c>
    </row>
    <row r="70" spans="2:11">
      <c r="B70" s="111">
        <v>4</v>
      </c>
      <c r="C70" s="111">
        <v>11512</v>
      </c>
      <c r="D70" s="111" t="s">
        <v>759</v>
      </c>
      <c r="E70" s="111" t="s">
        <v>448</v>
      </c>
      <c r="F70" s="265">
        <v>41874</v>
      </c>
      <c r="G70" s="265">
        <v>41922</v>
      </c>
      <c r="H70" s="111">
        <v>1727.08</v>
      </c>
      <c r="I70" s="111">
        <v>0</v>
      </c>
      <c r="J70" s="295">
        <v>1</v>
      </c>
      <c r="K70" s="266">
        <v>17.270800000000001</v>
      </c>
    </row>
    <row r="71" spans="2:11">
      <c r="B71" s="111">
        <v>4</v>
      </c>
      <c r="C71" s="111">
        <v>11564</v>
      </c>
      <c r="D71" s="111" t="s">
        <v>758</v>
      </c>
      <c r="E71" s="111" t="s">
        <v>448</v>
      </c>
      <c r="F71" s="265">
        <v>41876</v>
      </c>
      <c r="G71" s="265">
        <v>41913</v>
      </c>
      <c r="H71" s="111">
        <v>1268.6199999999999</v>
      </c>
      <c r="I71" s="111">
        <v>0</v>
      </c>
      <c r="J71" s="295">
        <v>1</v>
      </c>
      <c r="K71" s="266">
        <v>12.686199999999999</v>
      </c>
    </row>
    <row r="72" spans="2:11">
      <c r="B72" s="111">
        <v>4</v>
      </c>
      <c r="C72" s="111">
        <v>11720</v>
      </c>
      <c r="D72" s="111" t="s">
        <v>759</v>
      </c>
      <c r="E72" s="111" t="s">
        <v>448</v>
      </c>
      <c r="F72" s="265">
        <v>41877</v>
      </c>
      <c r="G72" s="265">
        <v>41922</v>
      </c>
      <c r="H72" s="111">
        <v>1727.08</v>
      </c>
      <c r="I72" s="111">
        <v>0</v>
      </c>
      <c r="J72" s="295">
        <v>1</v>
      </c>
      <c r="K72" s="266">
        <v>17.270800000000001</v>
      </c>
    </row>
    <row r="73" spans="2:11">
      <c r="B73" s="111">
        <v>4</v>
      </c>
      <c r="C73" s="111">
        <v>11909</v>
      </c>
      <c r="D73" s="111" t="s">
        <v>758</v>
      </c>
      <c r="E73" s="111" t="s">
        <v>448</v>
      </c>
      <c r="F73" s="265">
        <v>41879</v>
      </c>
      <c r="G73" s="265">
        <v>41913</v>
      </c>
      <c r="H73" s="111">
        <v>14184.54</v>
      </c>
      <c r="I73" s="111">
        <v>0</v>
      </c>
      <c r="J73" s="295">
        <v>1</v>
      </c>
      <c r="K73" s="266">
        <v>141.84540000000001</v>
      </c>
    </row>
    <row r="74" spans="2:11">
      <c r="B74" s="111">
        <v>4</v>
      </c>
      <c r="C74" s="111">
        <v>11914</v>
      </c>
      <c r="D74" s="111" t="s">
        <v>758</v>
      </c>
      <c r="E74" s="111" t="s">
        <v>448</v>
      </c>
      <c r="F74" s="265">
        <v>41879</v>
      </c>
      <c r="G74" s="265">
        <v>41913</v>
      </c>
      <c r="H74" s="111">
        <v>3098.83</v>
      </c>
      <c r="I74" s="111">
        <v>0</v>
      </c>
      <c r="J74" s="295">
        <v>1</v>
      </c>
      <c r="K74" s="266">
        <v>30.988299999999999</v>
      </c>
    </row>
    <row r="75" spans="2:11">
      <c r="B75" s="111">
        <v>4</v>
      </c>
      <c r="C75" s="111">
        <v>11995</v>
      </c>
      <c r="D75" s="111" t="s">
        <v>758</v>
      </c>
      <c r="E75" s="111" t="s">
        <v>448</v>
      </c>
      <c r="F75" s="265">
        <v>41880</v>
      </c>
      <c r="G75" s="265">
        <v>41913</v>
      </c>
      <c r="H75" s="111">
        <v>736.32</v>
      </c>
      <c r="I75" s="111">
        <v>0</v>
      </c>
      <c r="J75" s="295">
        <v>1</v>
      </c>
      <c r="K75" s="266">
        <v>7.3632</v>
      </c>
    </row>
    <row r="76" spans="2:11">
      <c r="B76" s="111">
        <v>4</v>
      </c>
      <c r="C76" s="111">
        <v>11996</v>
      </c>
      <c r="D76" s="111" t="s">
        <v>758</v>
      </c>
      <c r="E76" s="111" t="s">
        <v>448</v>
      </c>
      <c r="F76" s="265">
        <v>41880</v>
      </c>
      <c r="G76" s="265">
        <v>41913</v>
      </c>
      <c r="H76" s="111">
        <v>1623.98</v>
      </c>
      <c r="I76" s="111">
        <v>0</v>
      </c>
      <c r="J76" s="295">
        <v>1</v>
      </c>
      <c r="K76" s="266">
        <v>16.239799999999999</v>
      </c>
    </row>
    <row r="77" spans="2:11">
      <c r="B77" s="111">
        <v>4</v>
      </c>
      <c r="C77" s="111">
        <v>11994</v>
      </c>
      <c r="D77" s="111" t="s">
        <v>758</v>
      </c>
      <c r="E77" s="111" t="s">
        <v>448</v>
      </c>
      <c r="F77" s="265">
        <v>41880</v>
      </c>
      <c r="G77" s="265">
        <v>41913</v>
      </c>
      <c r="H77" s="111">
        <v>9465.43</v>
      </c>
      <c r="I77" s="111">
        <v>0</v>
      </c>
      <c r="J77" s="295">
        <v>1</v>
      </c>
      <c r="K77" s="266">
        <v>94.654300000000006</v>
      </c>
    </row>
    <row r="78" spans="2:11">
      <c r="B78" s="111">
        <v>4</v>
      </c>
      <c r="C78" s="111">
        <v>11997</v>
      </c>
      <c r="D78" s="111" t="s">
        <v>758</v>
      </c>
      <c r="E78" s="111" t="s">
        <v>448</v>
      </c>
      <c r="F78" s="265">
        <v>41880</v>
      </c>
      <c r="G78" s="265">
        <v>41913</v>
      </c>
      <c r="H78" s="111">
        <v>8452.7999999999993</v>
      </c>
      <c r="I78" s="111">
        <v>0</v>
      </c>
      <c r="J78" s="295">
        <v>1</v>
      </c>
      <c r="K78" s="266">
        <v>84.528000000000006</v>
      </c>
    </row>
    <row r="79" spans="2:11">
      <c r="B79" s="111">
        <v>4</v>
      </c>
      <c r="C79" s="111">
        <v>12098</v>
      </c>
      <c r="D79" s="111" t="s">
        <v>758</v>
      </c>
      <c r="E79" s="111" t="s">
        <v>448</v>
      </c>
      <c r="F79" s="265">
        <v>41880</v>
      </c>
      <c r="G79" s="265">
        <v>41913</v>
      </c>
      <c r="H79" s="111">
        <v>15788.65</v>
      </c>
      <c r="I79" s="111">
        <v>0</v>
      </c>
      <c r="J79" s="295">
        <v>1</v>
      </c>
      <c r="K79" s="266">
        <v>157.88650000000001</v>
      </c>
    </row>
    <row r="80" spans="2:11">
      <c r="B80" s="111">
        <v>4</v>
      </c>
      <c r="C80" s="111">
        <v>12128</v>
      </c>
      <c r="D80" s="111" t="s">
        <v>758</v>
      </c>
      <c r="E80" s="111" t="s">
        <v>448</v>
      </c>
      <c r="F80" s="265">
        <v>41880</v>
      </c>
      <c r="G80" s="265">
        <v>41913</v>
      </c>
      <c r="H80" s="111">
        <v>395.76</v>
      </c>
      <c r="I80" s="111">
        <v>0</v>
      </c>
      <c r="J80" s="295">
        <v>1</v>
      </c>
      <c r="K80" s="266">
        <v>3.9575999999999998</v>
      </c>
    </row>
    <row r="81" spans="2:11">
      <c r="B81" s="111">
        <v>4</v>
      </c>
      <c r="C81" s="111">
        <v>12217</v>
      </c>
      <c r="D81" s="111" t="s">
        <v>759</v>
      </c>
      <c r="E81" s="111" t="s">
        <v>448</v>
      </c>
      <c r="F81" s="265">
        <v>41883</v>
      </c>
      <c r="G81" s="265">
        <v>41922</v>
      </c>
      <c r="H81" s="111">
        <v>4744.6099999999997</v>
      </c>
      <c r="I81" s="111">
        <v>0</v>
      </c>
      <c r="J81" s="295">
        <v>1</v>
      </c>
      <c r="K81" s="266">
        <v>47.446100000000001</v>
      </c>
    </row>
    <row r="82" spans="2:11">
      <c r="B82" s="111">
        <v>4</v>
      </c>
      <c r="C82" s="111">
        <v>12216</v>
      </c>
      <c r="D82" s="111" t="s">
        <v>759</v>
      </c>
      <c r="E82" s="111" t="s">
        <v>448</v>
      </c>
      <c r="F82" s="265">
        <v>41883</v>
      </c>
      <c r="G82" s="265">
        <v>41922</v>
      </c>
      <c r="H82" s="111">
        <v>1103.52</v>
      </c>
      <c r="I82" s="111">
        <v>0</v>
      </c>
      <c r="J82" s="295">
        <v>1</v>
      </c>
      <c r="K82" s="266">
        <v>11.0352</v>
      </c>
    </row>
    <row r="83" spans="2:11">
      <c r="B83" s="111">
        <v>4</v>
      </c>
      <c r="C83" s="111">
        <v>12252</v>
      </c>
      <c r="D83" s="111" t="s">
        <v>759</v>
      </c>
      <c r="E83" s="111" t="s">
        <v>448</v>
      </c>
      <c r="F83" s="265">
        <v>41883</v>
      </c>
      <c r="G83" s="265">
        <v>41922</v>
      </c>
      <c r="H83" s="111">
        <v>3263.9</v>
      </c>
      <c r="I83" s="111">
        <v>0</v>
      </c>
      <c r="J83" s="295">
        <v>1</v>
      </c>
      <c r="K83" s="266">
        <v>32.639000000000003</v>
      </c>
    </row>
    <row r="84" spans="2:11">
      <c r="B84" s="111">
        <v>4</v>
      </c>
      <c r="C84" s="111">
        <v>12251</v>
      </c>
      <c r="D84" s="111" t="s">
        <v>758</v>
      </c>
      <c r="E84" s="111" t="s">
        <v>448</v>
      </c>
      <c r="F84" s="265">
        <v>41883</v>
      </c>
      <c r="G84" s="265">
        <v>41928</v>
      </c>
      <c r="H84" s="111">
        <v>442.41</v>
      </c>
      <c r="I84" s="111">
        <v>0</v>
      </c>
      <c r="J84" s="295">
        <v>1</v>
      </c>
      <c r="K84" s="266">
        <v>4.4241000000000001</v>
      </c>
    </row>
    <row r="85" spans="2:11">
      <c r="B85" s="111">
        <v>4</v>
      </c>
      <c r="C85" s="111">
        <v>12259</v>
      </c>
      <c r="D85" s="111" t="s">
        <v>757</v>
      </c>
      <c r="E85" s="111" t="s">
        <v>448</v>
      </c>
      <c r="F85" s="265">
        <v>41883</v>
      </c>
      <c r="G85" s="265">
        <v>41929</v>
      </c>
      <c r="H85" s="111">
        <v>1994.25</v>
      </c>
      <c r="I85" s="111">
        <v>0</v>
      </c>
      <c r="J85" s="295">
        <v>1</v>
      </c>
      <c r="K85" s="266">
        <v>19.942499999999999</v>
      </c>
    </row>
    <row r="86" spans="2:11">
      <c r="B86" s="111">
        <v>4</v>
      </c>
      <c r="C86" s="111">
        <v>12358</v>
      </c>
      <c r="D86" s="111" t="s">
        <v>758</v>
      </c>
      <c r="E86" s="111" t="s">
        <v>448</v>
      </c>
      <c r="F86" s="265">
        <v>41885</v>
      </c>
      <c r="G86" s="265">
        <v>41928</v>
      </c>
      <c r="H86" s="111">
        <v>2270.62</v>
      </c>
      <c r="I86" s="111">
        <v>0</v>
      </c>
      <c r="J86" s="295">
        <v>1</v>
      </c>
      <c r="K86" s="266">
        <v>22.706199999999999</v>
      </c>
    </row>
    <row r="87" spans="2:11">
      <c r="B87" s="111">
        <v>4</v>
      </c>
      <c r="C87" s="111">
        <v>12435</v>
      </c>
      <c r="D87" s="111" t="s">
        <v>759</v>
      </c>
      <c r="E87" s="111" t="s">
        <v>448</v>
      </c>
      <c r="F87" s="265">
        <v>41886</v>
      </c>
      <c r="G87" s="265">
        <v>41922</v>
      </c>
      <c r="H87" s="111">
        <v>1111.6400000000001</v>
      </c>
      <c r="I87" s="111">
        <v>0</v>
      </c>
      <c r="J87" s="295">
        <v>1</v>
      </c>
      <c r="K87" s="266">
        <v>11.116400000000001</v>
      </c>
    </row>
    <row r="88" spans="2:11">
      <c r="B88" s="111">
        <v>4</v>
      </c>
      <c r="C88" s="111">
        <v>12458</v>
      </c>
      <c r="D88" s="111" t="s">
        <v>759</v>
      </c>
      <c r="E88" s="111" t="s">
        <v>448</v>
      </c>
      <c r="F88" s="265">
        <v>41886</v>
      </c>
      <c r="G88" s="265">
        <v>41922</v>
      </c>
      <c r="H88" s="111">
        <v>1539.35</v>
      </c>
      <c r="I88" s="111">
        <v>0</v>
      </c>
      <c r="J88" s="295">
        <v>1</v>
      </c>
      <c r="K88" s="266">
        <v>15.3935</v>
      </c>
    </row>
    <row r="89" spans="2:11">
      <c r="B89" s="111">
        <v>4</v>
      </c>
      <c r="C89" s="111">
        <v>12456</v>
      </c>
      <c r="D89" s="111" t="s">
        <v>758</v>
      </c>
      <c r="E89" s="111" t="s">
        <v>448</v>
      </c>
      <c r="F89" s="265">
        <v>41886</v>
      </c>
      <c r="G89" s="265">
        <v>41928</v>
      </c>
      <c r="H89" s="111">
        <v>1835.67</v>
      </c>
      <c r="I89" s="111">
        <v>0</v>
      </c>
      <c r="J89" s="295">
        <v>1</v>
      </c>
      <c r="K89" s="266">
        <v>18.3567</v>
      </c>
    </row>
    <row r="90" spans="2:11">
      <c r="B90" s="111">
        <v>4</v>
      </c>
      <c r="C90" s="111">
        <v>12488</v>
      </c>
      <c r="D90" s="111" t="s">
        <v>760</v>
      </c>
      <c r="E90" s="111" t="s">
        <v>448</v>
      </c>
      <c r="F90" s="265">
        <v>41886</v>
      </c>
      <c r="G90" s="265">
        <v>41932</v>
      </c>
      <c r="H90" s="111">
        <v>406.59</v>
      </c>
      <c r="I90" s="111">
        <v>0</v>
      </c>
      <c r="J90" s="295">
        <v>1</v>
      </c>
      <c r="K90" s="266">
        <v>4.0659000000000001</v>
      </c>
    </row>
    <row r="91" spans="2:11">
      <c r="B91" s="111">
        <v>4</v>
      </c>
      <c r="C91" s="111">
        <v>12593</v>
      </c>
      <c r="D91" s="111" t="s">
        <v>758</v>
      </c>
      <c r="E91" s="111" t="s">
        <v>448</v>
      </c>
      <c r="F91" s="265">
        <v>41887</v>
      </c>
      <c r="G91" s="265">
        <v>41928</v>
      </c>
      <c r="H91" s="111">
        <v>1207.8</v>
      </c>
      <c r="I91" s="111">
        <v>0</v>
      </c>
      <c r="J91" s="295">
        <v>1</v>
      </c>
      <c r="K91" s="266">
        <v>12.077999999999999</v>
      </c>
    </row>
    <row r="92" spans="2:11">
      <c r="B92" s="111">
        <v>4</v>
      </c>
      <c r="C92" s="111">
        <v>12545</v>
      </c>
      <c r="D92" s="111" t="s">
        <v>757</v>
      </c>
      <c r="E92" s="111" t="s">
        <v>448</v>
      </c>
      <c r="F92" s="265">
        <v>41887</v>
      </c>
      <c r="G92" s="265">
        <v>41929</v>
      </c>
      <c r="H92" s="111">
        <v>163.18</v>
      </c>
      <c r="I92" s="111">
        <v>0</v>
      </c>
      <c r="J92" s="295">
        <v>1</v>
      </c>
      <c r="K92" s="266">
        <v>1.6317999999999999</v>
      </c>
    </row>
    <row r="93" spans="2:11">
      <c r="B93" s="111">
        <v>4</v>
      </c>
      <c r="C93" s="111">
        <v>12627</v>
      </c>
      <c r="D93" s="111" t="s">
        <v>757</v>
      </c>
      <c r="E93" s="111" t="s">
        <v>448</v>
      </c>
      <c r="F93" s="265">
        <v>41887</v>
      </c>
      <c r="G93" s="265">
        <v>41929</v>
      </c>
      <c r="H93" s="111">
        <v>117.19</v>
      </c>
      <c r="I93" s="111">
        <v>0</v>
      </c>
      <c r="J93" s="295">
        <v>1</v>
      </c>
      <c r="K93" s="266">
        <v>1.1718999999999999</v>
      </c>
    </row>
    <row r="94" spans="2:11">
      <c r="B94" s="111">
        <v>4</v>
      </c>
      <c r="C94" s="111">
        <v>12630</v>
      </c>
      <c r="D94" s="111" t="s">
        <v>758</v>
      </c>
      <c r="E94" s="111" t="s">
        <v>448</v>
      </c>
      <c r="F94" s="265">
        <v>41888</v>
      </c>
      <c r="G94" s="265">
        <v>41928</v>
      </c>
      <c r="H94" s="111">
        <v>1651.37</v>
      </c>
      <c r="I94" s="111">
        <v>0</v>
      </c>
      <c r="J94" s="295">
        <v>1</v>
      </c>
      <c r="K94" s="266">
        <v>16.5137</v>
      </c>
    </row>
    <row r="95" spans="2:11">
      <c r="B95" s="111">
        <v>4</v>
      </c>
      <c r="C95" s="111">
        <v>12664</v>
      </c>
      <c r="D95" s="111" t="s">
        <v>758</v>
      </c>
      <c r="E95" s="111" t="s">
        <v>448</v>
      </c>
      <c r="F95" s="265">
        <v>41888</v>
      </c>
      <c r="G95" s="265">
        <v>41928</v>
      </c>
      <c r="H95" s="111">
        <v>647.24</v>
      </c>
      <c r="I95" s="111">
        <v>0</v>
      </c>
      <c r="J95" s="295">
        <v>1</v>
      </c>
      <c r="K95" s="266">
        <v>6.4724000000000004</v>
      </c>
    </row>
    <row r="96" spans="2:11">
      <c r="B96" s="111">
        <v>4</v>
      </c>
      <c r="C96" s="111">
        <v>693</v>
      </c>
      <c r="D96" s="111" t="s">
        <v>762</v>
      </c>
      <c r="E96" s="111" t="s">
        <v>448</v>
      </c>
      <c r="F96" s="265">
        <v>41926</v>
      </c>
      <c r="G96" s="265">
        <v>41929</v>
      </c>
      <c r="H96" s="111">
        <v>315.41000000000003</v>
      </c>
      <c r="I96" s="111">
        <v>0</v>
      </c>
      <c r="J96" s="295">
        <v>1</v>
      </c>
      <c r="K96" s="266">
        <v>3.1541000000000001</v>
      </c>
    </row>
    <row r="97" spans="2:11">
      <c r="B97" s="111">
        <v>4</v>
      </c>
      <c r="C97" s="111">
        <v>12250</v>
      </c>
      <c r="D97" s="111" t="s">
        <v>758</v>
      </c>
      <c r="E97" s="111" t="s">
        <v>448</v>
      </c>
      <c r="F97" s="265">
        <v>41883</v>
      </c>
      <c r="G97" s="265">
        <v>41928</v>
      </c>
      <c r="H97" s="111">
        <v>463.11</v>
      </c>
      <c r="I97" s="111">
        <v>0</v>
      </c>
      <c r="J97" s="295">
        <v>1</v>
      </c>
      <c r="K97" s="266">
        <v>4.6311</v>
      </c>
    </row>
    <row r="98" spans="2:11">
      <c r="B98" s="111">
        <v>4</v>
      </c>
      <c r="C98" s="111">
        <v>709</v>
      </c>
      <c r="D98" s="111" t="s">
        <v>762</v>
      </c>
      <c r="E98" s="111" t="s">
        <v>448</v>
      </c>
      <c r="F98" s="265">
        <v>41935</v>
      </c>
      <c r="G98" s="265">
        <v>41937</v>
      </c>
      <c r="H98" s="111">
        <v>439.75</v>
      </c>
      <c r="I98" s="111">
        <v>0</v>
      </c>
      <c r="J98" s="295">
        <v>1</v>
      </c>
      <c r="K98" s="266">
        <v>4.3975</v>
      </c>
    </row>
    <row r="99" spans="2:11">
      <c r="B99" s="111">
        <v>4</v>
      </c>
      <c r="C99" s="111">
        <v>14081</v>
      </c>
      <c r="D99" s="111" t="s">
        <v>759</v>
      </c>
      <c r="E99" s="111" t="s">
        <v>448</v>
      </c>
      <c r="F99" s="265">
        <v>41909</v>
      </c>
      <c r="G99" s="265">
        <v>41943</v>
      </c>
      <c r="H99" s="111">
        <v>1907.78</v>
      </c>
      <c r="I99" s="111">
        <v>0</v>
      </c>
      <c r="J99" s="295">
        <v>1</v>
      </c>
      <c r="K99" s="266">
        <v>19.0778</v>
      </c>
    </row>
    <row r="100" spans="2:11">
      <c r="B100" s="111">
        <v>4</v>
      </c>
      <c r="C100" s="111">
        <v>14080</v>
      </c>
      <c r="D100" s="111" t="s">
        <v>759</v>
      </c>
      <c r="E100" s="111" t="s">
        <v>448</v>
      </c>
      <c r="F100" s="265">
        <v>41909</v>
      </c>
      <c r="G100" s="265">
        <v>41943</v>
      </c>
      <c r="H100" s="111">
        <v>1405.73</v>
      </c>
      <c r="I100" s="111">
        <v>0</v>
      </c>
      <c r="J100" s="295">
        <v>1</v>
      </c>
      <c r="K100" s="266">
        <v>14.0573</v>
      </c>
    </row>
    <row r="101" spans="2:11">
      <c r="B101" s="111">
        <v>4</v>
      </c>
      <c r="C101" s="111">
        <v>13357</v>
      </c>
      <c r="D101" s="111" t="s">
        <v>758</v>
      </c>
      <c r="E101" s="111" t="s">
        <v>448</v>
      </c>
      <c r="F101" s="265">
        <v>41900</v>
      </c>
      <c r="G101" s="265">
        <v>41943</v>
      </c>
      <c r="H101" s="111">
        <v>444.48</v>
      </c>
      <c r="I101" s="111">
        <v>0</v>
      </c>
      <c r="J101" s="295">
        <v>1</v>
      </c>
      <c r="K101" s="266">
        <v>4.4447999999999999</v>
      </c>
    </row>
    <row r="102" spans="2:11">
      <c r="B102" s="111">
        <v>4</v>
      </c>
      <c r="C102" s="111">
        <v>13658</v>
      </c>
      <c r="D102" s="111" t="s">
        <v>758</v>
      </c>
      <c r="E102" s="111" t="s">
        <v>448</v>
      </c>
      <c r="F102" s="265">
        <v>41904</v>
      </c>
      <c r="G102" s="265">
        <v>41943</v>
      </c>
      <c r="H102" s="111">
        <v>556.02</v>
      </c>
      <c r="I102" s="111">
        <v>0</v>
      </c>
      <c r="J102" s="295">
        <v>1</v>
      </c>
      <c r="K102" s="266">
        <v>5.5602</v>
      </c>
    </row>
    <row r="103" spans="2:11">
      <c r="G103" s="111" t="s">
        <v>765</v>
      </c>
      <c r="H103" s="111">
        <f>SUM(H4:H102)</f>
        <v>316674.78999999998</v>
      </c>
      <c r="J103" s="295" t="s">
        <v>383</v>
      </c>
      <c r="K103" s="266">
        <f>SUM(K4:K102)</f>
        <v>2836.6769000000008</v>
      </c>
    </row>
    <row r="106" spans="2:11">
      <c r="B106" s="59"/>
      <c r="C106" s="59"/>
      <c r="D106" s="59" t="s">
        <v>756</v>
      </c>
      <c r="E106" s="59"/>
      <c r="F106" s="59"/>
      <c r="G106" s="59"/>
      <c r="H106" s="59"/>
      <c r="I106" s="59"/>
      <c r="J106" s="293"/>
      <c r="K106" s="59"/>
    </row>
    <row r="107" spans="2:11">
      <c r="B107" s="59"/>
      <c r="C107" s="59"/>
      <c r="D107" s="59"/>
      <c r="E107" s="59"/>
      <c r="F107" s="59"/>
      <c r="G107" s="59"/>
      <c r="H107" s="59"/>
      <c r="I107" s="59"/>
      <c r="J107" s="293"/>
      <c r="K107" s="59"/>
    </row>
    <row r="108" spans="2:11">
      <c r="B108" s="264" t="s">
        <v>369</v>
      </c>
      <c r="C108" s="264" t="s">
        <v>370</v>
      </c>
      <c r="D108" s="264" t="s">
        <v>371</v>
      </c>
      <c r="E108" s="264" t="s">
        <v>372</v>
      </c>
      <c r="F108" s="264" t="s">
        <v>373</v>
      </c>
      <c r="G108" s="264" t="s">
        <v>374</v>
      </c>
      <c r="H108" s="264" t="s">
        <v>375</v>
      </c>
      <c r="I108" s="264" t="s">
        <v>376</v>
      </c>
      <c r="J108" s="294" t="s">
        <v>377</v>
      </c>
      <c r="K108" s="264" t="s">
        <v>378</v>
      </c>
    </row>
    <row r="109" spans="2:11">
      <c r="B109" s="111">
        <v>6</v>
      </c>
      <c r="C109" s="111">
        <v>525</v>
      </c>
      <c r="D109" s="111" t="s">
        <v>458</v>
      </c>
      <c r="E109" s="111" t="s">
        <v>448</v>
      </c>
      <c r="F109" s="265">
        <v>41909</v>
      </c>
      <c r="G109" s="265">
        <v>41934</v>
      </c>
      <c r="H109" s="111">
        <v>34598</v>
      </c>
      <c r="I109" s="111">
        <v>0</v>
      </c>
      <c r="J109" s="295">
        <v>1</v>
      </c>
      <c r="K109" s="111">
        <v>345.98</v>
      </c>
    </row>
    <row r="110" spans="2:11">
      <c r="B110" s="111">
        <v>1</v>
      </c>
      <c r="C110" s="111">
        <v>280245</v>
      </c>
      <c r="D110" s="111" t="s">
        <v>381</v>
      </c>
      <c r="E110" s="111" t="s">
        <v>382</v>
      </c>
      <c r="F110" s="265">
        <v>41360</v>
      </c>
      <c r="G110" s="265">
        <v>41928</v>
      </c>
      <c r="H110" s="111">
        <v>180</v>
      </c>
      <c r="I110" s="111">
        <v>180</v>
      </c>
      <c r="J110" s="295">
        <v>1</v>
      </c>
      <c r="K110" s="111">
        <v>0</v>
      </c>
    </row>
    <row r="112" spans="2:11">
      <c r="B112" s="59"/>
      <c r="C112" s="59"/>
      <c r="D112" s="59" t="s">
        <v>756</v>
      </c>
      <c r="E112" s="59"/>
      <c r="F112" s="59"/>
      <c r="G112" s="59"/>
      <c r="H112" s="59"/>
      <c r="I112" s="59"/>
      <c r="J112" s="293"/>
      <c r="K112" s="59"/>
    </row>
    <row r="113" spans="1:12">
      <c r="B113" s="59"/>
      <c r="C113" s="59"/>
      <c r="D113" s="59"/>
      <c r="E113" s="59"/>
      <c r="F113" s="59"/>
      <c r="G113" s="59"/>
      <c r="H113" s="59"/>
      <c r="I113" s="59"/>
      <c r="J113" s="293"/>
      <c r="K113" s="59"/>
    </row>
    <row r="114" spans="1:12">
      <c r="B114" s="264" t="s">
        <v>369</v>
      </c>
      <c r="C114" s="264" t="s">
        <v>370</v>
      </c>
      <c r="D114" s="264" t="s">
        <v>371</v>
      </c>
      <c r="E114" s="264" t="s">
        <v>372</v>
      </c>
      <c r="F114" s="264" t="s">
        <v>373</v>
      </c>
      <c r="G114" s="264" t="s">
        <v>374</v>
      </c>
      <c r="H114" s="264" t="s">
        <v>375</v>
      </c>
      <c r="I114" s="264" t="s">
        <v>376</v>
      </c>
      <c r="J114" s="294" t="s">
        <v>377</v>
      </c>
      <c r="K114" s="264" t="s">
        <v>378</v>
      </c>
    </row>
    <row r="115" spans="1:12">
      <c r="A115" s="29">
        <v>6</v>
      </c>
      <c r="B115" s="111">
        <v>4</v>
      </c>
      <c r="C115" s="111">
        <v>11933</v>
      </c>
      <c r="D115" s="111" t="s">
        <v>766</v>
      </c>
      <c r="E115" s="111" t="s">
        <v>448</v>
      </c>
      <c r="F115" s="265">
        <v>41879</v>
      </c>
      <c r="G115" s="265">
        <v>41974</v>
      </c>
      <c r="H115" s="111">
        <v>173.19</v>
      </c>
      <c r="I115" s="111">
        <v>124.23</v>
      </c>
      <c r="J115" s="295">
        <v>0</v>
      </c>
      <c r="K115" s="266">
        <f t="shared" ref="K115:K146" si="0">(H115-I115)*J115%</f>
        <v>0</v>
      </c>
      <c r="L115" s="29">
        <f t="shared" ref="L115:L146" si="1">G115-F115</f>
        <v>95</v>
      </c>
    </row>
    <row r="116" spans="1:12">
      <c r="A116" s="29">
        <v>7</v>
      </c>
      <c r="B116" s="111">
        <v>4</v>
      </c>
      <c r="C116" s="111">
        <v>15770</v>
      </c>
      <c r="D116" s="111" t="s">
        <v>766</v>
      </c>
      <c r="E116" s="111" t="s">
        <v>448</v>
      </c>
      <c r="F116" s="265">
        <v>41934</v>
      </c>
      <c r="G116" s="265">
        <v>42004</v>
      </c>
      <c r="H116" s="111">
        <v>124.28</v>
      </c>
      <c r="I116" s="111">
        <v>0</v>
      </c>
      <c r="J116" s="295">
        <v>1</v>
      </c>
      <c r="K116" s="266">
        <f t="shared" si="0"/>
        <v>1.2428000000000001</v>
      </c>
      <c r="L116" s="29">
        <f t="shared" si="1"/>
        <v>70</v>
      </c>
    </row>
    <row r="117" spans="1:12">
      <c r="A117" s="29">
        <v>8</v>
      </c>
      <c r="B117" s="111">
        <v>4</v>
      </c>
      <c r="C117" s="111">
        <v>16107</v>
      </c>
      <c r="D117" s="111" t="s">
        <v>766</v>
      </c>
      <c r="E117" s="111" t="s">
        <v>448</v>
      </c>
      <c r="F117" s="265">
        <v>41939</v>
      </c>
      <c r="G117" s="265">
        <v>42004</v>
      </c>
      <c r="H117" s="111">
        <v>194.11</v>
      </c>
      <c r="I117" s="111">
        <v>0</v>
      </c>
      <c r="J117" s="295">
        <v>1</v>
      </c>
      <c r="K117" s="266">
        <f t="shared" si="0"/>
        <v>1.9411000000000003</v>
      </c>
      <c r="L117" s="29">
        <f t="shared" si="1"/>
        <v>65</v>
      </c>
    </row>
    <row r="118" spans="1:12">
      <c r="A118" s="29">
        <v>63</v>
      </c>
      <c r="B118" s="111">
        <v>4</v>
      </c>
      <c r="C118" s="111">
        <v>18621</v>
      </c>
      <c r="D118" s="111" t="s">
        <v>766</v>
      </c>
      <c r="E118" s="111" t="s">
        <v>448</v>
      </c>
      <c r="F118" s="265">
        <v>41972</v>
      </c>
      <c r="G118" s="265">
        <v>42004</v>
      </c>
      <c r="H118" s="111">
        <v>356.77</v>
      </c>
      <c r="I118" s="111">
        <v>0</v>
      </c>
      <c r="J118" s="295">
        <v>1</v>
      </c>
      <c r="K118" s="266">
        <f t="shared" si="0"/>
        <v>3.5676999999999999</v>
      </c>
      <c r="L118" s="29">
        <f t="shared" si="1"/>
        <v>32</v>
      </c>
    </row>
    <row r="119" spans="1:12">
      <c r="A119" s="29">
        <v>29</v>
      </c>
      <c r="B119" s="111">
        <v>4</v>
      </c>
      <c r="C119" s="111">
        <v>17282</v>
      </c>
      <c r="D119" s="111" t="s">
        <v>757</v>
      </c>
      <c r="E119" s="111" t="s">
        <v>448</v>
      </c>
      <c r="F119" s="265">
        <v>41953</v>
      </c>
      <c r="G119" s="265">
        <v>41983</v>
      </c>
      <c r="H119" s="111">
        <v>164.48</v>
      </c>
      <c r="I119" s="111">
        <v>0</v>
      </c>
      <c r="J119" s="295">
        <v>1</v>
      </c>
      <c r="K119" s="266">
        <f t="shared" si="0"/>
        <v>1.6448</v>
      </c>
      <c r="L119" s="29">
        <f t="shared" si="1"/>
        <v>30</v>
      </c>
    </row>
    <row r="120" spans="1:12">
      <c r="A120" s="29">
        <v>37</v>
      </c>
      <c r="B120" s="111">
        <v>4</v>
      </c>
      <c r="C120" s="111">
        <v>17781</v>
      </c>
      <c r="D120" s="111" t="s">
        <v>757</v>
      </c>
      <c r="E120" s="111" t="s">
        <v>448</v>
      </c>
      <c r="F120" s="265">
        <v>41961</v>
      </c>
      <c r="G120" s="265">
        <v>41983</v>
      </c>
      <c r="H120" s="111">
        <v>607.67999999999995</v>
      </c>
      <c r="I120" s="111">
        <v>0</v>
      </c>
      <c r="J120" s="295">
        <v>1</v>
      </c>
      <c r="K120" s="266">
        <f t="shared" si="0"/>
        <v>6.0767999999999995</v>
      </c>
      <c r="L120" s="29">
        <f t="shared" si="1"/>
        <v>22</v>
      </c>
    </row>
    <row r="121" spans="1:12">
      <c r="A121" s="29">
        <v>53</v>
      </c>
      <c r="B121" s="111">
        <v>4</v>
      </c>
      <c r="C121" s="111">
        <v>18177</v>
      </c>
      <c r="D121" s="111" t="s">
        <v>757</v>
      </c>
      <c r="E121" s="111" t="s">
        <v>448</v>
      </c>
      <c r="F121" s="265">
        <v>41967</v>
      </c>
      <c r="G121" s="265">
        <v>42002</v>
      </c>
      <c r="H121" s="111">
        <v>485.42</v>
      </c>
      <c r="I121" s="111">
        <v>0</v>
      </c>
      <c r="J121" s="295">
        <v>1</v>
      </c>
      <c r="K121" s="266">
        <f t="shared" si="0"/>
        <v>4.8542000000000005</v>
      </c>
      <c r="L121" s="29">
        <f t="shared" si="1"/>
        <v>35</v>
      </c>
    </row>
    <row r="122" spans="1:12">
      <c r="A122" s="29">
        <v>59</v>
      </c>
      <c r="B122" s="111">
        <v>4</v>
      </c>
      <c r="C122" s="111">
        <v>18516</v>
      </c>
      <c r="D122" s="111" t="s">
        <v>757</v>
      </c>
      <c r="E122" s="111" t="s">
        <v>448</v>
      </c>
      <c r="F122" s="265">
        <v>41971</v>
      </c>
      <c r="G122" s="265">
        <v>42002</v>
      </c>
      <c r="H122" s="111">
        <v>578.16</v>
      </c>
      <c r="I122" s="111">
        <v>0</v>
      </c>
      <c r="J122" s="295">
        <v>1</v>
      </c>
      <c r="K122" s="266">
        <f t="shared" si="0"/>
        <v>5.7816000000000001</v>
      </c>
      <c r="L122" s="29">
        <f t="shared" si="1"/>
        <v>31</v>
      </c>
    </row>
    <row r="123" spans="1:12">
      <c r="A123" s="29">
        <v>61</v>
      </c>
      <c r="B123" s="111">
        <v>4</v>
      </c>
      <c r="C123" s="111">
        <v>18541</v>
      </c>
      <c r="D123" s="111" t="s">
        <v>757</v>
      </c>
      <c r="E123" s="111" t="s">
        <v>448</v>
      </c>
      <c r="F123" s="265">
        <v>41971</v>
      </c>
      <c r="G123" s="265">
        <v>42002</v>
      </c>
      <c r="H123" s="111">
        <v>156.13</v>
      </c>
      <c r="I123" s="111">
        <v>0</v>
      </c>
      <c r="J123" s="295">
        <v>1</v>
      </c>
      <c r="K123" s="266">
        <f t="shared" si="0"/>
        <v>1.5612999999999999</v>
      </c>
      <c r="L123" s="29">
        <f t="shared" si="1"/>
        <v>31</v>
      </c>
    </row>
    <row r="124" spans="1:12">
      <c r="A124" s="29">
        <v>46</v>
      </c>
      <c r="B124" s="111">
        <v>4</v>
      </c>
      <c r="C124" s="111">
        <v>17964</v>
      </c>
      <c r="D124" s="297" t="s">
        <v>764</v>
      </c>
      <c r="E124" s="111" t="s">
        <v>448</v>
      </c>
      <c r="F124" s="265">
        <v>41963</v>
      </c>
      <c r="G124" s="265">
        <v>41979</v>
      </c>
      <c r="H124" s="111">
        <v>7500.08</v>
      </c>
      <c r="I124" s="111">
        <v>0</v>
      </c>
      <c r="J124" s="295">
        <v>1</v>
      </c>
      <c r="K124" s="266">
        <f t="shared" si="0"/>
        <v>75.000799999999998</v>
      </c>
      <c r="L124" s="29">
        <f t="shared" si="1"/>
        <v>16</v>
      </c>
    </row>
    <row r="125" spans="1:12">
      <c r="A125" s="29">
        <v>67</v>
      </c>
      <c r="B125" s="111">
        <v>4</v>
      </c>
      <c r="C125" s="111">
        <v>18585</v>
      </c>
      <c r="D125" s="297" t="s">
        <v>764</v>
      </c>
      <c r="E125" s="111" t="s">
        <v>448</v>
      </c>
      <c r="F125" s="265">
        <v>41971</v>
      </c>
      <c r="G125" s="265">
        <v>41979</v>
      </c>
      <c r="H125" s="111">
        <v>11250.12</v>
      </c>
      <c r="I125" s="111">
        <v>0</v>
      </c>
      <c r="J125" s="295">
        <v>1</v>
      </c>
      <c r="K125" s="266">
        <f t="shared" si="0"/>
        <v>112.50120000000001</v>
      </c>
      <c r="L125" s="29">
        <f t="shared" si="1"/>
        <v>8</v>
      </c>
    </row>
    <row r="126" spans="1:12">
      <c r="A126" s="29">
        <v>64</v>
      </c>
      <c r="B126" s="111">
        <v>4</v>
      </c>
      <c r="C126" s="111">
        <v>18829</v>
      </c>
      <c r="D126" s="111" t="s">
        <v>761</v>
      </c>
      <c r="E126" s="111" t="s">
        <v>448</v>
      </c>
      <c r="F126" s="265">
        <v>41975</v>
      </c>
      <c r="G126" s="265">
        <v>41979</v>
      </c>
      <c r="H126" s="111">
        <v>2250.02</v>
      </c>
      <c r="I126" s="111">
        <v>0</v>
      </c>
      <c r="J126" s="295">
        <v>1</v>
      </c>
      <c r="K126" s="266">
        <f t="shared" si="0"/>
        <v>22.5002</v>
      </c>
      <c r="L126" s="29">
        <f t="shared" si="1"/>
        <v>4</v>
      </c>
    </row>
    <row r="127" spans="1:12">
      <c r="A127" s="29">
        <v>65</v>
      </c>
      <c r="B127" s="111">
        <v>4</v>
      </c>
      <c r="C127" s="111">
        <v>18590</v>
      </c>
      <c r="D127" s="111" t="s">
        <v>761</v>
      </c>
      <c r="E127" s="111" t="s">
        <v>448</v>
      </c>
      <c r="F127" s="265">
        <v>41971</v>
      </c>
      <c r="G127" s="265">
        <v>41979</v>
      </c>
      <c r="H127" s="111">
        <v>20938.73</v>
      </c>
      <c r="I127" s="111">
        <v>0</v>
      </c>
      <c r="J127" s="295">
        <v>1</v>
      </c>
      <c r="K127" s="266">
        <f t="shared" si="0"/>
        <v>209.38730000000001</v>
      </c>
      <c r="L127" s="29">
        <f t="shared" si="1"/>
        <v>8</v>
      </c>
    </row>
    <row r="128" spans="1:12">
      <c r="A128" s="29">
        <v>2</v>
      </c>
      <c r="B128" s="111">
        <v>1</v>
      </c>
      <c r="C128" s="111">
        <v>292115</v>
      </c>
      <c r="D128" s="111" t="s">
        <v>758</v>
      </c>
      <c r="E128" s="111" t="s">
        <v>448</v>
      </c>
      <c r="F128" s="265">
        <v>41517</v>
      </c>
      <c r="G128" s="265">
        <v>41985</v>
      </c>
      <c r="H128" s="111">
        <v>380.16</v>
      </c>
      <c r="I128" s="111">
        <v>0</v>
      </c>
      <c r="J128" s="295">
        <v>0</v>
      </c>
      <c r="K128" s="266">
        <f t="shared" si="0"/>
        <v>0</v>
      </c>
      <c r="L128" s="29">
        <f t="shared" si="1"/>
        <v>468</v>
      </c>
    </row>
    <row r="129" spans="1:12">
      <c r="A129" s="29">
        <v>5</v>
      </c>
      <c r="B129" s="111">
        <v>1</v>
      </c>
      <c r="C129" s="111">
        <v>200398</v>
      </c>
      <c r="D129" s="111" t="s">
        <v>758</v>
      </c>
      <c r="E129" s="111" t="s">
        <v>448</v>
      </c>
      <c r="F129" s="265">
        <v>40450</v>
      </c>
      <c r="G129" s="265">
        <v>41988</v>
      </c>
      <c r="H129" s="111">
        <v>1254.2</v>
      </c>
      <c r="I129" s="111">
        <v>0</v>
      </c>
      <c r="J129" s="295">
        <v>0</v>
      </c>
      <c r="K129" s="266">
        <f t="shared" si="0"/>
        <v>0</v>
      </c>
      <c r="L129" s="29">
        <f t="shared" si="1"/>
        <v>1538</v>
      </c>
    </row>
    <row r="130" spans="1:12">
      <c r="A130" s="29">
        <v>18</v>
      </c>
      <c r="B130" s="111">
        <v>4</v>
      </c>
      <c r="C130" s="111">
        <v>17009</v>
      </c>
      <c r="D130" s="111" t="s">
        <v>758</v>
      </c>
      <c r="E130" s="111" t="s">
        <v>448</v>
      </c>
      <c r="F130" s="265">
        <v>41949</v>
      </c>
      <c r="G130" s="265">
        <v>41988</v>
      </c>
      <c r="H130" s="111">
        <v>258.87</v>
      </c>
      <c r="I130" s="111">
        <v>0</v>
      </c>
      <c r="J130" s="295">
        <v>1</v>
      </c>
      <c r="K130" s="266">
        <f t="shared" si="0"/>
        <v>2.5887000000000002</v>
      </c>
      <c r="L130" s="29">
        <f t="shared" si="1"/>
        <v>39</v>
      </c>
    </row>
    <row r="131" spans="1:12">
      <c r="A131" s="29">
        <v>21</v>
      </c>
      <c r="B131" s="111">
        <v>4</v>
      </c>
      <c r="C131" s="111">
        <v>17088</v>
      </c>
      <c r="D131" s="111" t="s">
        <v>758</v>
      </c>
      <c r="E131" s="111" t="s">
        <v>448</v>
      </c>
      <c r="F131" s="265">
        <v>41950</v>
      </c>
      <c r="G131" s="265">
        <v>41988</v>
      </c>
      <c r="H131" s="111">
        <v>5795.65</v>
      </c>
      <c r="I131" s="111">
        <v>0</v>
      </c>
      <c r="J131" s="295">
        <v>1</v>
      </c>
      <c r="K131" s="266">
        <f t="shared" si="0"/>
        <v>57.956499999999998</v>
      </c>
      <c r="L131" s="29">
        <f t="shared" si="1"/>
        <v>38</v>
      </c>
    </row>
    <row r="132" spans="1:12">
      <c r="A132" s="29">
        <v>22</v>
      </c>
      <c r="B132" s="111">
        <v>4</v>
      </c>
      <c r="C132" s="111">
        <v>17098</v>
      </c>
      <c r="D132" s="111" t="s">
        <v>758</v>
      </c>
      <c r="E132" s="111" t="s">
        <v>448</v>
      </c>
      <c r="F132" s="265">
        <v>41950</v>
      </c>
      <c r="G132" s="265">
        <v>42004</v>
      </c>
      <c r="H132" s="111">
        <v>5472.82</v>
      </c>
      <c r="I132" s="111">
        <v>0</v>
      </c>
      <c r="J132" s="295">
        <v>1</v>
      </c>
      <c r="K132" s="266">
        <f t="shared" si="0"/>
        <v>54.728200000000001</v>
      </c>
      <c r="L132" s="29">
        <f t="shared" si="1"/>
        <v>54</v>
      </c>
    </row>
    <row r="133" spans="1:12">
      <c r="A133" s="29">
        <v>24</v>
      </c>
      <c r="B133" s="111">
        <v>4</v>
      </c>
      <c r="C133" s="111">
        <v>17200</v>
      </c>
      <c r="D133" s="111" t="s">
        <v>758</v>
      </c>
      <c r="E133" s="111" t="s">
        <v>448</v>
      </c>
      <c r="F133" s="265">
        <v>41951</v>
      </c>
      <c r="G133" s="265">
        <v>41988</v>
      </c>
      <c r="H133" s="111">
        <v>974.39</v>
      </c>
      <c r="I133" s="111">
        <v>0</v>
      </c>
      <c r="J133" s="295">
        <v>1</v>
      </c>
      <c r="K133" s="266">
        <f t="shared" si="0"/>
        <v>9.7439</v>
      </c>
      <c r="L133" s="29">
        <f t="shared" si="1"/>
        <v>37</v>
      </c>
    </row>
    <row r="134" spans="1:12">
      <c r="A134" s="29">
        <v>25</v>
      </c>
      <c r="B134" s="111">
        <v>4</v>
      </c>
      <c r="C134" s="111">
        <v>17189</v>
      </c>
      <c r="D134" s="111" t="s">
        <v>758</v>
      </c>
      <c r="E134" s="111" t="s">
        <v>448</v>
      </c>
      <c r="F134" s="265">
        <v>41951</v>
      </c>
      <c r="G134" s="265">
        <v>41988</v>
      </c>
      <c r="H134" s="111">
        <v>3076.65</v>
      </c>
      <c r="I134" s="111">
        <v>0</v>
      </c>
      <c r="J134" s="295">
        <v>1</v>
      </c>
      <c r="K134" s="266">
        <f t="shared" si="0"/>
        <v>30.766500000000001</v>
      </c>
      <c r="L134" s="29">
        <f t="shared" si="1"/>
        <v>37</v>
      </c>
    </row>
    <row r="135" spans="1:12">
      <c r="A135" s="29">
        <v>27</v>
      </c>
      <c r="B135" s="111">
        <v>4</v>
      </c>
      <c r="C135" s="111">
        <v>17176</v>
      </c>
      <c r="D135" s="111" t="s">
        <v>758</v>
      </c>
      <c r="E135" s="111" t="s">
        <v>448</v>
      </c>
      <c r="F135" s="265">
        <v>41951</v>
      </c>
      <c r="G135" s="265">
        <v>41988</v>
      </c>
      <c r="H135" s="111">
        <v>7867.14</v>
      </c>
      <c r="I135" s="111">
        <v>0</v>
      </c>
      <c r="J135" s="295">
        <v>1</v>
      </c>
      <c r="K135" s="266">
        <f t="shared" si="0"/>
        <v>78.671400000000006</v>
      </c>
      <c r="L135" s="29">
        <f t="shared" si="1"/>
        <v>37</v>
      </c>
    </row>
    <row r="136" spans="1:12">
      <c r="A136" s="29">
        <v>28</v>
      </c>
      <c r="B136" s="111">
        <v>4</v>
      </c>
      <c r="C136" s="111">
        <v>17194</v>
      </c>
      <c r="D136" s="111" t="s">
        <v>758</v>
      </c>
      <c r="E136" s="111" t="s">
        <v>448</v>
      </c>
      <c r="F136" s="265">
        <v>41951</v>
      </c>
      <c r="G136" s="265">
        <v>41988</v>
      </c>
      <c r="H136" s="111">
        <v>917.71</v>
      </c>
      <c r="I136" s="111">
        <v>0</v>
      </c>
      <c r="J136" s="295">
        <v>1</v>
      </c>
      <c r="K136" s="266">
        <f t="shared" si="0"/>
        <v>9.1771000000000011</v>
      </c>
      <c r="L136" s="29">
        <f t="shared" si="1"/>
        <v>37</v>
      </c>
    </row>
    <row r="137" spans="1:12">
      <c r="A137" s="29">
        <v>32</v>
      </c>
      <c r="B137" s="111">
        <v>4</v>
      </c>
      <c r="C137" s="111">
        <v>17308</v>
      </c>
      <c r="D137" s="111" t="s">
        <v>758</v>
      </c>
      <c r="E137" s="111" t="s">
        <v>448</v>
      </c>
      <c r="F137" s="265">
        <v>41954</v>
      </c>
      <c r="G137" s="265">
        <v>41988</v>
      </c>
      <c r="H137" s="111">
        <v>681.19</v>
      </c>
      <c r="I137" s="111">
        <v>0</v>
      </c>
      <c r="J137" s="295">
        <v>1</v>
      </c>
      <c r="K137" s="266">
        <f t="shared" si="0"/>
        <v>6.8119000000000005</v>
      </c>
      <c r="L137" s="29">
        <f t="shared" si="1"/>
        <v>34</v>
      </c>
    </row>
    <row r="138" spans="1:12">
      <c r="A138" s="29">
        <v>33</v>
      </c>
      <c r="B138" s="111">
        <v>4</v>
      </c>
      <c r="C138" s="111">
        <v>17336</v>
      </c>
      <c r="D138" s="111" t="s">
        <v>758</v>
      </c>
      <c r="E138" s="111" t="s">
        <v>448</v>
      </c>
      <c r="F138" s="265">
        <v>41954</v>
      </c>
      <c r="G138" s="265">
        <v>41988</v>
      </c>
      <c r="H138" s="111">
        <v>850.5</v>
      </c>
      <c r="I138" s="111">
        <v>0</v>
      </c>
      <c r="J138" s="295">
        <v>1</v>
      </c>
      <c r="K138" s="266">
        <f t="shared" si="0"/>
        <v>8.5050000000000008</v>
      </c>
      <c r="L138" s="29">
        <f t="shared" si="1"/>
        <v>34</v>
      </c>
    </row>
    <row r="139" spans="1:12">
      <c r="A139" s="29">
        <v>34</v>
      </c>
      <c r="B139" s="111">
        <v>4</v>
      </c>
      <c r="C139" s="111">
        <v>17455</v>
      </c>
      <c r="D139" s="111" t="s">
        <v>758</v>
      </c>
      <c r="E139" s="111" t="s">
        <v>448</v>
      </c>
      <c r="F139" s="265">
        <v>41956</v>
      </c>
      <c r="G139" s="265">
        <v>41988</v>
      </c>
      <c r="H139" s="111">
        <v>773.5</v>
      </c>
      <c r="I139" s="111">
        <v>0</v>
      </c>
      <c r="J139" s="295">
        <v>1</v>
      </c>
      <c r="K139" s="266">
        <f t="shared" si="0"/>
        <v>7.7350000000000003</v>
      </c>
      <c r="L139" s="29">
        <f t="shared" si="1"/>
        <v>32</v>
      </c>
    </row>
    <row r="140" spans="1:12">
      <c r="A140" s="29">
        <v>35</v>
      </c>
      <c r="B140" s="111">
        <v>4</v>
      </c>
      <c r="C140" s="111">
        <v>17453</v>
      </c>
      <c r="D140" s="111" t="s">
        <v>758</v>
      </c>
      <c r="E140" s="111" t="s">
        <v>448</v>
      </c>
      <c r="F140" s="265">
        <v>41956</v>
      </c>
      <c r="G140" s="265">
        <v>41988</v>
      </c>
      <c r="H140" s="111">
        <v>2999.93</v>
      </c>
      <c r="I140" s="111">
        <v>0</v>
      </c>
      <c r="J140" s="295">
        <v>1</v>
      </c>
      <c r="K140" s="266">
        <f t="shared" si="0"/>
        <v>29.999299999999998</v>
      </c>
      <c r="L140" s="29">
        <f t="shared" si="1"/>
        <v>32</v>
      </c>
    </row>
    <row r="141" spans="1:12">
      <c r="A141" s="29">
        <v>36</v>
      </c>
      <c r="B141" s="111">
        <v>4</v>
      </c>
      <c r="C141" s="111">
        <v>17554</v>
      </c>
      <c r="D141" s="111" t="s">
        <v>758</v>
      </c>
      <c r="E141" s="111" t="s">
        <v>448</v>
      </c>
      <c r="F141" s="265">
        <v>41957</v>
      </c>
      <c r="G141" s="265">
        <v>41988</v>
      </c>
      <c r="H141" s="111">
        <v>1829</v>
      </c>
      <c r="I141" s="111">
        <v>0</v>
      </c>
      <c r="J141" s="295">
        <v>1</v>
      </c>
      <c r="K141" s="266">
        <f t="shared" si="0"/>
        <v>18.29</v>
      </c>
      <c r="L141" s="29">
        <f t="shared" si="1"/>
        <v>31</v>
      </c>
    </row>
    <row r="142" spans="1:12">
      <c r="A142" s="29">
        <v>38</v>
      </c>
      <c r="B142" s="111">
        <v>4</v>
      </c>
      <c r="C142" s="111">
        <v>17846</v>
      </c>
      <c r="D142" s="111" t="s">
        <v>758</v>
      </c>
      <c r="E142" s="111" t="s">
        <v>448</v>
      </c>
      <c r="F142" s="265">
        <v>41962</v>
      </c>
      <c r="G142" s="265">
        <v>42004</v>
      </c>
      <c r="H142" s="111">
        <v>1884.38</v>
      </c>
      <c r="I142" s="111">
        <v>746.79</v>
      </c>
      <c r="J142" s="295">
        <v>1</v>
      </c>
      <c r="K142" s="266">
        <f t="shared" si="0"/>
        <v>11.375900000000001</v>
      </c>
      <c r="L142" s="29">
        <f t="shared" si="1"/>
        <v>42</v>
      </c>
    </row>
    <row r="143" spans="1:12">
      <c r="A143" s="29">
        <v>40</v>
      </c>
      <c r="B143" s="111">
        <v>4</v>
      </c>
      <c r="C143" s="111">
        <v>17887</v>
      </c>
      <c r="D143" s="111" t="s">
        <v>758</v>
      </c>
      <c r="E143" s="111" t="s">
        <v>448</v>
      </c>
      <c r="F143" s="265">
        <v>41962</v>
      </c>
      <c r="G143" s="265">
        <v>42004</v>
      </c>
      <c r="H143" s="111">
        <v>6708.28</v>
      </c>
      <c r="I143" s="111">
        <v>0</v>
      </c>
      <c r="J143" s="295">
        <v>1</v>
      </c>
      <c r="K143" s="266">
        <f t="shared" si="0"/>
        <v>67.082799999999992</v>
      </c>
      <c r="L143" s="29">
        <f t="shared" si="1"/>
        <v>42</v>
      </c>
    </row>
    <row r="144" spans="1:12">
      <c r="A144" s="29">
        <v>41</v>
      </c>
      <c r="B144" s="111">
        <v>4</v>
      </c>
      <c r="C144" s="111">
        <v>17891</v>
      </c>
      <c r="D144" s="111" t="s">
        <v>758</v>
      </c>
      <c r="E144" s="111" t="s">
        <v>448</v>
      </c>
      <c r="F144" s="265">
        <v>41962</v>
      </c>
      <c r="G144" s="265">
        <v>42004</v>
      </c>
      <c r="H144" s="111">
        <v>1015.08</v>
      </c>
      <c r="I144" s="111">
        <v>0</v>
      </c>
      <c r="J144" s="295">
        <v>1</v>
      </c>
      <c r="K144" s="266">
        <f t="shared" si="0"/>
        <v>10.1508</v>
      </c>
      <c r="L144" s="29">
        <f t="shared" si="1"/>
        <v>42</v>
      </c>
    </row>
    <row r="145" spans="1:12">
      <c r="A145" s="29">
        <v>42</v>
      </c>
      <c r="B145" s="111">
        <v>4</v>
      </c>
      <c r="C145" s="111">
        <v>17941</v>
      </c>
      <c r="D145" s="111" t="s">
        <v>758</v>
      </c>
      <c r="E145" s="111" t="s">
        <v>448</v>
      </c>
      <c r="F145" s="265">
        <v>41963</v>
      </c>
      <c r="G145" s="265">
        <v>42004</v>
      </c>
      <c r="H145" s="111">
        <v>389.75</v>
      </c>
      <c r="I145" s="111">
        <v>0</v>
      </c>
      <c r="J145" s="295">
        <v>1</v>
      </c>
      <c r="K145" s="266">
        <f t="shared" si="0"/>
        <v>3.8975</v>
      </c>
      <c r="L145" s="29">
        <f t="shared" si="1"/>
        <v>41</v>
      </c>
    </row>
    <row r="146" spans="1:12">
      <c r="A146" s="29">
        <v>43</v>
      </c>
      <c r="B146" s="111">
        <v>4</v>
      </c>
      <c r="C146" s="111">
        <v>17940</v>
      </c>
      <c r="D146" s="111" t="s">
        <v>758</v>
      </c>
      <c r="E146" s="111" t="s">
        <v>448</v>
      </c>
      <c r="F146" s="265">
        <v>41963</v>
      </c>
      <c r="G146" s="265">
        <v>42004</v>
      </c>
      <c r="H146" s="111">
        <v>6003.19</v>
      </c>
      <c r="I146" s="111">
        <v>0</v>
      </c>
      <c r="J146" s="295">
        <v>1</v>
      </c>
      <c r="K146" s="266">
        <f t="shared" si="0"/>
        <v>60.0319</v>
      </c>
      <c r="L146" s="29">
        <f t="shared" si="1"/>
        <v>41</v>
      </c>
    </row>
    <row r="147" spans="1:12">
      <c r="A147" s="29">
        <v>44</v>
      </c>
      <c r="B147" s="111">
        <v>4</v>
      </c>
      <c r="C147" s="111">
        <v>17952</v>
      </c>
      <c r="D147" s="111" t="s">
        <v>758</v>
      </c>
      <c r="E147" s="111" t="s">
        <v>448</v>
      </c>
      <c r="F147" s="265">
        <v>41963</v>
      </c>
      <c r="G147" s="265">
        <v>42004</v>
      </c>
      <c r="H147" s="111">
        <v>8136.19</v>
      </c>
      <c r="I147" s="111">
        <v>1816.43</v>
      </c>
      <c r="J147" s="295">
        <v>1</v>
      </c>
      <c r="K147" s="266">
        <f t="shared" ref="K147:K178" si="2">(H147-I147)*J147%</f>
        <v>63.197599999999994</v>
      </c>
      <c r="L147" s="29">
        <f t="shared" ref="L147:L178" si="3">G147-F147</f>
        <v>41</v>
      </c>
    </row>
    <row r="148" spans="1:12">
      <c r="A148" s="29">
        <v>47</v>
      </c>
      <c r="B148" s="111">
        <v>4</v>
      </c>
      <c r="C148" s="111">
        <v>17985</v>
      </c>
      <c r="D148" s="111" t="s">
        <v>758</v>
      </c>
      <c r="E148" s="111" t="s">
        <v>448</v>
      </c>
      <c r="F148" s="265">
        <v>41963</v>
      </c>
      <c r="G148" s="265">
        <v>42004</v>
      </c>
      <c r="H148" s="111">
        <v>920.25</v>
      </c>
      <c r="I148" s="111">
        <v>0</v>
      </c>
      <c r="J148" s="295">
        <v>1</v>
      </c>
      <c r="K148" s="266">
        <f t="shared" si="2"/>
        <v>9.2025000000000006</v>
      </c>
      <c r="L148" s="29">
        <f t="shared" si="3"/>
        <v>41</v>
      </c>
    </row>
    <row r="149" spans="1:12">
      <c r="A149" s="29">
        <v>49</v>
      </c>
      <c r="B149" s="111">
        <v>4</v>
      </c>
      <c r="C149" s="111">
        <v>17965</v>
      </c>
      <c r="D149" s="111" t="s">
        <v>758</v>
      </c>
      <c r="E149" s="111" t="s">
        <v>448</v>
      </c>
      <c r="F149" s="265">
        <v>41963</v>
      </c>
      <c r="G149" s="265">
        <v>42004</v>
      </c>
      <c r="H149" s="111">
        <v>195.94</v>
      </c>
      <c r="I149" s="111">
        <v>0</v>
      </c>
      <c r="J149" s="295">
        <v>1</v>
      </c>
      <c r="K149" s="266">
        <f t="shared" si="2"/>
        <v>1.9594</v>
      </c>
      <c r="L149" s="29">
        <f t="shared" si="3"/>
        <v>41</v>
      </c>
    </row>
    <row r="150" spans="1:12">
      <c r="A150" s="29">
        <v>50</v>
      </c>
      <c r="B150" s="111">
        <v>4</v>
      </c>
      <c r="C150" s="111">
        <v>18098</v>
      </c>
      <c r="D150" s="111" t="s">
        <v>758</v>
      </c>
      <c r="E150" s="111" t="s">
        <v>448</v>
      </c>
      <c r="F150" s="265">
        <v>41965</v>
      </c>
      <c r="G150" s="265">
        <v>42004</v>
      </c>
      <c r="H150" s="111">
        <v>1169.26</v>
      </c>
      <c r="I150" s="111">
        <v>0</v>
      </c>
      <c r="J150" s="295">
        <v>1</v>
      </c>
      <c r="K150" s="266">
        <f t="shared" si="2"/>
        <v>11.692600000000001</v>
      </c>
      <c r="L150" s="29">
        <f t="shared" si="3"/>
        <v>39</v>
      </c>
    </row>
    <row r="151" spans="1:12">
      <c r="A151" s="29">
        <v>52</v>
      </c>
      <c r="B151" s="111">
        <v>4</v>
      </c>
      <c r="C151" s="111">
        <v>18133</v>
      </c>
      <c r="D151" s="111" t="s">
        <v>758</v>
      </c>
      <c r="E151" s="111" t="s">
        <v>448</v>
      </c>
      <c r="F151" s="265">
        <v>41967</v>
      </c>
      <c r="G151" s="265">
        <v>42004</v>
      </c>
      <c r="H151" s="111">
        <v>1835.14</v>
      </c>
      <c r="I151" s="111">
        <v>0</v>
      </c>
      <c r="J151" s="295">
        <v>1</v>
      </c>
      <c r="K151" s="266">
        <f t="shared" si="2"/>
        <v>18.351400000000002</v>
      </c>
      <c r="L151" s="29">
        <f t="shared" si="3"/>
        <v>37</v>
      </c>
    </row>
    <row r="152" spans="1:12">
      <c r="A152" s="29">
        <v>56</v>
      </c>
      <c r="B152" s="111">
        <v>4</v>
      </c>
      <c r="C152" s="111">
        <v>18270</v>
      </c>
      <c r="D152" s="111" t="s">
        <v>758</v>
      </c>
      <c r="E152" s="111" t="s">
        <v>448</v>
      </c>
      <c r="F152" s="265">
        <v>41969</v>
      </c>
      <c r="G152" s="265">
        <v>42004</v>
      </c>
      <c r="H152" s="111">
        <v>4190.53</v>
      </c>
      <c r="I152" s="111">
        <v>0</v>
      </c>
      <c r="J152" s="295">
        <v>1</v>
      </c>
      <c r="K152" s="266">
        <f t="shared" si="2"/>
        <v>41.905299999999997</v>
      </c>
      <c r="L152" s="29">
        <f t="shared" si="3"/>
        <v>35</v>
      </c>
    </row>
    <row r="153" spans="1:12">
      <c r="A153" s="29">
        <v>57</v>
      </c>
      <c r="B153" s="111">
        <v>4</v>
      </c>
      <c r="C153" s="111">
        <v>18269</v>
      </c>
      <c r="D153" s="111" t="s">
        <v>758</v>
      </c>
      <c r="E153" s="111" t="s">
        <v>448</v>
      </c>
      <c r="F153" s="265">
        <v>41969</v>
      </c>
      <c r="G153" s="265">
        <v>42004</v>
      </c>
      <c r="H153" s="111">
        <v>6917.2</v>
      </c>
      <c r="I153" s="111">
        <v>0</v>
      </c>
      <c r="J153" s="295">
        <v>1</v>
      </c>
      <c r="K153" s="266">
        <f t="shared" si="2"/>
        <v>69.171999999999997</v>
      </c>
      <c r="L153" s="29">
        <f t="shared" si="3"/>
        <v>35</v>
      </c>
    </row>
    <row r="154" spans="1:12">
      <c r="A154" s="29">
        <v>58</v>
      </c>
      <c r="B154" s="111">
        <v>4</v>
      </c>
      <c r="C154" s="111">
        <v>18268</v>
      </c>
      <c r="D154" s="111" t="s">
        <v>758</v>
      </c>
      <c r="E154" s="111" t="s">
        <v>448</v>
      </c>
      <c r="F154" s="265">
        <v>41969</v>
      </c>
      <c r="G154" s="265">
        <v>42004</v>
      </c>
      <c r="H154" s="111">
        <v>734.27</v>
      </c>
      <c r="I154" s="111">
        <v>0</v>
      </c>
      <c r="J154" s="295">
        <v>1</v>
      </c>
      <c r="K154" s="266">
        <f t="shared" si="2"/>
        <v>7.3426999999999998</v>
      </c>
      <c r="L154" s="29">
        <f t="shared" si="3"/>
        <v>35</v>
      </c>
    </row>
    <row r="155" spans="1:12">
      <c r="A155" s="29">
        <v>60</v>
      </c>
      <c r="B155" s="111">
        <v>4</v>
      </c>
      <c r="C155" s="111">
        <v>18510</v>
      </c>
      <c r="D155" s="111" t="s">
        <v>758</v>
      </c>
      <c r="E155" s="111" t="s">
        <v>448</v>
      </c>
      <c r="F155" s="265">
        <v>41971</v>
      </c>
      <c r="G155" s="265">
        <v>42004</v>
      </c>
      <c r="H155" s="111">
        <v>4945.13</v>
      </c>
      <c r="I155" s="111">
        <v>0</v>
      </c>
      <c r="J155" s="295">
        <v>1</v>
      </c>
      <c r="K155" s="266">
        <f t="shared" si="2"/>
        <v>49.451300000000003</v>
      </c>
      <c r="L155" s="29">
        <f t="shared" si="3"/>
        <v>33</v>
      </c>
    </row>
    <row r="156" spans="1:12">
      <c r="A156" s="29">
        <v>62</v>
      </c>
      <c r="B156" s="111">
        <v>4</v>
      </c>
      <c r="C156" s="111">
        <v>18627</v>
      </c>
      <c r="D156" s="111" t="s">
        <v>758</v>
      </c>
      <c r="E156" s="111" t="s">
        <v>448</v>
      </c>
      <c r="F156" s="265">
        <v>41972</v>
      </c>
      <c r="G156" s="265">
        <v>42004</v>
      </c>
      <c r="H156" s="111">
        <v>497.44</v>
      </c>
      <c r="I156" s="111">
        <v>0</v>
      </c>
      <c r="J156" s="295">
        <v>1</v>
      </c>
      <c r="K156" s="266">
        <f t="shared" si="2"/>
        <v>4.9744000000000002</v>
      </c>
      <c r="L156" s="29">
        <f t="shared" si="3"/>
        <v>32</v>
      </c>
    </row>
    <row r="157" spans="1:12">
      <c r="A157" s="29">
        <v>30</v>
      </c>
      <c r="B157" s="111">
        <v>4</v>
      </c>
      <c r="C157" s="111">
        <v>17245</v>
      </c>
      <c r="D157" s="111" t="s">
        <v>760</v>
      </c>
      <c r="E157" s="111" t="s">
        <v>448</v>
      </c>
      <c r="F157" s="265">
        <v>41953</v>
      </c>
      <c r="G157" s="265">
        <v>42003</v>
      </c>
      <c r="H157" s="111">
        <v>282.39999999999998</v>
      </c>
      <c r="I157" s="111">
        <v>0</v>
      </c>
      <c r="J157" s="295">
        <v>1</v>
      </c>
      <c r="K157" s="266">
        <f t="shared" si="2"/>
        <v>2.8239999999999998</v>
      </c>
      <c r="L157" s="29">
        <f t="shared" si="3"/>
        <v>50</v>
      </c>
    </row>
    <row r="158" spans="1:12">
      <c r="A158" s="29">
        <v>31</v>
      </c>
      <c r="B158" s="111">
        <v>4</v>
      </c>
      <c r="C158" s="111">
        <v>17240</v>
      </c>
      <c r="D158" s="111" t="s">
        <v>760</v>
      </c>
      <c r="E158" s="111" t="s">
        <v>448</v>
      </c>
      <c r="F158" s="265">
        <v>41953</v>
      </c>
      <c r="G158" s="265">
        <v>42003</v>
      </c>
      <c r="H158" s="111">
        <v>1404.9</v>
      </c>
      <c r="I158" s="111">
        <v>0</v>
      </c>
      <c r="J158" s="295">
        <v>1</v>
      </c>
      <c r="K158" s="266">
        <f t="shared" si="2"/>
        <v>14.049000000000001</v>
      </c>
      <c r="L158" s="29">
        <f t="shared" si="3"/>
        <v>50</v>
      </c>
    </row>
    <row r="159" spans="1:12">
      <c r="A159" s="29">
        <v>39</v>
      </c>
      <c r="B159" s="111">
        <v>4</v>
      </c>
      <c r="C159" s="111">
        <v>17853</v>
      </c>
      <c r="D159" s="111" t="s">
        <v>760</v>
      </c>
      <c r="E159" s="111" t="s">
        <v>448</v>
      </c>
      <c r="F159" s="265">
        <v>41962</v>
      </c>
      <c r="G159" s="265">
        <v>42003</v>
      </c>
      <c r="H159" s="111">
        <v>411.54</v>
      </c>
      <c r="I159" s="111">
        <v>0</v>
      </c>
      <c r="J159" s="295">
        <v>1</v>
      </c>
      <c r="K159" s="266">
        <f t="shared" si="2"/>
        <v>4.1154000000000002</v>
      </c>
      <c r="L159" s="29">
        <f t="shared" si="3"/>
        <v>41</v>
      </c>
    </row>
    <row r="160" spans="1:12">
      <c r="A160" s="29">
        <v>48</v>
      </c>
      <c r="B160" s="111">
        <v>4</v>
      </c>
      <c r="C160" s="111">
        <v>17992</v>
      </c>
      <c r="D160" s="111" t="s">
        <v>760</v>
      </c>
      <c r="E160" s="111" t="s">
        <v>448</v>
      </c>
      <c r="F160" s="265">
        <v>41963</v>
      </c>
      <c r="G160" s="265">
        <v>42003</v>
      </c>
      <c r="H160" s="111">
        <v>597.95000000000005</v>
      </c>
      <c r="I160" s="111">
        <v>0</v>
      </c>
      <c r="J160" s="295">
        <v>1</v>
      </c>
      <c r="K160" s="266">
        <f t="shared" si="2"/>
        <v>5.9795000000000007</v>
      </c>
      <c r="L160" s="29">
        <f t="shared" si="3"/>
        <v>40</v>
      </c>
    </row>
    <row r="161" spans="1:12">
      <c r="A161" s="29">
        <v>26</v>
      </c>
      <c r="B161" s="111">
        <v>4</v>
      </c>
      <c r="C161" s="111">
        <v>17190</v>
      </c>
      <c r="D161" s="111" t="s">
        <v>767</v>
      </c>
      <c r="E161" s="111" t="s">
        <v>448</v>
      </c>
      <c r="F161" s="265">
        <v>41951</v>
      </c>
      <c r="G161" s="265">
        <v>41982</v>
      </c>
      <c r="H161" s="111">
        <v>167.19</v>
      </c>
      <c r="I161" s="111">
        <v>0</v>
      </c>
      <c r="J161" s="295">
        <v>1</v>
      </c>
      <c r="K161" s="266">
        <f t="shared" si="2"/>
        <v>1.6718999999999999</v>
      </c>
      <c r="L161" s="29">
        <f t="shared" si="3"/>
        <v>31</v>
      </c>
    </row>
    <row r="162" spans="1:12">
      <c r="A162" s="29">
        <v>54</v>
      </c>
      <c r="B162" s="111">
        <v>4</v>
      </c>
      <c r="C162" s="111">
        <v>18196</v>
      </c>
      <c r="D162" s="111" t="s">
        <v>767</v>
      </c>
      <c r="E162" s="111" t="s">
        <v>448</v>
      </c>
      <c r="F162" s="265">
        <v>41968</v>
      </c>
      <c r="G162" s="265">
        <v>41982</v>
      </c>
      <c r="H162" s="111">
        <v>249.1</v>
      </c>
      <c r="I162" s="111">
        <v>0</v>
      </c>
      <c r="J162" s="295">
        <v>1</v>
      </c>
      <c r="K162" s="266">
        <f t="shared" si="2"/>
        <v>2.4910000000000001</v>
      </c>
      <c r="L162" s="29">
        <f t="shared" si="3"/>
        <v>14</v>
      </c>
    </row>
    <row r="163" spans="1:12">
      <c r="A163" s="29">
        <v>68</v>
      </c>
      <c r="B163" s="111">
        <v>4</v>
      </c>
      <c r="C163" s="111">
        <v>17521</v>
      </c>
      <c r="D163" s="111" t="s">
        <v>767</v>
      </c>
      <c r="E163" s="111" t="s">
        <v>448</v>
      </c>
      <c r="F163" s="265">
        <v>41956</v>
      </c>
      <c r="G163" s="265">
        <v>41982</v>
      </c>
      <c r="H163" s="111">
        <v>1693.7</v>
      </c>
      <c r="I163" s="111">
        <v>0</v>
      </c>
      <c r="J163" s="295">
        <v>1</v>
      </c>
      <c r="K163" s="266">
        <f t="shared" si="2"/>
        <v>16.937000000000001</v>
      </c>
      <c r="L163" s="29">
        <f t="shared" si="3"/>
        <v>26</v>
      </c>
    </row>
    <row r="164" spans="1:12">
      <c r="A164" s="29">
        <v>11</v>
      </c>
      <c r="B164" s="111">
        <v>4</v>
      </c>
      <c r="C164" s="111">
        <v>16491</v>
      </c>
      <c r="D164" s="111" t="s">
        <v>768</v>
      </c>
      <c r="E164" s="111" t="s">
        <v>448</v>
      </c>
      <c r="F164" s="265">
        <v>41942</v>
      </c>
      <c r="G164" s="265">
        <v>41982</v>
      </c>
      <c r="H164" s="111">
        <v>755.88</v>
      </c>
      <c r="I164" s="111">
        <v>0</v>
      </c>
      <c r="J164" s="295">
        <v>1</v>
      </c>
      <c r="K164" s="266">
        <f t="shared" si="2"/>
        <v>7.5587999999999997</v>
      </c>
      <c r="L164" s="29">
        <f t="shared" si="3"/>
        <v>40</v>
      </c>
    </row>
    <row r="165" spans="1:12">
      <c r="A165" s="29">
        <v>13</v>
      </c>
      <c r="B165" s="111">
        <v>4</v>
      </c>
      <c r="C165" s="111">
        <v>16803</v>
      </c>
      <c r="D165" s="111" t="s">
        <v>768</v>
      </c>
      <c r="E165" s="111" t="s">
        <v>448</v>
      </c>
      <c r="F165" s="265">
        <v>41946</v>
      </c>
      <c r="G165" s="265">
        <v>41982</v>
      </c>
      <c r="H165" s="111">
        <v>253.82</v>
      </c>
      <c r="I165" s="111">
        <v>0</v>
      </c>
      <c r="J165" s="295">
        <v>1</v>
      </c>
      <c r="K165" s="266">
        <f t="shared" si="2"/>
        <v>2.5381999999999998</v>
      </c>
      <c r="L165" s="29">
        <f t="shared" si="3"/>
        <v>36</v>
      </c>
    </row>
    <row r="166" spans="1:12">
      <c r="A166" s="29">
        <v>14</v>
      </c>
      <c r="B166" s="111">
        <v>4</v>
      </c>
      <c r="C166" s="111">
        <v>16871</v>
      </c>
      <c r="D166" s="111" t="s">
        <v>768</v>
      </c>
      <c r="E166" s="111" t="s">
        <v>448</v>
      </c>
      <c r="F166" s="265">
        <v>41947</v>
      </c>
      <c r="G166" s="265">
        <v>42000</v>
      </c>
      <c r="H166" s="111">
        <v>1050.08</v>
      </c>
      <c r="I166" s="111">
        <v>0</v>
      </c>
      <c r="J166" s="295">
        <v>1</v>
      </c>
      <c r="K166" s="266">
        <f t="shared" si="2"/>
        <v>10.5008</v>
      </c>
      <c r="L166" s="29">
        <f t="shared" si="3"/>
        <v>53</v>
      </c>
    </row>
    <row r="167" spans="1:12">
      <c r="A167" s="29">
        <v>51</v>
      </c>
      <c r="B167" s="111">
        <v>6</v>
      </c>
      <c r="C167" s="111">
        <v>633</v>
      </c>
      <c r="D167" s="111" t="s">
        <v>467</v>
      </c>
      <c r="E167" s="111" t="s">
        <v>448</v>
      </c>
      <c r="F167" s="265">
        <v>41961</v>
      </c>
      <c r="G167" s="265">
        <v>41982</v>
      </c>
      <c r="H167" s="111">
        <v>5614.2</v>
      </c>
      <c r="I167" s="111">
        <v>0</v>
      </c>
      <c r="J167" s="295">
        <v>1</v>
      </c>
      <c r="K167" s="266">
        <f t="shared" si="2"/>
        <v>56.141999999999996</v>
      </c>
      <c r="L167" s="29">
        <f t="shared" si="3"/>
        <v>21</v>
      </c>
    </row>
    <row r="168" spans="1:12">
      <c r="A168" s="29">
        <v>45</v>
      </c>
      <c r="B168" s="111">
        <v>6</v>
      </c>
      <c r="C168" s="111">
        <v>632</v>
      </c>
      <c r="D168" s="111" t="s">
        <v>458</v>
      </c>
      <c r="E168" s="111" t="s">
        <v>448</v>
      </c>
      <c r="F168" s="265">
        <v>41961</v>
      </c>
      <c r="G168" s="265">
        <v>41978</v>
      </c>
      <c r="H168" s="111">
        <v>1200</v>
      </c>
      <c r="I168" s="111">
        <v>0</v>
      </c>
      <c r="J168" s="295">
        <v>1</v>
      </c>
      <c r="K168" s="266">
        <f t="shared" si="2"/>
        <v>12</v>
      </c>
      <c r="L168" s="29">
        <f t="shared" si="3"/>
        <v>17</v>
      </c>
    </row>
    <row r="169" spans="1:12">
      <c r="A169" s="29">
        <v>1</v>
      </c>
      <c r="B169" s="111">
        <v>4</v>
      </c>
      <c r="C169" s="111">
        <v>54</v>
      </c>
      <c r="D169" s="111" t="s">
        <v>769</v>
      </c>
      <c r="E169" s="111" t="s">
        <v>448</v>
      </c>
      <c r="F169" s="265">
        <v>41689</v>
      </c>
      <c r="G169" s="265">
        <v>42004</v>
      </c>
      <c r="H169" s="111">
        <v>749.41</v>
      </c>
      <c r="I169" s="111">
        <v>0</v>
      </c>
      <c r="J169" s="295">
        <v>0</v>
      </c>
      <c r="K169" s="266">
        <f t="shared" si="2"/>
        <v>0</v>
      </c>
      <c r="L169" s="29">
        <f t="shared" si="3"/>
        <v>315</v>
      </c>
    </row>
    <row r="170" spans="1:12">
      <c r="A170" s="29">
        <v>3</v>
      </c>
      <c r="B170" s="111">
        <v>4</v>
      </c>
      <c r="C170" s="111">
        <v>1439</v>
      </c>
      <c r="D170" s="111" t="s">
        <v>769</v>
      </c>
      <c r="E170" s="111" t="s">
        <v>448</v>
      </c>
      <c r="F170" s="265">
        <v>41712</v>
      </c>
      <c r="G170" s="265">
        <v>42004</v>
      </c>
      <c r="H170" s="111">
        <v>1515.98</v>
      </c>
      <c r="I170" s="111">
        <v>0</v>
      </c>
      <c r="J170" s="295">
        <v>0</v>
      </c>
      <c r="K170" s="266">
        <f t="shared" si="2"/>
        <v>0</v>
      </c>
      <c r="L170" s="29">
        <f t="shared" si="3"/>
        <v>292</v>
      </c>
    </row>
    <row r="171" spans="1:12">
      <c r="A171" s="29">
        <v>9</v>
      </c>
      <c r="B171" s="111">
        <v>4</v>
      </c>
      <c r="C171" s="111">
        <v>16236</v>
      </c>
      <c r="D171" s="111" t="s">
        <v>759</v>
      </c>
      <c r="E171" s="111" t="s">
        <v>448</v>
      </c>
      <c r="F171" s="265">
        <v>41940</v>
      </c>
      <c r="G171" s="265">
        <v>41992</v>
      </c>
      <c r="H171" s="111">
        <v>748.7</v>
      </c>
      <c r="I171" s="111">
        <v>0</v>
      </c>
      <c r="J171" s="295">
        <v>1</v>
      </c>
      <c r="K171" s="266">
        <f t="shared" si="2"/>
        <v>7.487000000000001</v>
      </c>
      <c r="L171" s="29">
        <f t="shared" si="3"/>
        <v>52</v>
      </c>
    </row>
    <row r="172" spans="1:12">
      <c r="A172" s="29">
        <v>10</v>
      </c>
      <c r="B172" s="111">
        <v>4</v>
      </c>
      <c r="C172" s="111">
        <v>16427</v>
      </c>
      <c r="D172" s="111" t="s">
        <v>759</v>
      </c>
      <c r="E172" s="111" t="s">
        <v>448</v>
      </c>
      <c r="F172" s="265">
        <v>41942</v>
      </c>
      <c r="G172" s="265">
        <v>41992</v>
      </c>
      <c r="H172" s="111">
        <v>2200.33</v>
      </c>
      <c r="I172" s="111">
        <v>0</v>
      </c>
      <c r="J172" s="295">
        <v>1</v>
      </c>
      <c r="K172" s="266">
        <f t="shared" si="2"/>
        <v>22.003299999999999</v>
      </c>
      <c r="L172" s="29">
        <f t="shared" si="3"/>
        <v>50</v>
      </c>
    </row>
    <row r="173" spans="1:12">
      <c r="A173" s="29">
        <v>12</v>
      </c>
      <c r="B173" s="111">
        <v>4</v>
      </c>
      <c r="C173" s="111">
        <v>16713</v>
      </c>
      <c r="D173" s="111" t="s">
        <v>759</v>
      </c>
      <c r="E173" s="111" t="s">
        <v>448</v>
      </c>
      <c r="F173" s="265">
        <v>41943</v>
      </c>
      <c r="G173" s="265">
        <v>41992</v>
      </c>
      <c r="H173" s="111">
        <v>718.51</v>
      </c>
      <c r="I173" s="111">
        <v>0</v>
      </c>
      <c r="J173" s="295">
        <v>1</v>
      </c>
      <c r="K173" s="266">
        <f t="shared" si="2"/>
        <v>7.1851000000000003</v>
      </c>
      <c r="L173" s="29">
        <f t="shared" si="3"/>
        <v>49</v>
      </c>
    </row>
    <row r="174" spans="1:12">
      <c r="A174" s="29">
        <v>15</v>
      </c>
      <c r="B174" s="111">
        <v>4</v>
      </c>
      <c r="C174" s="111">
        <v>16927</v>
      </c>
      <c r="D174" s="111" t="s">
        <v>759</v>
      </c>
      <c r="E174" s="111" t="s">
        <v>448</v>
      </c>
      <c r="F174" s="265">
        <v>41948</v>
      </c>
      <c r="G174" s="265">
        <v>41992</v>
      </c>
      <c r="H174" s="111">
        <v>6836.91</v>
      </c>
      <c r="I174" s="111">
        <v>0</v>
      </c>
      <c r="J174" s="295">
        <v>1</v>
      </c>
      <c r="K174" s="266">
        <f t="shared" si="2"/>
        <v>68.369100000000003</v>
      </c>
      <c r="L174" s="29">
        <f t="shared" si="3"/>
        <v>44</v>
      </c>
    </row>
    <row r="175" spans="1:12">
      <c r="A175" s="29">
        <v>16</v>
      </c>
      <c r="B175" s="111">
        <v>4</v>
      </c>
      <c r="C175" s="111">
        <v>16928</v>
      </c>
      <c r="D175" s="111" t="s">
        <v>759</v>
      </c>
      <c r="E175" s="111" t="s">
        <v>448</v>
      </c>
      <c r="F175" s="265">
        <v>41948</v>
      </c>
      <c r="G175" s="265">
        <v>41992</v>
      </c>
      <c r="H175" s="111">
        <v>13433.29</v>
      </c>
      <c r="I175" s="111">
        <v>0</v>
      </c>
      <c r="J175" s="295">
        <v>1</v>
      </c>
      <c r="K175" s="266">
        <f t="shared" si="2"/>
        <v>134.33290000000002</v>
      </c>
      <c r="L175" s="29">
        <f t="shared" si="3"/>
        <v>44</v>
      </c>
    </row>
    <row r="176" spans="1:12">
      <c r="A176" s="29">
        <v>17</v>
      </c>
      <c r="B176" s="111">
        <v>4</v>
      </c>
      <c r="C176" s="111">
        <v>16934</v>
      </c>
      <c r="D176" s="111" t="s">
        <v>759</v>
      </c>
      <c r="E176" s="111" t="s">
        <v>448</v>
      </c>
      <c r="F176" s="265">
        <v>41948</v>
      </c>
      <c r="G176" s="265">
        <v>41992</v>
      </c>
      <c r="H176" s="111">
        <v>1314.08</v>
      </c>
      <c r="I176" s="111">
        <v>0</v>
      </c>
      <c r="J176" s="295">
        <v>1</v>
      </c>
      <c r="K176" s="266">
        <f t="shared" si="2"/>
        <v>13.140799999999999</v>
      </c>
      <c r="L176" s="29">
        <f t="shared" si="3"/>
        <v>44</v>
      </c>
    </row>
    <row r="177" spans="1:12">
      <c r="A177" s="29">
        <v>19</v>
      </c>
      <c r="B177" s="111">
        <v>4</v>
      </c>
      <c r="C177" s="111">
        <v>17011</v>
      </c>
      <c r="D177" s="111" t="s">
        <v>759</v>
      </c>
      <c r="E177" s="111" t="s">
        <v>448</v>
      </c>
      <c r="F177" s="265">
        <v>41949</v>
      </c>
      <c r="G177" s="265">
        <v>41992</v>
      </c>
      <c r="H177" s="111">
        <v>3060.39</v>
      </c>
      <c r="I177" s="111">
        <v>0</v>
      </c>
      <c r="J177" s="295">
        <v>1</v>
      </c>
      <c r="K177" s="266">
        <f t="shared" si="2"/>
        <v>30.603899999999999</v>
      </c>
      <c r="L177" s="29">
        <f t="shared" si="3"/>
        <v>43</v>
      </c>
    </row>
    <row r="178" spans="1:12">
      <c r="A178" s="29">
        <v>20</v>
      </c>
      <c r="B178" s="111">
        <v>4</v>
      </c>
      <c r="C178" s="111">
        <v>17026</v>
      </c>
      <c r="D178" s="111" t="s">
        <v>759</v>
      </c>
      <c r="E178" s="111" t="s">
        <v>448</v>
      </c>
      <c r="F178" s="265">
        <v>41949</v>
      </c>
      <c r="G178" s="265">
        <v>41992</v>
      </c>
      <c r="H178" s="111">
        <v>1675.21</v>
      </c>
      <c r="I178" s="111">
        <v>0</v>
      </c>
      <c r="J178" s="295">
        <v>1</v>
      </c>
      <c r="K178" s="266">
        <f t="shared" si="2"/>
        <v>16.752100000000002</v>
      </c>
      <c r="L178" s="29">
        <f t="shared" si="3"/>
        <v>43</v>
      </c>
    </row>
    <row r="179" spans="1:12">
      <c r="A179" s="29">
        <v>23</v>
      </c>
      <c r="B179" s="111">
        <v>4</v>
      </c>
      <c r="C179" s="111">
        <v>16929</v>
      </c>
      <c r="D179" s="111" t="s">
        <v>759</v>
      </c>
      <c r="E179" s="111" t="s">
        <v>448</v>
      </c>
      <c r="F179" s="265">
        <v>41948</v>
      </c>
      <c r="G179" s="265">
        <v>41992</v>
      </c>
      <c r="H179" s="111">
        <v>2914.92</v>
      </c>
      <c r="I179" s="111">
        <v>0</v>
      </c>
      <c r="J179" s="295">
        <v>1</v>
      </c>
      <c r="K179" s="266">
        <f t="shared" ref="K179:K184" si="4">(H179-I179)*J179%</f>
        <v>29.1492</v>
      </c>
      <c r="L179" s="29">
        <f t="shared" ref="L179:L184" si="5">G179-F179</f>
        <v>44</v>
      </c>
    </row>
    <row r="180" spans="1:12">
      <c r="A180" s="29">
        <v>55</v>
      </c>
      <c r="B180" s="111">
        <v>4</v>
      </c>
      <c r="C180" s="111">
        <v>727</v>
      </c>
      <c r="D180" s="111" t="s">
        <v>762</v>
      </c>
      <c r="E180" s="111" t="s">
        <v>448</v>
      </c>
      <c r="F180" s="265">
        <v>41968</v>
      </c>
      <c r="G180" s="265">
        <v>41974</v>
      </c>
      <c r="H180" s="111">
        <v>470.83</v>
      </c>
      <c r="I180" s="111">
        <v>0</v>
      </c>
      <c r="J180" s="295">
        <v>1</v>
      </c>
      <c r="K180" s="266">
        <f t="shared" si="4"/>
        <v>4.7083000000000004</v>
      </c>
      <c r="L180" s="29">
        <f t="shared" si="5"/>
        <v>6</v>
      </c>
    </row>
    <row r="181" spans="1:12">
      <c r="A181" s="29">
        <v>66</v>
      </c>
      <c r="B181" s="111">
        <v>4</v>
      </c>
      <c r="C181" s="111">
        <v>735</v>
      </c>
      <c r="D181" s="111" t="s">
        <v>762</v>
      </c>
      <c r="E181" s="111" t="s">
        <v>448</v>
      </c>
      <c r="F181" s="265">
        <v>41979</v>
      </c>
      <c r="G181" s="265">
        <v>41983</v>
      </c>
      <c r="H181" s="111">
        <v>417.13</v>
      </c>
      <c r="I181" s="111">
        <v>0</v>
      </c>
      <c r="J181" s="295">
        <v>1</v>
      </c>
      <c r="K181" s="266">
        <f t="shared" si="4"/>
        <v>4.1713000000000005</v>
      </c>
      <c r="L181" s="29">
        <f t="shared" si="5"/>
        <v>4</v>
      </c>
    </row>
    <row r="182" spans="1:12">
      <c r="A182" s="29">
        <v>69</v>
      </c>
      <c r="B182" s="111">
        <v>4</v>
      </c>
      <c r="C182" s="111">
        <v>750</v>
      </c>
      <c r="D182" s="111" t="s">
        <v>762</v>
      </c>
      <c r="E182" s="111" t="s">
        <v>448</v>
      </c>
      <c r="F182" s="265">
        <v>41993</v>
      </c>
      <c r="G182" s="265">
        <v>41995</v>
      </c>
      <c r="H182" s="111">
        <v>470.83</v>
      </c>
      <c r="I182" s="111">
        <v>0</v>
      </c>
      <c r="J182" s="295">
        <v>1</v>
      </c>
      <c r="K182" s="266">
        <f t="shared" si="4"/>
        <v>4.7083000000000004</v>
      </c>
      <c r="L182" s="29">
        <f t="shared" si="5"/>
        <v>2</v>
      </c>
    </row>
    <row r="183" spans="1:12">
      <c r="A183" s="29">
        <v>70</v>
      </c>
      <c r="B183" s="111">
        <v>4</v>
      </c>
      <c r="C183" s="111">
        <v>751</v>
      </c>
      <c r="D183" s="111" t="s">
        <v>762</v>
      </c>
      <c r="E183" s="111" t="s">
        <v>448</v>
      </c>
      <c r="F183" s="265">
        <v>41996</v>
      </c>
      <c r="G183" s="265">
        <v>42003</v>
      </c>
      <c r="H183" s="111">
        <v>368.51</v>
      </c>
      <c r="I183" s="111">
        <v>0</v>
      </c>
      <c r="J183" s="295">
        <v>1</v>
      </c>
      <c r="K183" s="266">
        <f t="shared" si="4"/>
        <v>3.6850999999999998</v>
      </c>
      <c r="L183" s="29">
        <f t="shared" si="5"/>
        <v>7</v>
      </c>
    </row>
    <row r="184" spans="1:12">
      <c r="A184" s="29">
        <v>4</v>
      </c>
      <c r="B184" s="111">
        <v>1</v>
      </c>
      <c r="C184" s="111">
        <v>297962</v>
      </c>
      <c r="D184" s="111" t="s">
        <v>381</v>
      </c>
      <c r="E184" s="111" t="s">
        <v>382</v>
      </c>
      <c r="F184" s="265">
        <v>41598</v>
      </c>
      <c r="G184" s="265">
        <v>42003</v>
      </c>
      <c r="H184" s="111">
        <v>11060</v>
      </c>
      <c r="I184" s="111">
        <v>0</v>
      </c>
      <c r="J184" s="295">
        <v>0</v>
      </c>
      <c r="K184" s="266">
        <f t="shared" si="4"/>
        <v>0</v>
      </c>
      <c r="L184" s="29">
        <f t="shared" si="5"/>
        <v>405</v>
      </c>
    </row>
    <row r="185" spans="1:12">
      <c r="G185" s="111" t="s">
        <v>765</v>
      </c>
      <c r="H185" s="111">
        <f>SUM(H115:H184)</f>
        <v>185088.70000000004</v>
      </c>
      <c r="J185" s="295" t="s">
        <v>383</v>
      </c>
      <c r="K185" s="266">
        <f>SUM(K115:K184)</f>
        <v>1673.9253999999999</v>
      </c>
    </row>
    <row r="188" spans="1:12">
      <c r="B188" s="59"/>
      <c r="C188" s="59"/>
      <c r="D188" s="59" t="s">
        <v>770</v>
      </c>
      <c r="E188" s="59"/>
      <c r="F188" s="59"/>
      <c r="G188" s="59"/>
      <c r="H188" s="59"/>
      <c r="I188" s="59"/>
      <c r="J188" s="293"/>
      <c r="K188" s="59"/>
    </row>
    <row r="189" spans="1:12">
      <c r="B189" s="59"/>
      <c r="C189" s="59"/>
      <c r="D189" s="59"/>
      <c r="E189" s="59"/>
      <c r="F189" s="59"/>
      <c r="G189" s="59"/>
      <c r="H189" s="59"/>
      <c r="I189" s="59"/>
      <c r="J189" s="293"/>
      <c r="K189" s="59"/>
    </row>
    <row r="190" spans="1:12">
      <c r="A190" s="29" t="s">
        <v>45</v>
      </c>
      <c r="B190" s="264" t="s">
        <v>369</v>
      </c>
      <c r="C190" s="264" t="s">
        <v>370</v>
      </c>
      <c r="D190" s="264" t="s">
        <v>371</v>
      </c>
      <c r="E190" s="264" t="s">
        <v>372</v>
      </c>
      <c r="F190" s="264" t="s">
        <v>373</v>
      </c>
      <c r="G190" s="264" t="s">
        <v>374</v>
      </c>
      <c r="H190" s="264" t="s">
        <v>375</v>
      </c>
      <c r="I190" s="264" t="s">
        <v>376</v>
      </c>
      <c r="J190" s="294" t="s">
        <v>377</v>
      </c>
      <c r="K190" s="264" t="s">
        <v>378</v>
      </c>
      <c r="L190" s="29" t="s">
        <v>771</v>
      </c>
    </row>
    <row r="191" spans="1:12">
      <c r="A191" s="29">
        <v>1</v>
      </c>
      <c r="B191" s="111">
        <v>1</v>
      </c>
      <c r="C191" s="111">
        <v>298354</v>
      </c>
      <c r="D191" s="111" t="s">
        <v>759</v>
      </c>
      <c r="E191" s="111" t="s">
        <v>448</v>
      </c>
      <c r="F191" s="265">
        <v>41604</v>
      </c>
      <c r="G191" s="265">
        <v>42025</v>
      </c>
      <c r="H191" s="111">
        <v>2003.51</v>
      </c>
      <c r="I191" s="111">
        <v>1811.68</v>
      </c>
      <c r="J191" s="295">
        <v>0.5</v>
      </c>
      <c r="K191" s="266">
        <f t="shared" ref="K191:K222" si="6">(H191-I191)*J191%</f>
        <v>0.95914999999999961</v>
      </c>
      <c r="L191" s="29">
        <f t="shared" ref="L191:L222" si="7">G191-F191</f>
        <v>421</v>
      </c>
    </row>
    <row r="192" spans="1:12">
      <c r="A192" s="29">
        <v>2</v>
      </c>
      <c r="B192" s="111">
        <v>4</v>
      </c>
      <c r="C192" s="111">
        <v>16864</v>
      </c>
      <c r="D192" s="111" t="s">
        <v>759</v>
      </c>
      <c r="E192" s="111" t="s">
        <v>448</v>
      </c>
      <c r="F192" s="265">
        <v>41947</v>
      </c>
      <c r="G192" s="265">
        <v>42013</v>
      </c>
      <c r="H192" s="111">
        <v>868.55</v>
      </c>
      <c r="I192" s="111">
        <v>0</v>
      </c>
      <c r="J192" s="295">
        <v>1</v>
      </c>
      <c r="K192" s="266">
        <f t="shared" si="6"/>
        <v>8.6854999999999993</v>
      </c>
      <c r="L192" s="29">
        <f t="shared" si="7"/>
        <v>66</v>
      </c>
    </row>
    <row r="193" spans="1:12">
      <c r="A193" s="29">
        <v>3</v>
      </c>
      <c r="B193" s="111">
        <v>4</v>
      </c>
      <c r="C193" s="111">
        <v>17128</v>
      </c>
      <c r="D193" s="111" t="s">
        <v>759</v>
      </c>
      <c r="E193" s="111" t="s">
        <v>448</v>
      </c>
      <c r="F193" s="265">
        <v>41950</v>
      </c>
      <c r="G193" s="265">
        <v>42013</v>
      </c>
      <c r="H193" s="111">
        <v>1326.12</v>
      </c>
      <c r="I193" s="111">
        <v>0</v>
      </c>
      <c r="J193" s="295">
        <v>1</v>
      </c>
      <c r="K193" s="266">
        <f t="shared" si="6"/>
        <v>13.261199999999999</v>
      </c>
      <c r="L193" s="29">
        <f t="shared" si="7"/>
        <v>63</v>
      </c>
    </row>
    <row r="194" spans="1:12">
      <c r="A194" s="29">
        <v>4</v>
      </c>
      <c r="B194" s="111">
        <v>4</v>
      </c>
      <c r="C194" s="111">
        <v>17155</v>
      </c>
      <c r="D194" s="111" t="s">
        <v>759</v>
      </c>
      <c r="E194" s="111" t="s">
        <v>448</v>
      </c>
      <c r="F194" s="265">
        <v>41950</v>
      </c>
      <c r="G194" s="265">
        <v>42013</v>
      </c>
      <c r="H194" s="111">
        <v>1314.08</v>
      </c>
      <c r="I194" s="111">
        <v>0</v>
      </c>
      <c r="J194" s="295">
        <v>1</v>
      </c>
      <c r="K194" s="266">
        <f t="shared" si="6"/>
        <v>13.140799999999999</v>
      </c>
      <c r="L194" s="29">
        <f t="shared" si="7"/>
        <v>63</v>
      </c>
    </row>
    <row r="195" spans="1:12">
      <c r="A195" s="29">
        <v>5</v>
      </c>
      <c r="B195" s="111">
        <v>4</v>
      </c>
      <c r="C195" s="111">
        <v>17274</v>
      </c>
      <c r="D195" s="111" t="s">
        <v>759</v>
      </c>
      <c r="E195" s="111" t="s">
        <v>448</v>
      </c>
      <c r="F195" s="265">
        <v>41953</v>
      </c>
      <c r="G195" s="265">
        <v>42013</v>
      </c>
      <c r="H195" s="111">
        <v>804.05</v>
      </c>
      <c r="I195" s="111">
        <v>0</v>
      </c>
      <c r="J195" s="295">
        <v>1</v>
      </c>
      <c r="K195" s="266">
        <f t="shared" si="6"/>
        <v>8.0404999999999998</v>
      </c>
      <c r="L195" s="29">
        <f t="shared" si="7"/>
        <v>60</v>
      </c>
    </row>
    <row r="196" spans="1:12">
      <c r="A196" s="29">
        <v>6</v>
      </c>
      <c r="B196" s="111">
        <v>4</v>
      </c>
      <c r="C196" s="111">
        <v>17380</v>
      </c>
      <c r="D196" s="111" t="s">
        <v>768</v>
      </c>
      <c r="E196" s="111" t="s">
        <v>448</v>
      </c>
      <c r="F196" s="265">
        <v>41955</v>
      </c>
      <c r="G196" s="265">
        <v>42023</v>
      </c>
      <c r="H196" s="111">
        <v>1029.92</v>
      </c>
      <c r="I196" s="111">
        <v>0</v>
      </c>
      <c r="J196" s="295">
        <v>1</v>
      </c>
      <c r="K196" s="266">
        <f t="shared" si="6"/>
        <v>10.299200000000001</v>
      </c>
      <c r="L196" s="29">
        <f t="shared" si="7"/>
        <v>68</v>
      </c>
    </row>
    <row r="197" spans="1:12">
      <c r="A197" s="29">
        <v>7</v>
      </c>
      <c r="B197" s="111">
        <v>4</v>
      </c>
      <c r="C197" s="111">
        <v>17433</v>
      </c>
      <c r="D197" s="111" t="s">
        <v>759</v>
      </c>
      <c r="E197" s="111" t="s">
        <v>448</v>
      </c>
      <c r="F197" s="265">
        <v>41955</v>
      </c>
      <c r="G197" s="265">
        <v>42013</v>
      </c>
      <c r="H197" s="111">
        <v>1314.08</v>
      </c>
      <c r="I197" s="111">
        <v>0</v>
      </c>
      <c r="J197" s="295">
        <v>1</v>
      </c>
      <c r="K197" s="266">
        <f t="shared" si="6"/>
        <v>13.140799999999999</v>
      </c>
      <c r="L197" s="29">
        <f t="shared" si="7"/>
        <v>58</v>
      </c>
    </row>
    <row r="198" spans="1:12">
      <c r="A198" s="29">
        <v>8</v>
      </c>
      <c r="B198" s="111">
        <v>4</v>
      </c>
      <c r="C198" s="111">
        <v>17528</v>
      </c>
      <c r="D198" s="111" t="s">
        <v>768</v>
      </c>
      <c r="E198" s="111" t="s">
        <v>448</v>
      </c>
      <c r="F198" s="265">
        <v>41956</v>
      </c>
      <c r="G198" s="265">
        <v>42031</v>
      </c>
      <c r="H198" s="111">
        <v>463.45</v>
      </c>
      <c r="I198" s="111">
        <v>0</v>
      </c>
      <c r="J198" s="295">
        <v>1</v>
      </c>
      <c r="K198" s="266">
        <f t="shared" si="6"/>
        <v>4.6345000000000001</v>
      </c>
      <c r="L198" s="29">
        <f t="shared" si="7"/>
        <v>75</v>
      </c>
    </row>
    <row r="199" spans="1:12">
      <c r="A199" s="29">
        <v>9</v>
      </c>
      <c r="B199" s="111">
        <v>4</v>
      </c>
      <c r="C199" s="111">
        <v>17753</v>
      </c>
      <c r="D199" s="111" t="s">
        <v>759</v>
      </c>
      <c r="E199" s="111" t="s">
        <v>448</v>
      </c>
      <c r="F199" s="265">
        <v>41961</v>
      </c>
      <c r="G199" s="265">
        <v>42013</v>
      </c>
      <c r="H199" s="111">
        <v>3012.28</v>
      </c>
      <c r="I199" s="111">
        <v>0</v>
      </c>
      <c r="J199" s="295">
        <v>1</v>
      </c>
      <c r="K199" s="266">
        <f t="shared" si="6"/>
        <v>30.122800000000002</v>
      </c>
      <c r="L199" s="29">
        <f t="shared" si="7"/>
        <v>52</v>
      </c>
    </row>
    <row r="200" spans="1:12">
      <c r="A200" s="29">
        <v>10</v>
      </c>
      <c r="B200" s="111">
        <v>4</v>
      </c>
      <c r="C200" s="111">
        <v>17752</v>
      </c>
      <c r="D200" s="111" t="s">
        <v>759</v>
      </c>
      <c r="E200" s="111" t="s">
        <v>448</v>
      </c>
      <c r="F200" s="265">
        <v>41961</v>
      </c>
      <c r="G200" s="265">
        <v>42013</v>
      </c>
      <c r="H200" s="111">
        <v>1314.08</v>
      </c>
      <c r="I200" s="111">
        <v>0</v>
      </c>
      <c r="J200" s="295">
        <v>1</v>
      </c>
      <c r="K200" s="266">
        <f t="shared" si="6"/>
        <v>13.140799999999999</v>
      </c>
      <c r="L200" s="29">
        <f t="shared" si="7"/>
        <v>52</v>
      </c>
    </row>
    <row r="201" spans="1:12">
      <c r="A201" s="29">
        <v>11</v>
      </c>
      <c r="B201" s="111">
        <v>4</v>
      </c>
      <c r="C201" s="111">
        <v>17877</v>
      </c>
      <c r="D201" s="111" t="s">
        <v>759</v>
      </c>
      <c r="E201" s="111" t="s">
        <v>448</v>
      </c>
      <c r="F201" s="265">
        <v>41962</v>
      </c>
      <c r="G201" s="265">
        <v>42013</v>
      </c>
      <c r="H201" s="111">
        <v>441.63</v>
      </c>
      <c r="I201" s="111">
        <v>0</v>
      </c>
      <c r="J201" s="295">
        <v>1</v>
      </c>
      <c r="K201" s="266">
        <f t="shared" si="6"/>
        <v>4.4162999999999997</v>
      </c>
      <c r="L201" s="29">
        <f t="shared" si="7"/>
        <v>51</v>
      </c>
    </row>
    <row r="202" spans="1:12">
      <c r="A202" s="29">
        <v>12</v>
      </c>
      <c r="B202" s="111">
        <v>4</v>
      </c>
      <c r="C202" s="111">
        <v>17878</v>
      </c>
      <c r="D202" s="111" t="s">
        <v>759</v>
      </c>
      <c r="E202" s="111" t="s">
        <v>448</v>
      </c>
      <c r="F202" s="265">
        <v>41962</v>
      </c>
      <c r="G202" s="265">
        <v>42013</v>
      </c>
      <c r="H202" s="111">
        <v>227.43</v>
      </c>
      <c r="I202" s="111">
        <v>0</v>
      </c>
      <c r="J202" s="295">
        <v>1</v>
      </c>
      <c r="K202" s="266">
        <f t="shared" si="6"/>
        <v>2.2743000000000002</v>
      </c>
      <c r="L202" s="29">
        <f t="shared" si="7"/>
        <v>51</v>
      </c>
    </row>
    <row r="203" spans="1:12">
      <c r="A203" s="29">
        <v>13</v>
      </c>
      <c r="B203" s="111">
        <v>4</v>
      </c>
      <c r="C203" s="111">
        <v>18314</v>
      </c>
      <c r="D203" s="111" t="s">
        <v>759</v>
      </c>
      <c r="E203" s="111" t="s">
        <v>448</v>
      </c>
      <c r="F203" s="265">
        <v>41969</v>
      </c>
      <c r="G203" s="265">
        <v>42013</v>
      </c>
      <c r="H203" s="111">
        <v>26485.87</v>
      </c>
      <c r="I203" s="111">
        <v>0</v>
      </c>
      <c r="J203" s="295">
        <v>1</v>
      </c>
      <c r="K203" s="266">
        <f t="shared" si="6"/>
        <v>264.8587</v>
      </c>
      <c r="L203" s="29">
        <f t="shared" si="7"/>
        <v>44</v>
      </c>
    </row>
    <row r="204" spans="1:12">
      <c r="A204" s="29">
        <v>14</v>
      </c>
      <c r="B204" s="111">
        <v>4</v>
      </c>
      <c r="C204" s="111">
        <v>18315</v>
      </c>
      <c r="D204" s="111" t="s">
        <v>759</v>
      </c>
      <c r="E204" s="111" t="s">
        <v>448</v>
      </c>
      <c r="F204" s="265">
        <v>41969</v>
      </c>
      <c r="G204" s="265">
        <v>42025</v>
      </c>
      <c r="H204" s="111">
        <v>7101.63</v>
      </c>
      <c r="I204" s="111">
        <v>0</v>
      </c>
      <c r="J204" s="295">
        <v>1</v>
      </c>
      <c r="K204" s="266">
        <f t="shared" si="6"/>
        <v>71.016300000000001</v>
      </c>
      <c r="L204" s="29">
        <f t="shared" si="7"/>
        <v>56</v>
      </c>
    </row>
    <row r="205" spans="1:12">
      <c r="A205" s="29">
        <v>15</v>
      </c>
      <c r="B205" s="111">
        <v>4</v>
      </c>
      <c r="C205" s="111">
        <v>18316</v>
      </c>
      <c r="D205" s="111" t="s">
        <v>759</v>
      </c>
      <c r="E205" s="111" t="s">
        <v>448</v>
      </c>
      <c r="F205" s="265">
        <v>41969</v>
      </c>
      <c r="G205" s="265">
        <v>42013</v>
      </c>
      <c r="H205" s="111">
        <v>1826.64</v>
      </c>
      <c r="I205" s="111">
        <v>0</v>
      </c>
      <c r="J205" s="295">
        <v>1</v>
      </c>
      <c r="K205" s="266">
        <f t="shared" si="6"/>
        <v>18.266400000000001</v>
      </c>
      <c r="L205" s="29">
        <f t="shared" si="7"/>
        <v>44</v>
      </c>
    </row>
    <row r="206" spans="1:12">
      <c r="A206" s="29">
        <v>16</v>
      </c>
      <c r="B206" s="111">
        <v>4</v>
      </c>
      <c r="C206" s="111">
        <v>18370</v>
      </c>
      <c r="D206" s="111" t="s">
        <v>759</v>
      </c>
      <c r="E206" s="111" t="s">
        <v>448</v>
      </c>
      <c r="F206" s="265">
        <v>41970</v>
      </c>
      <c r="G206" s="265">
        <v>42025</v>
      </c>
      <c r="H206" s="111">
        <v>1314.08</v>
      </c>
      <c r="I206" s="111">
        <v>0</v>
      </c>
      <c r="J206" s="295">
        <v>1</v>
      </c>
      <c r="K206" s="266">
        <f t="shared" si="6"/>
        <v>13.140799999999999</v>
      </c>
      <c r="L206" s="29">
        <f t="shared" si="7"/>
        <v>55</v>
      </c>
    </row>
    <row r="207" spans="1:12">
      <c r="A207" s="29">
        <v>17</v>
      </c>
      <c r="B207" s="111">
        <v>4</v>
      </c>
      <c r="C207" s="111">
        <v>18414</v>
      </c>
      <c r="D207" s="111" t="s">
        <v>759</v>
      </c>
      <c r="E207" s="111" t="s">
        <v>448</v>
      </c>
      <c r="F207" s="265">
        <v>41970</v>
      </c>
      <c r="G207" s="265">
        <v>42025</v>
      </c>
      <c r="H207" s="111">
        <v>413</v>
      </c>
      <c r="I207" s="111">
        <v>0</v>
      </c>
      <c r="J207" s="295">
        <v>1</v>
      </c>
      <c r="K207" s="266">
        <f t="shared" si="6"/>
        <v>4.13</v>
      </c>
      <c r="L207" s="29">
        <f t="shared" si="7"/>
        <v>55</v>
      </c>
    </row>
    <row r="208" spans="1:12">
      <c r="A208" s="29">
        <v>18</v>
      </c>
      <c r="B208" s="111">
        <v>4</v>
      </c>
      <c r="C208" s="111">
        <v>18485</v>
      </c>
      <c r="D208" s="111" t="s">
        <v>767</v>
      </c>
      <c r="E208" s="111" t="s">
        <v>448</v>
      </c>
      <c r="F208" s="265">
        <v>41970</v>
      </c>
      <c r="G208" s="265">
        <v>42014</v>
      </c>
      <c r="H208" s="111">
        <v>816.29</v>
      </c>
      <c r="I208" s="111">
        <v>0</v>
      </c>
      <c r="J208" s="295">
        <v>1</v>
      </c>
      <c r="K208" s="266">
        <f t="shared" si="6"/>
        <v>8.1629000000000005</v>
      </c>
      <c r="L208" s="29">
        <f t="shared" si="7"/>
        <v>44</v>
      </c>
    </row>
    <row r="209" spans="1:12">
      <c r="A209" s="29">
        <v>19</v>
      </c>
      <c r="B209" s="111">
        <v>4</v>
      </c>
      <c r="C209" s="111">
        <v>18543</v>
      </c>
      <c r="D209" s="111" t="s">
        <v>759</v>
      </c>
      <c r="E209" s="111" t="s">
        <v>448</v>
      </c>
      <c r="F209" s="265">
        <v>41971</v>
      </c>
      <c r="G209" s="265">
        <v>42025</v>
      </c>
      <c r="H209" s="111">
        <v>570.66999999999996</v>
      </c>
      <c r="I209" s="111">
        <v>0</v>
      </c>
      <c r="J209" s="295">
        <v>1</v>
      </c>
      <c r="K209" s="266">
        <f t="shared" si="6"/>
        <v>5.7066999999999997</v>
      </c>
      <c r="L209" s="29">
        <f t="shared" si="7"/>
        <v>54</v>
      </c>
    </row>
    <row r="210" spans="1:12">
      <c r="A210" s="29">
        <v>20</v>
      </c>
      <c r="B210" s="111">
        <v>4</v>
      </c>
      <c r="C210" s="111">
        <v>18542</v>
      </c>
      <c r="D210" s="111" t="s">
        <v>759</v>
      </c>
      <c r="E210" s="111" t="s">
        <v>448</v>
      </c>
      <c r="F210" s="265">
        <v>41971</v>
      </c>
      <c r="G210" s="265">
        <v>42025</v>
      </c>
      <c r="H210" s="111">
        <v>604.62</v>
      </c>
      <c r="I210" s="111">
        <v>0</v>
      </c>
      <c r="J210" s="295">
        <v>1</v>
      </c>
      <c r="K210" s="266">
        <f t="shared" si="6"/>
        <v>6.0461999999999998</v>
      </c>
      <c r="L210" s="29">
        <f t="shared" si="7"/>
        <v>54</v>
      </c>
    </row>
    <row r="211" spans="1:12">
      <c r="A211" s="29">
        <v>21</v>
      </c>
      <c r="B211" s="111">
        <v>4</v>
      </c>
      <c r="C211" s="111">
        <v>18783</v>
      </c>
      <c r="D211" s="111" t="s">
        <v>759</v>
      </c>
      <c r="E211" s="111" t="s">
        <v>448</v>
      </c>
      <c r="F211" s="265">
        <v>41974</v>
      </c>
      <c r="G211" s="265">
        <v>42025</v>
      </c>
      <c r="H211" s="111">
        <v>5622.91</v>
      </c>
      <c r="I211" s="111">
        <v>0</v>
      </c>
      <c r="J211" s="295">
        <v>1</v>
      </c>
      <c r="K211" s="266">
        <f t="shared" si="6"/>
        <v>56.229100000000003</v>
      </c>
      <c r="L211" s="29">
        <f t="shared" si="7"/>
        <v>51</v>
      </c>
    </row>
    <row r="212" spans="1:12">
      <c r="A212" s="29">
        <v>22</v>
      </c>
      <c r="B212" s="111">
        <v>4</v>
      </c>
      <c r="C212" s="111">
        <v>18815</v>
      </c>
      <c r="D212" s="111" t="s">
        <v>759</v>
      </c>
      <c r="E212" s="111" t="s">
        <v>448</v>
      </c>
      <c r="F212" s="265">
        <v>41975</v>
      </c>
      <c r="G212" s="265">
        <v>42025</v>
      </c>
      <c r="H212" s="111">
        <v>813.29</v>
      </c>
      <c r="I212" s="111">
        <v>0</v>
      </c>
      <c r="J212" s="295">
        <v>1</v>
      </c>
      <c r="K212" s="266">
        <f t="shared" si="6"/>
        <v>8.1328999999999994</v>
      </c>
      <c r="L212" s="29">
        <f t="shared" si="7"/>
        <v>50</v>
      </c>
    </row>
    <row r="213" spans="1:12">
      <c r="A213" s="29">
        <v>23</v>
      </c>
      <c r="B213" s="111">
        <v>4</v>
      </c>
      <c r="C213" s="111">
        <v>18861</v>
      </c>
      <c r="D213" s="111" t="s">
        <v>758</v>
      </c>
      <c r="E213" s="111" t="s">
        <v>448</v>
      </c>
      <c r="F213" s="265">
        <v>41975</v>
      </c>
      <c r="G213" s="265">
        <v>42033</v>
      </c>
      <c r="H213" s="111">
        <v>12237.82</v>
      </c>
      <c r="I213" s="111">
        <v>5433.12</v>
      </c>
      <c r="J213" s="295">
        <v>1</v>
      </c>
      <c r="K213" s="266">
        <f t="shared" si="6"/>
        <v>68.046999999999997</v>
      </c>
      <c r="L213" s="29">
        <f t="shared" si="7"/>
        <v>58</v>
      </c>
    </row>
    <row r="214" spans="1:12">
      <c r="A214" s="29">
        <v>24</v>
      </c>
      <c r="B214" s="111">
        <v>4</v>
      </c>
      <c r="C214" s="111">
        <v>18926</v>
      </c>
      <c r="D214" s="111" t="s">
        <v>759</v>
      </c>
      <c r="E214" s="111" t="s">
        <v>448</v>
      </c>
      <c r="F214" s="265">
        <v>41977</v>
      </c>
      <c r="G214" s="265">
        <v>42028</v>
      </c>
      <c r="H214" s="111">
        <v>1314.08</v>
      </c>
      <c r="I214" s="111">
        <v>0</v>
      </c>
      <c r="J214" s="295">
        <v>1</v>
      </c>
      <c r="K214" s="266">
        <f t="shared" si="6"/>
        <v>13.140799999999999</v>
      </c>
      <c r="L214" s="29">
        <f t="shared" si="7"/>
        <v>51</v>
      </c>
    </row>
    <row r="215" spans="1:12">
      <c r="A215" s="29">
        <v>25</v>
      </c>
      <c r="B215" s="111">
        <v>4</v>
      </c>
      <c r="C215" s="111">
        <v>18927</v>
      </c>
      <c r="D215" s="111" t="s">
        <v>758</v>
      </c>
      <c r="E215" s="111" t="s">
        <v>448</v>
      </c>
      <c r="F215" s="265">
        <v>41977</v>
      </c>
      <c r="G215" s="265">
        <v>42025</v>
      </c>
      <c r="H215" s="111">
        <v>458.78</v>
      </c>
      <c r="I215" s="111">
        <v>0</v>
      </c>
      <c r="J215" s="295">
        <v>1</v>
      </c>
      <c r="K215" s="266">
        <f t="shared" si="6"/>
        <v>4.5877999999999997</v>
      </c>
      <c r="L215" s="29">
        <f t="shared" si="7"/>
        <v>48</v>
      </c>
    </row>
    <row r="216" spans="1:12">
      <c r="A216" s="29">
        <v>26</v>
      </c>
      <c r="B216" s="111">
        <v>4</v>
      </c>
      <c r="C216" s="111">
        <v>18920</v>
      </c>
      <c r="D216" s="111" t="s">
        <v>759</v>
      </c>
      <c r="E216" s="111" t="s">
        <v>448</v>
      </c>
      <c r="F216" s="265">
        <v>41977</v>
      </c>
      <c r="G216" s="265">
        <v>42028</v>
      </c>
      <c r="H216" s="111">
        <v>6796.61</v>
      </c>
      <c r="I216" s="111">
        <v>0</v>
      </c>
      <c r="J216" s="295">
        <v>1</v>
      </c>
      <c r="K216" s="266">
        <f t="shared" si="6"/>
        <v>67.966099999999997</v>
      </c>
      <c r="L216" s="29">
        <f t="shared" si="7"/>
        <v>51</v>
      </c>
    </row>
    <row r="217" spans="1:12">
      <c r="A217" s="29">
        <v>27</v>
      </c>
      <c r="B217" s="111">
        <v>4</v>
      </c>
      <c r="C217" s="111">
        <v>18924</v>
      </c>
      <c r="D217" s="111" t="s">
        <v>758</v>
      </c>
      <c r="E217" s="111" t="s">
        <v>448</v>
      </c>
      <c r="F217" s="265">
        <v>41977</v>
      </c>
      <c r="G217" s="265">
        <v>42025</v>
      </c>
      <c r="H217" s="111">
        <v>3998.01</v>
      </c>
      <c r="I217" s="111">
        <v>0</v>
      </c>
      <c r="J217" s="295">
        <v>1</v>
      </c>
      <c r="K217" s="266">
        <f t="shared" si="6"/>
        <v>39.9801</v>
      </c>
      <c r="L217" s="29">
        <f t="shared" si="7"/>
        <v>48</v>
      </c>
    </row>
    <row r="218" spans="1:12">
      <c r="A218" s="29">
        <v>28</v>
      </c>
      <c r="B218" s="111">
        <v>4</v>
      </c>
      <c r="C218" s="111">
        <v>18945</v>
      </c>
      <c r="D218" s="111" t="s">
        <v>757</v>
      </c>
      <c r="E218" s="111" t="s">
        <v>448</v>
      </c>
      <c r="F218" s="265">
        <v>41977</v>
      </c>
      <c r="G218" s="265">
        <v>42025</v>
      </c>
      <c r="H218" s="111">
        <v>413.98</v>
      </c>
      <c r="I218" s="111">
        <v>0</v>
      </c>
      <c r="J218" s="295">
        <v>1</v>
      </c>
      <c r="K218" s="266">
        <f t="shared" si="6"/>
        <v>4.1398000000000001</v>
      </c>
      <c r="L218" s="29">
        <f t="shared" si="7"/>
        <v>48</v>
      </c>
    </row>
    <row r="219" spans="1:12">
      <c r="A219" s="29">
        <v>29</v>
      </c>
      <c r="B219" s="111">
        <v>4</v>
      </c>
      <c r="C219" s="111">
        <v>18939</v>
      </c>
      <c r="D219" s="111" t="s">
        <v>760</v>
      </c>
      <c r="E219" s="111" t="s">
        <v>448</v>
      </c>
      <c r="F219" s="265">
        <v>41977</v>
      </c>
      <c r="G219" s="265">
        <v>42025</v>
      </c>
      <c r="H219" s="111">
        <v>1022.19</v>
      </c>
      <c r="I219" s="111">
        <v>0</v>
      </c>
      <c r="J219" s="295">
        <v>1</v>
      </c>
      <c r="K219" s="266">
        <f t="shared" si="6"/>
        <v>10.221900000000002</v>
      </c>
      <c r="L219" s="29">
        <f t="shared" si="7"/>
        <v>48</v>
      </c>
    </row>
    <row r="220" spans="1:12">
      <c r="A220" s="29">
        <v>30</v>
      </c>
      <c r="B220" s="111">
        <v>4</v>
      </c>
      <c r="C220" s="111">
        <v>19070</v>
      </c>
      <c r="D220" s="111" t="s">
        <v>759</v>
      </c>
      <c r="E220" s="111" t="s">
        <v>448</v>
      </c>
      <c r="F220" s="265">
        <v>41979</v>
      </c>
      <c r="G220" s="265">
        <v>42028</v>
      </c>
      <c r="H220" s="111">
        <v>5963.9</v>
      </c>
      <c r="I220" s="111">
        <v>0</v>
      </c>
      <c r="J220" s="295">
        <v>1</v>
      </c>
      <c r="K220" s="266">
        <f t="shared" si="6"/>
        <v>59.638999999999996</v>
      </c>
      <c r="L220" s="29">
        <f t="shared" si="7"/>
        <v>49</v>
      </c>
    </row>
    <row r="221" spans="1:12">
      <c r="A221" s="29">
        <v>31</v>
      </c>
      <c r="B221" s="111">
        <v>4</v>
      </c>
      <c r="C221" s="111">
        <v>19039</v>
      </c>
      <c r="D221" s="111" t="s">
        <v>759</v>
      </c>
      <c r="E221" s="111" t="s">
        <v>448</v>
      </c>
      <c r="F221" s="265">
        <v>41979</v>
      </c>
      <c r="G221" s="265">
        <v>42034</v>
      </c>
      <c r="H221" s="111">
        <v>5505.89</v>
      </c>
      <c r="I221" s="111">
        <v>0</v>
      </c>
      <c r="J221" s="295">
        <v>1</v>
      </c>
      <c r="K221" s="266">
        <f t="shared" si="6"/>
        <v>55.058900000000001</v>
      </c>
      <c r="L221" s="29">
        <f t="shared" si="7"/>
        <v>55</v>
      </c>
    </row>
    <row r="222" spans="1:12">
      <c r="A222" s="29">
        <v>32</v>
      </c>
      <c r="B222" s="111">
        <v>4</v>
      </c>
      <c r="C222" s="111">
        <v>19057</v>
      </c>
      <c r="D222" s="111" t="s">
        <v>759</v>
      </c>
      <c r="E222" s="111" t="s">
        <v>448</v>
      </c>
      <c r="F222" s="265">
        <v>41979</v>
      </c>
      <c r="G222" s="265">
        <v>42034</v>
      </c>
      <c r="H222" s="111">
        <v>412.99</v>
      </c>
      <c r="I222" s="111">
        <v>0</v>
      </c>
      <c r="J222" s="295">
        <v>1</v>
      </c>
      <c r="K222" s="266">
        <f t="shared" si="6"/>
        <v>4.1299000000000001</v>
      </c>
      <c r="L222" s="29">
        <f t="shared" si="7"/>
        <v>55</v>
      </c>
    </row>
    <row r="223" spans="1:12">
      <c r="A223" s="29">
        <v>33</v>
      </c>
      <c r="B223" s="111">
        <v>4</v>
      </c>
      <c r="C223" s="111">
        <v>19079</v>
      </c>
      <c r="D223" s="111" t="s">
        <v>758</v>
      </c>
      <c r="E223" s="111" t="s">
        <v>448</v>
      </c>
      <c r="F223" s="265">
        <v>41982</v>
      </c>
      <c r="G223" s="265">
        <v>42025</v>
      </c>
      <c r="H223" s="111">
        <v>1622.44</v>
      </c>
      <c r="I223" s="111">
        <v>0</v>
      </c>
      <c r="J223" s="295">
        <v>1</v>
      </c>
      <c r="K223" s="266">
        <f t="shared" ref="K223:K254" si="8">(H223-I223)*J223%</f>
        <v>16.224399999999999</v>
      </c>
      <c r="L223" s="29">
        <f t="shared" ref="L223:L254" si="9">G223-F223</f>
        <v>43</v>
      </c>
    </row>
    <row r="224" spans="1:12">
      <c r="A224" s="29">
        <v>34</v>
      </c>
      <c r="B224" s="111">
        <v>4</v>
      </c>
      <c r="C224" s="111">
        <v>19078</v>
      </c>
      <c r="D224" s="111" t="s">
        <v>757</v>
      </c>
      <c r="E224" s="111" t="s">
        <v>448</v>
      </c>
      <c r="F224" s="265">
        <v>41982</v>
      </c>
      <c r="G224" s="265">
        <v>42025</v>
      </c>
      <c r="H224" s="111">
        <v>564.9</v>
      </c>
      <c r="I224" s="111">
        <v>0</v>
      </c>
      <c r="J224" s="295">
        <v>1</v>
      </c>
      <c r="K224" s="266">
        <f t="shared" si="8"/>
        <v>5.649</v>
      </c>
      <c r="L224" s="29">
        <f t="shared" si="9"/>
        <v>43</v>
      </c>
    </row>
    <row r="225" spans="1:12">
      <c r="A225" s="29">
        <v>35</v>
      </c>
      <c r="B225" s="111">
        <v>4</v>
      </c>
      <c r="C225" s="111">
        <v>19186</v>
      </c>
      <c r="D225" s="111" t="s">
        <v>759</v>
      </c>
      <c r="E225" s="111" t="s">
        <v>448</v>
      </c>
      <c r="F225" s="265">
        <v>41983</v>
      </c>
      <c r="G225" s="265">
        <v>42034</v>
      </c>
      <c r="H225" s="111">
        <v>172.29</v>
      </c>
      <c r="I225" s="111">
        <v>0</v>
      </c>
      <c r="J225" s="295">
        <v>1</v>
      </c>
      <c r="K225" s="266">
        <f t="shared" si="8"/>
        <v>1.7228999999999999</v>
      </c>
      <c r="L225" s="29">
        <f t="shared" si="9"/>
        <v>51</v>
      </c>
    </row>
    <row r="226" spans="1:12">
      <c r="A226" s="29">
        <v>36</v>
      </c>
      <c r="B226" s="111">
        <v>4</v>
      </c>
      <c r="C226" s="111">
        <v>19187</v>
      </c>
      <c r="D226" s="111" t="s">
        <v>759</v>
      </c>
      <c r="E226" s="111" t="s">
        <v>448</v>
      </c>
      <c r="F226" s="265">
        <v>41983</v>
      </c>
      <c r="G226" s="265">
        <v>42034</v>
      </c>
      <c r="H226" s="111">
        <v>1727.07</v>
      </c>
      <c r="I226" s="111">
        <v>0</v>
      </c>
      <c r="J226" s="295">
        <v>1</v>
      </c>
      <c r="K226" s="266">
        <f t="shared" si="8"/>
        <v>17.270700000000001</v>
      </c>
      <c r="L226" s="29">
        <f t="shared" si="9"/>
        <v>51</v>
      </c>
    </row>
    <row r="227" spans="1:12">
      <c r="A227" s="29">
        <v>37</v>
      </c>
      <c r="B227" s="111">
        <v>4</v>
      </c>
      <c r="C227" s="111">
        <v>19237</v>
      </c>
      <c r="D227" s="111" t="s">
        <v>759</v>
      </c>
      <c r="E227" s="111" t="s">
        <v>448</v>
      </c>
      <c r="F227" s="265">
        <v>41984</v>
      </c>
      <c r="G227" s="265">
        <v>42034</v>
      </c>
      <c r="H227" s="111">
        <v>854.99</v>
      </c>
      <c r="I227" s="111">
        <v>0</v>
      </c>
      <c r="J227" s="295">
        <v>1</v>
      </c>
      <c r="K227" s="266">
        <f t="shared" si="8"/>
        <v>8.5499000000000009</v>
      </c>
      <c r="L227" s="29">
        <f t="shared" si="9"/>
        <v>50</v>
      </c>
    </row>
    <row r="228" spans="1:12">
      <c r="A228" s="29">
        <v>38</v>
      </c>
      <c r="B228" s="111">
        <v>4</v>
      </c>
      <c r="C228" s="111">
        <v>19227</v>
      </c>
      <c r="D228" s="111" t="s">
        <v>758</v>
      </c>
      <c r="E228" s="111" t="s">
        <v>448</v>
      </c>
      <c r="F228" s="265">
        <v>41984</v>
      </c>
      <c r="G228" s="265">
        <v>42034</v>
      </c>
      <c r="H228" s="111">
        <v>6605.89</v>
      </c>
      <c r="I228" s="111">
        <v>0</v>
      </c>
      <c r="J228" s="295">
        <v>1</v>
      </c>
      <c r="K228" s="266">
        <f t="shared" si="8"/>
        <v>66.058900000000008</v>
      </c>
      <c r="L228" s="29">
        <f t="shared" si="9"/>
        <v>50</v>
      </c>
    </row>
    <row r="229" spans="1:12">
      <c r="A229" s="29">
        <v>39</v>
      </c>
      <c r="B229" s="111">
        <v>4</v>
      </c>
      <c r="C229" s="111">
        <v>19222</v>
      </c>
      <c r="D229" s="111" t="s">
        <v>758</v>
      </c>
      <c r="E229" s="111" t="s">
        <v>448</v>
      </c>
      <c r="F229" s="265">
        <v>41984</v>
      </c>
      <c r="G229" s="265">
        <v>42025</v>
      </c>
      <c r="H229" s="111">
        <v>487.2</v>
      </c>
      <c r="I229" s="111">
        <v>0</v>
      </c>
      <c r="J229" s="295">
        <v>1</v>
      </c>
      <c r="K229" s="266">
        <f t="shared" si="8"/>
        <v>4.8719999999999999</v>
      </c>
      <c r="L229" s="29">
        <f t="shared" si="9"/>
        <v>41</v>
      </c>
    </row>
    <row r="230" spans="1:12">
      <c r="A230" s="29">
        <v>40</v>
      </c>
      <c r="B230" s="111">
        <v>4</v>
      </c>
      <c r="C230" s="111">
        <v>19221</v>
      </c>
      <c r="D230" s="111" t="s">
        <v>758</v>
      </c>
      <c r="E230" s="111" t="s">
        <v>448</v>
      </c>
      <c r="F230" s="265">
        <v>41984</v>
      </c>
      <c r="G230" s="265">
        <v>42025</v>
      </c>
      <c r="H230" s="111">
        <v>1229.0899999999999</v>
      </c>
      <c r="I230" s="111">
        <v>0</v>
      </c>
      <c r="J230" s="295">
        <v>1</v>
      </c>
      <c r="K230" s="266">
        <f t="shared" si="8"/>
        <v>12.290899999999999</v>
      </c>
      <c r="L230" s="29">
        <f t="shared" si="9"/>
        <v>41</v>
      </c>
    </row>
    <row r="231" spans="1:12">
      <c r="A231" s="29">
        <v>41</v>
      </c>
      <c r="B231" s="111">
        <v>4</v>
      </c>
      <c r="C231" s="111">
        <v>19340</v>
      </c>
      <c r="D231" s="111" t="s">
        <v>759</v>
      </c>
      <c r="E231" s="111" t="s">
        <v>448</v>
      </c>
      <c r="F231" s="265">
        <v>41985</v>
      </c>
      <c r="G231" s="265">
        <v>42034</v>
      </c>
      <c r="H231" s="111">
        <v>3298.94</v>
      </c>
      <c r="I231" s="111">
        <v>0</v>
      </c>
      <c r="J231" s="295">
        <v>1</v>
      </c>
      <c r="K231" s="266">
        <f t="shared" si="8"/>
        <v>32.989400000000003</v>
      </c>
      <c r="L231" s="29">
        <f t="shared" si="9"/>
        <v>49</v>
      </c>
    </row>
    <row r="232" spans="1:12">
      <c r="A232" s="29">
        <v>42</v>
      </c>
      <c r="B232" s="111">
        <v>4</v>
      </c>
      <c r="C232" s="111">
        <v>19329</v>
      </c>
      <c r="D232" s="111" t="s">
        <v>759</v>
      </c>
      <c r="E232" s="111" t="s">
        <v>448</v>
      </c>
      <c r="F232" s="265">
        <v>41985</v>
      </c>
      <c r="G232" s="265">
        <v>42034</v>
      </c>
      <c r="H232" s="111">
        <v>748.7</v>
      </c>
      <c r="I232" s="111">
        <v>0</v>
      </c>
      <c r="J232" s="295">
        <v>1</v>
      </c>
      <c r="K232" s="266">
        <f t="shared" si="8"/>
        <v>7.487000000000001</v>
      </c>
      <c r="L232" s="29">
        <f t="shared" si="9"/>
        <v>49</v>
      </c>
    </row>
    <row r="233" spans="1:12">
      <c r="A233" s="29">
        <v>43</v>
      </c>
      <c r="B233" s="111">
        <v>4</v>
      </c>
      <c r="C233" s="111">
        <v>19252</v>
      </c>
      <c r="D233" s="111" t="s">
        <v>767</v>
      </c>
      <c r="E233" s="111" t="s">
        <v>448</v>
      </c>
      <c r="F233" s="265">
        <v>41984</v>
      </c>
      <c r="G233" s="265">
        <v>42014</v>
      </c>
      <c r="H233" s="111">
        <v>632.54</v>
      </c>
      <c r="I233" s="111">
        <v>0</v>
      </c>
      <c r="J233" s="295">
        <v>1</v>
      </c>
      <c r="K233" s="266">
        <f t="shared" si="8"/>
        <v>6.3254000000000001</v>
      </c>
      <c r="L233" s="29">
        <f t="shared" si="9"/>
        <v>30</v>
      </c>
    </row>
    <row r="234" spans="1:12">
      <c r="A234" s="29">
        <v>44</v>
      </c>
      <c r="B234" s="111">
        <v>4</v>
      </c>
      <c r="C234" s="111">
        <v>19282</v>
      </c>
      <c r="D234" s="111" t="s">
        <v>758</v>
      </c>
      <c r="E234" s="111" t="s">
        <v>448</v>
      </c>
      <c r="F234" s="265">
        <v>41985</v>
      </c>
      <c r="G234" s="265">
        <v>42025</v>
      </c>
      <c r="H234" s="111">
        <v>2180.19</v>
      </c>
      <c r="I234" s="111">
        <v>0</v>
      </c>
      <c r="J234" s="295">
        <v>1</v>
      </c>
      <c r="K234" s="266">
        <f t="shared" si="8"/>
        <v>21.8019</v>
      </c>
      <c r="L234" s="29">
        <f t="shared" si="9"/>
        <v>40</v>
      </c>
    </row>
    <row r="235" spans="1:12">
      <c r="A235" s="29">
        <v>45</v>
      </c>
      <c r="B235" s="111">
        <v>4</v>
      </c>
      <c r="C235" s="111">
        <v>19339</v>
      </c>
      <c r="D235" s="111" t="s">
        <v>759</v>
      </c>
      <c r="E235" s="111" t="s">
        <v>448</v>
      </c>
      <c r="F235" s="265">
        <v>41985</v>
      </c>
      <c r="G235" s="265">
        <v>42034</v>
      </c>
      <c r="H235" s="111">
        <v>594.64</v>
      </c>
      <c r="I235" s="111">
        <v>0</v>
      </c>
      <c r="J235" s="295">
        <v>1</v>
      </c>
      <c r="K235" s="266">
        <f t="shared" si="8"/>
        <v>5.9463999999999997</v>
      </c>
      <c r="L235" s="29">
        <f t="shared" si="9"/>
        <v>49</v>
      </c>
    </row>
    <row r="236" spans="1:12">
      <c r="A236" s="29">
        <v>46</v>
      </c>
      <c r="B236" s="111">
        <v>4</v>
      </c>
      <c r="C236" s="111">
        <v>19512</v>
      </c>
      <c r="D236" s="111" t="s">
        <v>758</v>
      </c>
      <c r="E236" s="111" t="s">
        <v>448</v>
      </c>
      <c r="F236" s="265">
        <v>41989</v>
      </c>
      <c r="G236" s="265">
        <v>42025</v>
      </c>
      <c r="H236" s="111">
        <v>1543.71</v>
      </c>
      <c r="I236" s="111">
        <v>0</v>
      </c>
      <c r="J236" s="295">
        <v>1</v>
      </c>
      <c r="K236" s="266">
        <f t="shared" si="8"/>
        <v>15.437100000000001</v>
      </c>
      <c r="L236" s="29">
        <f t="shared" si="9"/>
        <v>36</v>
      </c>
    </row>
    <row r="237" spans="1:12">
      <c r="A237" s="29">
        <v>47</v>
      </c>
      <c r="B237" s="111">
        <v>4</v>
      </c>
      <c r="C237" s="111">
        <v>19485</v>
      </c>
      <c r="D237" s="111" t="s">
        <v>767</v>
      </c>
      <c r="E237" s="111" t="s">
        <v>448</v>
      </c>
      <c r="F237" s="265">
        <v>41989</v>
      </c>
      <c r="G237" s="265">
        <v>42014</v>
      </c>
      <c r="H237" s="111">
        <v>448.26</v>
      </c>
      <c r="I237" s="111">
        <v>0</v>
      </c>
      <c r="J237" s="295">
        <v>1</v>
      </c>
      <c r="K237" s="266">
        <f t="shared" si="8"/>
        <v>4.4825999999999997</v>
      </c>
      <c r="L237" s="29">
        <f t="shared" si="9"/>
        <v>25</v>
      </c>
    </row>
    <row r="238" spans="1:12">
      <c r="A238" s="29">
        <v>48</v>
      </c>
      <c r="B238" s="111">
        <v>4</v>
      </c>
      <c r="C238" s="111">
        <v>19513</v>
      </c>
      <c r="D238" s="111" t="s">
        <v>758</v>
      </c>
      <c r="E238" s="111" t="s">
        <v>448</v>
      </c>
      <c r="F238" s="265">
        <v>41989</v>
      </c>
      <c r="G238" s="265">
        <v>42025</v>
      </c>
      <c r="H238" s="111">
        <v>974.39</v>
      </c>
      <c r="I238" s="111">
        <v>0</v>
      </c>
      <c r="J238" s="295">
        <v>1</v>
      </c>
      <c r="K238" s="266">
        <f t="shared" si="8"/>
        <v>9.7439</v>
      </c>
      <c r="L238" s="29">
        <f t="shared" si="9"/>
        <v>36</v>
      </c>
    </row>
    <row r="239" spans="1:12">
      <c r="A239" s="29">
        <v>49</v>
      </c>
      <c r="B239" s="111">
        <v>4</v>
      </c>
      <c r="C239" s="111">
        <v>19545</v>
      </c>
      <c r="D239" s="111" t="s">
        <v>758</v>
      </c>
      <c r="E239" s="111" t="s">
        <v>448</v>
      </c>
      <c r="F239" s="265">
        <v>41989</v>
      </c>
      <c r="G239" s="265">
        <v>42025</v>
      </c>
      <c r="H239" s="111">
        <v>297.01</v>
      </c>
      <c r="I239" s="111">
        <v>0</v>
      </c>
      <c r="J239" s="295">
        <v>1</v>
      </c>
      <c r="K239" s="266">
        <f t="shared" si="8"/>
        <v>2.9701</v>
      </c>
      <c r="L239" s="29">
        <f t="shared" si="9"/>
        <v>36</v>
      </c>
    </row>
    <row r="240" spans="1:12">
      <c r="A240" s="29">
        <v>50</v>
      </c>
      <c r="B240" s="111">
        <v>4</v>
      </c>
      <c r="C240" s="111">
        <v>19565</v>
      </c>
      <c r="D240" s="111" t="s">
        <v>760</v>
      </c>
      <c r="E240" s="111" t="s">
        <v>448</v>
      </c>
      <c r="F240" s="265">
        <v>41990</v>
      </c>
      <c r="G240" s="265">
        <v>42025</v>
      </c>
      <c r="H240" s="111">
        <v>729.55</v>
      </c>
      <c r="I240" s="111">
        <v>0</v>
      </c>
      <c r="J240" s="295">
        <v>1</v>
      </c>
      <c r="K240" s="266">
        <f t="shared" si="8"/>
        <v>7.2954999999999997</v>
      </c>
      <c r="L240" s="29">
        <f t="shared" si="9"/>
        <v>35</v>
      </c>
    </row>
    <row r="241" spans="1:12">
      <c r="A241" s="29">
        <v>51</v>
      </c>
      <c r="B241" s="111">
        <v>4</v>
      </c>
      <c r="C241" s="111">
        <v>19564</v>
      </c>
      <c r="D241" s="111" t="s">
        <v>758</v>
      </c>
      <c r="E241" s="111" t="s">
        <v>448</v>
      </c>
      <c r="F241" s="265">
        <v>41990</v>
      </c>
      <c r="G241" s="265">
        <v>42034</v>
      </c>
      <c r="H241" s="111">
        <v>1340</v>
      </c>
      <c r="I241" s="111">
        <v>0</v>
      </c>
      <c r="J241" s="295">
        <v>1</v>
      </c>
      <c r="K241" s="266">
        <f t="shared" si="8"/>
        <v>13.4</v>
      </c>
      <c r="L241" s="29">
        <f t="shared" si="9"/>
        <v>44</v>
      </c>
    </row>
    <row r="242" spans="1:12">
      <c r="A242" s="29">
        <v>52</v>
      </c>
      <c r="B242" s="111">
        <v>4</v>
      </c>
      <c r="C242" s="111">
        <v>19642</v>
      </c>
      <c r="D242" s="111" t="s">
        <v>757</v>
      </c>
      <c r="E242" s="111" t="s">
        <v>448</v>
      </c>
      <c r="F242" s="265">
        <v>41991</v>
      </c>
      <c r="G242" s="265">
        <v>42025</v>
      </c>
      <c r="H242" s="111">
        <v>143.9</v>
      </c>
      <c r="I242" s="111">
        <v>0</v>
      </c>
      <c r="J242" s="295">
        <v>1</v>
      </c>
      <c r="K242" s="266">
        <f t="shared" si="8"/>
        <v>1.4390000000000001</v>
      </c>
      <c r="L242" s="29">
        <f t="shared" si="9"/>
        <v>34</v>
      </c>
    </row>
    <row r="243" spans="1:12">
      <c r="A243" s="29">
        <v>53</v>
      </c>
      <c r="B243" s="111">
        <v>4</v>
      </c>
      <c r="C243" s="111">
        <v>19697</v>
      </c>
      <c r="D243" s="111" t="s">
        <v>758</v>
      </c>
      <c r="E243" s="111" t="s">
        <v>448</v>
      </c>
      <c r="F243" s="265">
        <v>41992</v>
      </c>
      <c r="G243" s="265">
        <v>42034</v>
      </c>
      <c r="H243" s="111">
        <v>1829</v>
      </c>
      <c r="I243" s="111">
        <v>0</v>
      </c>
      <c r="J243" s="295">
        <v>1</v>
      </c>
      <c r="K243" s="266">
        <f t="shared" si="8"/>
        <v>18.29</v>
      </c>
      <c r="L243" s="29">
        <f t="shared" si="9"/>
        <v>42</v>
      </c>
    </row>
    <row r="244" spans="1:12">
      <c r="A244" s="29">
        <v>54</v>
      </c>
      <c r="B244" s="111">
        <v>4</v>
      </c>
      <c r="C244" s="111">
        <v>19696</v>
      </c>
      <c r="D244" s="111" t="s">
        <v>757</v>
      </c>
      <c r="E244" s="111" t="s">
        <v>448</v>
      </c>
      <c r="F244" s="265">
        <v>41992</v>
      </c>
      <c r="G244" s="265">
        <v>42025</v>
      </c>
      <c r="H244" s="111">
        <v>442.32</v>
      </c>
      <c r="I244" s="111">
        <v>0</v>
      </c>
      <c r="J244" s="295">
        <v>1</v>
      </c>
      <c r="K244" s="266">
        <f t="shared" si="8"/>
        <v>4.4232000000000005</v>
      </c>
      <c r="L244" s="29">
        <f t="shared" si="9"/>
        <v>33</v>
      </c>
    </row>
    <row r="245" spans="1:12">
      <c r="A245" s="29">
        <v>55</v>
      </c>
      <c r="B245" s="111">
        <v>4</v>
      </c>
      <c r="C245" s="111">
        <v>19719</v>
      </c>
      <c r="D245" s="111" t="s">
        <v>758</v>
      </c>
      <c r="E245" s="111" t="s">
        <v>448</v>
      </c>
      <c r="F245" s="265">
        <v>41993</v>
      </c>
      <c r="G245" s="265">
        <v>42034</v>
      </c>
      <c r="H245" s="111">
        <v>3346.13</v>
      </c>
      <c r="I245" s="111">
        <v>0</v>
      </c>
      <c r="J245" s="295">
        <v>1</v>
      </c>
      <c r="K245" s="266">
        <f t="shared" si="8"/>
        <v>33.461300000000001</v>
      </c>
      <c r="L245" s="29">
        <f t="shared" si="9"/>
        <v>41</v>
      </c>
    </row>
    <row r="246" spans="1:12">
      <c r="A246" s="29">
        <v>56</v>
      </c>
      <c r="B246" s="111">
        <v>4</v>
      </c>
      <c r="C246" s="111">
        <v>19711</v>
      </c>
      <c r="D246" s="111" t="s">
        <v>758</v>
      </c>
      <c r="E246" s="111" t="s">
        <v>448</v>
      </c>
      <c r="F246" s="265">
        <v>41993</v>
      </c>
      <c r="G246" s="265">
        <v>42034</v>
      </c>
      <c r="H246" s="111">
        <v>3804.99</v>
      </c>
      <c r="I246" s="111">
        <v>0</v>
      </c>
      <c r="J246" s="295">
        <v>1</v>
      </c>
      <c r="K246" s="266">
        <f t="shared" si="8"/>
        <v>38.049900000000001</v>
      </c>
      <c r="L246" s="29">
        <f t="shared" si="9"/>
        <v>41</v>
      </c>
    </row>
    <row r="247" spans="1:12">
      <c r="A247" s="29">
        <v>57</v>
      </c>
      <c r="B247" s="111">
        <v>4</v>
      </c>
      <c r="C247" s="111">
        <v>19712</v>
      </c>
      <c r="D247" s="111" t="s">
        <v>758</v>
      </c>
      <c r="E247" s="111" t="s">
        <v>448</v>
      </c>
      <c r="F247" s="265">
        <v>41993</v>
      </c>
      <c r="G247" s="265">
        <v>42034</v>
      </c>
      <c r="H247" s="111">
        <v>5309.48</v>
      </c>
      <c r="I247" s="111">
        <v>0</v>
      </c>
      <c r="J247" s="295">
        <v>1</v>
      </c>
      <c r="K247" s="266">
        <f t="shared" si="8"/>
        <v>53.094799999999999</v>
      </c>
      <c r="L247" s="29">
        <f t="shared" si="9"/>
        <v>41</v>
      </c>
    </row>
    <row r="248" spans="1:12">
      <c r="A248" s="29">
        <v>58</v>
      </c>
      <c r="B248" s="111">
        <v>4</v>
      </c>
      <c r="C248" s="111">
        <v>19721</v>
      </c>
      <c r="D248" s="111" t="s">
        <v>758</v>
      </c>
      <c r="E248" s="111" t="s">
        <v>448</v>
      </c>
      <c r="F248" s="265">
        <v>41993</v>
      </c>
      <c r="G248" s="265">
        <v>42034</v>
      </c>
      <c r="H248" s="111">
        <v>749.23</v>
      </c>
      <c r="I248" s="111">
        <v>0</v>
      </c>
      <c r="J248" s="295">
        <v>1</v>
      </c>
      <c r="K248" s="266">
        <f t="shared" si="8"/>
        <v>7.4923000000000002</v>
      </c>
      <c r="L248" s="29">
        <f t="shared" si="9"/>
        <v>41</v>
      </c>
    </row>
    <row r="249" spans="1:12">
      <c r="A249" s="29">
        <v>59</v>
      </c>
      <c r="B249" s="111">
        <v>4</v>
      </c>
      <c r="C249" s="111">
        <v>19753</v>
      </c>
      <c r="D249" s="111" t="s">
        <v>757</v>
      </c>
      <c r="E249" s="111" t="s">
        <v>448</v>
      </c>
      <c r="F249" s="265">
        <v>41995</v>
      </c>
      <c r="G249" s="265">
        <v>42025</v>
      </c>
      <c r="H249" s="111">
        <v>338.13</v>
      </c>
      <c r="I249" s="111">
        <v>0</v>
      </c>
      <c r="J249" s="295">
        <v>1</v>
      </c>
      <c r="K249" s="266">
        <f t="shared" si="8"/>
        <v>3.3813</v>
      </c>
      <c r="L249" s="29">
        <f t="shared" si="9"/>
        <v>30</v>
      </c>
    </row>
    <row r="250" spans="1:12">
      <c r="A250" s="29">
        <v>60</v>
      </c>
      <c r="B250" s="111">
        <v>4</v>
      </c>
      <c r="C250" s="111">
        <v>19750</v>
      </c>
      <c r="D250" s="111" t="s">
        <v>758</v>
      </c>
      <c r="E250" s="111" t="s">
        <v>448</v>
      </c>
      <c r="F250" s="265">
        <v>41995</v>
      </c>
      <c r="G250" s="265">
        <v>42034</v>
      </c>
      <c r="H250" s="111">
        <v>346.64</v>
      </c>
      <c r="I250" s="111">
        <v>0</v>
      </c>
      <c r="J250" s="295">
        <v>1</v>
      </c>
      <c r="K250" s="266">
        <f t="shared" si="8"/>
        <v>3.4664000000000001</v>
      </c>
      <c r="L250" s="29">
        <f t="shared" si="9"/>
        <v>39</v>
      </c>
    </row>
    <row r="251" spans="1:12">
      <c r="A251" s="29">
        <v>61</v>
      </c>
      <c r="B251" s="111">
        <v>4</v>
      </c>
      <c r="C251" s="111">
        <v>19775</v>
      </c>
      <c r="D251" s="111" t="s">
        <v>767</v>
      </c>
      <c r="E251" s="111" t="s">
        <v>448</v>
      </c>
      <c r="F251" s="265">
        <v>41995</v>
      </c>
      <c r="G251" s="265">
        <v>42014</v>
      </c>
      <c r="H251" s="111">
        <v>164.26</v>
      </c>
      <c r="I251" s="111">
        <v>0</v>
      </c>
      <c r="J251" s="295">
        <v>1</v>
      </c>
      <c r="K251" s="266">
        <f t="shared" si="8"/>
        <v>1.6425999999999998</v>
      </c>
      <c r="L251" s="29">
        <f t="shared" si="9"/>
        <v>19</v>
      </c>
    </row>
    <row r="252" spans="1:12">
      <c r="A252" s="29">
        <v>62</v>
      </c>
      <c r="B252" s="111">
        <v>4</v>
      </c>
      <c r="C252" s="111">
        <v>19789</v>
      </c>
      <c r="D252" s="111" t="s">
        <v>767</v>
      </c>
      <c r="E252" s="111" t="s">
        <v>448</v>
      </c>
      <c r="F252" s="265">
        <v>41996</v>
      </c>
      <c r="G252" s="265">
        <v>42014</v>
      </c>
      <c r="H252" s="111">
        <v>132.75</v>
      </c>
      <c r="I252" s="111">
        <v>0</v>
      </c>
      <c r="J252" s="295">
        <v>1</v>
      </c>
      <c r="K252" s="266">
        <f t="shared" si="8"/>
        <v>1.3275000000000001</v>
      </c>
      <c r="L252" s="29">
        <f t="shared" si="9"/>
        <v>18</v>
      </c>
    </row>
    <row r="253" spans="1:12">
      <c r="A253" s="29">
        <v>63</v>
      </c>
      <c r="B253" s="111">
        <v>4</v>
      </c>
      <c r="C253" s="111">
        <v>19810</v>
      </c>
      <c r="D253" s="111" t="s">
        <v>757</v>
      </c>
      <c r="E253" s="111" t="s">
        <v>448</v>
      </c>
      <c r="F253" s="265">
        <v>41996</v>
      </c>
      <c r="G253" s="265">
        <v>42025</v>
      </c>
      <c r="H253" s="111">
        <v>328.42</v>
      </c>
      <c r="I253" s="111">
        <v>0</v>
      </c>
      <c r="J253" s="295">
        <v>1</v>
      </c>
      <c r="K253" s="266">
        <f t="shared" si="8"/>
        <v>3.2842000000000002</v>
      </c>
      <c r="L253" s="29">
        <f t="shared" si="9"/>
        <v>29</v>
      </c>
    </row>
    <row r="254" spans="1:12">
      <c r="A254" s="29">
        <v>64</v>
      </c>
      <c r="B254" s="111">
        <v>4</v>
      </c>
      <c r="C254" s="111">
        <v>19868</v>
      </c>
      <c r="D254" s="111" t="s">
        <v>757</v>
      </c>
      <c r="E254" s="111" t="s">
        <v>448</v>
      </c>
      <c r="F254" s="265">
        <v>41999</v>
      </c>
      <c r="G254" s="265">
        <v>42025</v>
      </c>
      <c r="H254" s="111">
        <v>1023.7</v>
      </c>
      <c r="I254" s="111">
        <v>0</v>
      </c>
      <c r="J254" s="295">
        <v>1</v>
      </c>
      <c r="K254" s="266">
        <f t="shared" si="8"/>
        <v>10.237</v>
      </c>
      <c r="L254" s="29">
        <f t="shared" si="9"/>
        <v>26</v>
      </c>
    </row>
    <row r="255" spans="1:12">
      <c r="A255" s="29">
        <v>65</v>
      </c>
      <c r="B255" s="111">
        <v>4</v>
      </c>
      <c r="C255" s="111">
        <v>19911</v>
      </c>
      <c r="D255" s="111" t="s">
        <v>758</v>
      </c>
      <c r="E255" s="111" t="s">
        <v>448</v>
      </c>
      <c r="F255" s="265">
        <v>42000</v>
      </c>
      <c r="G255" s="265">
        <v>42034</v>
      </c>
      <c r="H255" s="111">
        <v>3086.99</v>
      </c>
      <c r="I255" s="111">
        <v>0</v>
      </c>
      <c r="J255" s="295">
        <v>1</v>
      </c>
      <c r="K255" s="266">
        <f t="shared" ref="K255:K263" si="10">(H255-I255)*J255%</f>
        <v>30.869899999999998</v>
      </c>
      <c r="L255" s="29">
        <f t="shared" ref="L255:L273" si="11">G255-F255</f>
        <v>34</v>
      </c>
    </row>
    <row r="256" spans="1:12">
      <c r="A256" s="29">
        <v>66</v>
      </c>
      <c r="B256" s="111">
        <v>4</v>
      </c>
      <c r="C256" s="111">
        <v>19959</v>
      </c>
      <c r="D256" s="111" t="s">
        <v>757</v>
      </c>
      <c r="E256" s="111" t="s">
        <v>448</v>
      </c>
      <c r="F256" s="265">
        <v>42002</v>
      </c>
      <c r="G256" s="265">
        <v>42025</v>
      </c>
      <c r="H256" s="111">
        <v>249.13</v>
      </c>
      <c r="I256" s="111">
        <v>0</v>
      </c>
      <c r="J256" s="295">
        <v>1</v>
      </c>
      <c r="K256" s="266">
        <f t="shared" si="10"/>
        <v>2.4912999999999998</v>
      </c>
      <c r="L256" s="29">
        <f t="shared" si="11"/>
        <v>23</v>
      </c>
    </row>
    <row r="257" spans="1:12">
      <c r="A257" s="29">
        <v>67</v>
      </c>
      <c r="B257" s="111">
        <v>4</v>
      </c>
      <c r="C257" s="111">
        <v>19998</v>
      </c>
      <c r="D257" s="111" t="s">
        <v>758</v>
      </c>
      <c r="E257" s="111" t="s">
        <v>448</v>
      </c>
      <c r="F257" s="265">
        <v>42003</v>
      </c>
      <c r="G257" s="265">
        <v>42034</v>
      </c>
      <c r="H257" s="111">
        <v>367.13</v>
      </c>
      <c r="I257" s="111">
        <v>0</v>
      </c>
      <c r="J257" s="295">
        <v>1</v>
      </c>
      <c r="K257" s="266">
        <f t="shared" si="10"/>
        <v>3.6713</v>
      </c>
      <c r="L257" s="29">
        <f t="shared" si="11"/>
        <v>31</v>
      </c>
    </row>
    <row r="258" spans="1:12">
      <c r="A258" s="29">
        <v>68</v>
      </c>
      <c r="B258" s="111">
        <v>4</v>
      </c>
      <c r="C258" s="111">
        <v>19997</v>
      </c>
      <c r="D258" s="111" t="s">
        <v>758</v>
      </c>
      <c r="E258" s="111" t="s">
        <v>448</v>
      </c>
      <c r="F258" s="265">
        <v>42003</v>
      </c>
      <c r="G258" s="265">
        <v>42034</v>
      </c>
      <c r="H258" s="111">
        <v>3275.08</v>
      </c>
      <c r="I258" s="111">
        <v>0</v>
      </c>
      <c r="J258" s="295">
        <v>1</v>
      </c>
      <c r="K258" s="266">
        <f t="shared" si="10"/>
        <v>32.750799999999998</v>
      </c>
      <c r="L258" s="29">
        <f t="shared" si="11"/>
        <v>31</v>
      </c>
    </row>
    <row r="259" spans="1:12">
      <c r="A259" s="29">
        <v>69</v>
      </c>
      <c r="B259" s="111">
        <v>4</v>
      </c>
      <c r="C259" s="111">
        <v>19999</v>
      </c>
      <c r="D259" s="111" t="s">
        <v>760</v>
      </c>
      <c r="E259" s="111" t="s">
        <v>448</v>
      </c>
      <c r="F259" s="265">
        <v>42003</v>
      </c>
      <c r="G259" s="265">
        <v>42025</v>
      </c>
      <c r="H259" s="111">
        <v>1723.58</v>
      </c>
      <c r="I259" s="111">
        <v>0</v>
      </c>
      <c r="J259" s="295">
        <v>1</v>
      </c>
      <c r="K259" s="266">
        <f t="shared" si="10"/>
        <v>17.235800000000001</v>
      </c>
      <c r="L259" s="29">
        <f t="shared" si="11"/>
        <v>22</v>
      </c>
    </row>
    <row r="260" spans="1:12">
      <c r="A260" s="29">
        <v>70</v>
      </c>
      <c r="B260" s="111">
        <v>4</v>
      </c>
      <c r="C260" s="111">
        <v>20015</v>
      </c>
      <c r="D260" s="111" t="s">
        <v>759</v>
      </c>
      <c r="E260" s="111" t="s">
        <v>448</v>
      </c>
      <c r="F260" s="265">
        <v>42003</v>
      </c>
      <c r="G260" s="265">
        <v>42010</v>
      </c>
      <c r="H260" s="111">
        <v>225.27</v>
      </c>
      <c r="I260" s="111">
        <v>225.27</v>
      </c>
      <c r="J260" s="295">
        <v>1</v>
      </c>
      <c r="K260" s="266">
        <f t="shared" si="10"/>
        <v>0</v>
      </c>
      <c r="L260" s="29">
        <f t="shared" si="11"/>
        <v>7</v>
      </c>
    </row>
    <row r="261" spans="1:12">
      <c r="A261" s="29">
        <v>71</v>
      </c>
      <c r="B261" s="111">
        <v>4</v>
      </c>
      <c r="C261" s="111">
        <v>20007</v>
      </c>
      <c r="D261" s="111" t="s">
        <v>758</v>
      </c>
      <c r="E261" s="111" t="s">
        <v>448</v>
      </c>
      <c r="F261" s="265">
        <v>42003</v>
      </c>
      <c r="G261" s="265">
        <v>42034</v>
      </c>
      <c r="H261" s="111">
        <v>999.86</v>
      </c>
      <c r="I261" s="111">
        <v>0</v>
      </c>
      <c r="J261" s="295">
        <v>1</v>
      </c>
      <c r="K261" s="266">
        <f t="shared" si="10"/>
        <v>9.9985999999999997</v>
      </c>
      <c r="L261" s="29">
        <f t="shared" si="11"/>
        <v>31</v>
      </c>
    </row>
    <row r="262" spans="1:12">
      <c r="A262" s="29">
        <v>72</v>
      </c>
      <c r="B262" s="111">
        <v>4</v>
      </c>
      <c r="C262" s="111">
        <v>20091</v>
      </c>
      <c r="D262" s="111" t="s">
        <v>758</v>
      </c>
      <c r="E262" s="111" t="s">
        <v>448</v>
      </c>
      <c r="F262" s="265">
        <v>42004</v>
      </c>
      <c r="G262" s="265">
        <v>42034</v>
      </c>
      <c r="H262" s="111">
        <v>4708.2700000000004</v>
      </c>
      <c r="I262" s="111">
        <v>0</v>
      </c>
      <c r="J262" s="295">
        <v>1</v>
      </c>
      <c r="K262" s="266">
        <f t="shared" si="10"/>
        <v>47.082700000000003</v>
      </c>
      <c r="L262" s="29">
        <f t="shared" si="11"/>
        <v>30</v>
      </c>
    </row>
    <row r="263" spans="1:12">
      <c r="A263" s="29">
        <v>73</v>
      </c>
      <c r="B263" s="111">
        <v>4</v>
      </c>
      <c r="C263" s="111">
        <v>20041</v>
      </c>
      <c r="D263" s="111" t="s">
        <v>767</v>
      </c>
      <c r="E263" s="111" t="s">
        <v>448</v>
      </c>
      <c r="F263" s="265">
        <v>42003</v>
      </c>
      <c r="G263" s="265">
        <v>42014</v>
      </c>
      <c r="H263" s="111">
        <v>1239.32</v>
      </c>
      <c r="I263" s="111">
        <v>0</v>
      </c>
      <c r="J263" s="295">
        <v>1</v>
      </c>
      <c r="K263" s="266">
        <f t="shared" si="10"/>
        <v>12.3932</v>
      </c>
      <c r="L263" s="29">
        <f t="shared" si="11"/>
        <v>11</v>
      </c>
    </row>
    <row r="264" spans="1:12">
      <c r="A264" s="29">
        <v>74</v>
      </c>
      <c r="B264" s="111">
        <v>4</v>
      </c>
      <c r="C264" s="111">
        <v>20043</v>
      </c>
      <c r="D264" s="111" t="s">
        <v>761</v>
      </c>
      <c r="E264" s="111" t="s">
        <v>448</v>
      </c>
      <c r="F264" s="265">
        <v>42003</v>
      </c>
      <c r="G264" s="265">
        <v>42010</v>
      </c>
      <c r="H264" s="111">
        <v>26906.1</v>
      </c>
      <c r="I264" s="111">
        <v>0</v>
      </c>
      <c r="J264" s="295">
        <v>0.5</v>
      </c>
      <c r="K264" s="266">
        <v>138.93</v>
      </c>
      <c r="L264" s="29">
        <f t="shared" si="11"/>
        <v>7</v>
      </c>
    </row>
    <row r="265" spans="1:12">
      <c r="A265" s="29">
        <v>75</v>
      </c>
      <c r="B265" s="111">
        <v>4</v>
      </c>
      <c r="C265" s="111">
        <v>20053</v>
      </c>
      <c r="D265" s="111" t="s">
        <v>767</v>
      </c>
      <c r="E265" s="111" t="s">
        <v>448</v>
      </c>
      <c r="F265" s="265">
        <v>42004</v>
      </c>
      <c r="G265" s="265">
        <v>42014</v>
      </c>
      <c r="H265" s="111">
        <v>339.65</v>
      </c>
      <c r="I265" s="111">
        <v>0</v>
      </c>
      <c r="J265" s="295">
        <v>1</v>
      </c>
      <c r="K265" s="266">
        <f t="shared" ref="K265:K273" si="12">(H265-I265)*J265%</f>
        <v>3.3964999999999996</v>
      </c>
      <c r="L265" s="29">
        <f t="shared" si="11"/>
        <v>10</v>
      </c>
    </row>
    <row r="266" spans="1:12">
      <c r="A266" s="29">
        <v>76</v>
      </c>
      <c r="B266" s="111">
        <v>4</v>
      </c>
      <c r="C266" s="111">
        <v>20090</v>
      </c>
      <c r="D266" s="111" t="s">
        <v>758</v>
      </c>
      <c r="E266" s="111" t="s">
        <v>448</v>
      </c>
      <c r="F266" s="265">
        <v>42004</v>
      </c>
      <c r="G266" s="265">
        <v>42034</v>
      </c>
      <c r="H266" s="111">
        <v>7320.05</v>
      </c>
      <c r="I266" s="111">
        <v>0</v>
      </c>
      <c r="J266" s="295">
        <v>1</v>
      </c>
      <c r="K266" s="266">
        <f t="shared" si="12"/>
        <v>73.200500000000005</v>
      </c>
      <c r="L266" s="29">
        <f t="shared" si="11"/>
        <v>30</v>
      </c>
    </row>
    <row r="267" spans="1:12">
      <c r="A267" s="29">
        <v>77</v>
      </c>
      <c r="B267" s="111">
        <v>4</v>
      </c>
      <c r="C267" s="111">
        <v>19912</v>
      </c>
      <c r="D267" s="111" t="s">
        <v>764</v>
      </c>
      <c r="E267" s="111" t="s">
        <v>448</v>
      </c>
      <c r="F267" s="265">
        <v>42000</v>
      </c>
      <c r="G267" s="265">
        <v>42010</v>
      </c>
      <c r="H267" s="111">
        <v>30000.32</v>
      </c>
      <c r="I267" s="111">
        <v>0</v>
      </c>
      <c r="J267" s="295">
        <v>0.5</v>
      </c>
      <c r="K267" s="266">
        <f t="shared" si="12"/>
        <v>150.0016</v>
      </c>
      <c r="L267" s="29">
        <f t="shared" si="11"/>
        <v>10</v>
      </c>
    </row>
    <row r="268" spans="1:12">
      <c r="A268" s="29">
        <v>78</v>
      </c>
      <c r="B268" s="111">
        <v>4</v>
      </c>
      <c r="C268" s="111">
        <v>775</v>
      </c>
      <c r="D268" s="111" t="s">
        <v>762</v>
      </c>
      <c r="E268" s="111" t="s">
        <v>448</v>
      </c>
      <c r="F268" s="265">
        <v>42018</v>
      </c>
      <c r="G268" s="265">
        <v>42030</v>
      </c>
      <c r="H268" s="111">
        <v>1055.19</v>
      </c>
      <c r="I268" s="111">
        <v>0</v>
      </c>
      <c r="J268" s="295">
        <v>1</v>
      </c>
      <c r="K268" s="266">
        <f t="shared" si="12"/>
        <v>10.551900000000002</v>
      </c>
      <c r="L268" s="29">
        <f t="shared" si="11"/>
        <v>12</v>
      </c>
    </row>
    <row r="269" spans="1:12">
      <c r="A269" s="29">
        <v>79</v>
      </c>
      <c r="B269" s="111">
        <v>4</v>
      </c>
      <c r="C269" s="111">
        <v>20922</v>
      </c>
      <c r="D269" s="111" t="s">
        <v>772</v>
      </c>
      <c r="E269" s="111" t="s">
        <v>448</v>
      </c>
      <c r="F269" s="265">
        <v>42021</v>
      </c>
      <c r="G269" s="265">
        <v>42021</v>
      </c>
      <c r="H269" s="111">
        <v>2880.14</v>
      </c>
      <c r="I269" s="111">
        <v>0</v>
      </c>
      <c r="J269" s="295">
        <v>0.5</v>
      </c>
      <c r="K269" s="266">
        <f t="shared" si="12"/>
        <v>14.400700000000001</v>
      </c>
      <c r="L269" s="29">
        <f t="shared" si="11"/>
        <v>0</v>
      </c>
    </row>
    <row r="270" spans="1:12">
      <c r="A270" s="29">
        <v>80</v>
      </c>
      <c r="B270" s="111">
        <v>4</v>
      </c>
      <c r="C270" s="111">
        <v>20635</v>
      </c>
      <c r="D270" s="111" t="s">
        <v>772</v>
      </c>
      <c r="E270" s="111" t="s">
        <v>448</v>
      </c>
      <c r="F270" s="265">
        <v>42017</v>
      </c>
      <c r="G270" s="265">
        <v>42021</v>
      </c>
      <c r="H270" s="111">
        <v>21121.06</v>
      </c>
      <c r="I270" s="111">
        <v>0</v>
      </c>
      <c r="J270" s="295">
        <v>0.5</v>
      </c>
      <c r="K270" s="266">
        <f t="shared" si="12"/>
        <v>105.60530000000001</v>
      </c>
      <c r="L270" s="29">
        <f t="shared" si="11"/>
        <v>4</v>
      </c>
    </row>
    <row r="271" spans="1:12">
      <c r="A271" s="29">
        <v>81</v>
      </c>
      <c r="B271" s="111">
        <v>4</v>
      </c>
      <c r="C271" s="111">
        <v>20921</v>
      </c>
      <c r="D271" s="111" t="s">
        <v>764</v>
      </c>
      <c r="E271" s="111" t="s">
        <v>448</v>
      </c>
      <c r="F271" s="265">
        <v>42021</v>
      </c>
      <c r="G271" s="265">
        <v>42024</v>
      </c>
      <c r="H271" s="111">
        <v>21601.08</v>
      </c>
      <c r="I271" s="111">
        <v>0</v>
      </c>
      <c r="J271" s="295">
        <v>0.5</v>
      </c>
      <c r="K271" s="266">
        <f t="shared" si="12"/>
        <v>108.00540000000001</v>
      </c>
      <c r="L271" s="29">
        <f t="shared" si="11"/>
        <v>3</v>
      </c>
    </row>
    <row r="272" spans="1:12">
      <c r="A272" s="29">
        <v>82</v>
      </c>
      <c r="B272" s="111">
        <v>4</v>
      </c>
      <c r="C272" s="111">
        <v>21200</v>
      </c>
      <c r="D272" s="111" t="s">
        <v>772</v>
      </c>
      <c r="E272" s="111" t="s">
        <v>448</v>
      </c>
      <c r="F272" s="265">
        <v>42026</v>
      </c>
      <c r="G272" s="265">
        <v>42034</v>
      </c>
      <c r="H272" s="111">
        <v>11200.56</v>
      </c>
      <c r="I272" s="111">
        <v>0</v>
      </c>
      <c r="J272" s="295">
        <v>0.5</v>
      </c>
      <c r="K272" s="266">
        <f t="shared" si="12"/>
        <v>56.002800000000001</v>
      </c>
      <c r="L272" s="29">
        <f t="shared" si="11"/>
        <v>8</v>
      </c>
    </row>
    <row r="273" spans="1:16">
      <c r="A273" s="29">
        <v>83</v>
      </c>
      <c r="B273" s="111">
        <v>4</v>
      </c>
      <c r="C273" s="111">
        <v>21271</v>
      </c>
      <c r="D273" s="111" t="s">
        <v>772</v>
      </c>
      <c r="E273" s="111" t="s">
        <v>448</v>
      </c>
      <c r="F273" s="265">
        <v>42027</v>
      </c>
      <c r="G273" s="265">
        <v>42034</v>
      </c>
      <c r="H273" s="111">
        <v>3120.16</v>
      </c>
      <c r="I273" s="111">
        <v>0</v>
      </c>
      <c r="J273" s="295">
        <v>0.5</v>
      </c>
      <c r="K273" s="266">
        <f t="shared" si="12"/>
        <v>15.6008</v>
      </c>
      <c r="L273" s="29">
        <f t="shared" si="11"/>
        <v>7</v>
      </c>
    </row>
    <row r="274" spans="1:16">
      <c r="G274" s="111" t="s">
        <v>765</v>
      </c>
      <c r="H274" s="111">
        <f>SUM(H191:H273)</f>
        <v>283242.12</v>
      </c>
      <c r="J274" s="295" t="s">
        <v>383</v>
      </c>
      <c r="K274" s="266">
        <f>SUM(K191:K273)</f>
        <v>2177.0137500000001</v>
      </c>
    </row>
    <row r="277" spans="1:16">
      <c r="B277" s="298">
        <v>4</v>
      </c>
      <c r="C277" s="298">
        <v>19912</v>
      </c>
      <c r="D277" s="298" t="s">
        <v>764</v>
      </c>
      <c r="E277" s="298" t="s">
        <v>448</v>
      </c>
      <c r="F277" s="299">
        <v>42000</v>
      </c>
      <c r="G277" s="299">
        <v>42010</v>
      </c>
      <c r="H277" s="29">
        <v>30000.32</v>
      </c>
      <c r="I277" s="298">
        <v>0</v>
      </c>
      <c r="J277" s="300">
        <f t="shared" ref="J277:J283" si="13">H277*0.5%</f>
        <v>150.0016</v>
      </c>
      <c r="K277" s="298">
        <f t="shared" ref="K277:K283" si="14">I277*0.1%</f>
        <v>0</v>
      </c>
      <c r="L277" s="298">
        <f t="shared" ref="L277:L283" si="15">K277+J277</f>
        <v>150.0016</v>
      </c>
    </row>
    <row r="278" spans="1:16">
      <c r="B278" s="298">
        <v>4</v>
      </c>
      <c r="C278" s="298">
        <v>20043</v>
      </c>
      <c r="D278" s="298" t="s">
        <v>761</v>
      </c>
      <c r="E278" s="298" t="s">
        <v>448</v>
      </c>
      <c r="F278" s="299">
        <v>42003</v>
      </c>
      <c r="G278" s="299">
        <v>42010</v>
      </c>
      <c r="H278" s="29">
        <v>26906.1</v>
      </c>
      <c r="I278" s="298">
        <v>4405.8999999999996</v>
      </c>
      <c r="J278" s="300">
        <f t="shared" si="13"/>
        <v>134.53049999999999</v>
      </c>
      <c r="K278" s="298">
        <f t="shared" si="14"/>
        <v>4.4058999999999999</v>
      </c>
      <c r="L278" s="298">
        <f t="shared" si="15"/>
        <v>138.93639999999999</v>
      </c>
      <c r="O278" s="29">
        <f>I278*1.18</f>
        <v>5198.9619999999995</v>
      </c>
      <c r="P278" s="221">
        <v>4405.8599999999997</v>
      </c>
    </row>
    <row r="279" spans="1:16">
      <c r="B279" s="298">
        <v>4</v>
      </c>
      <c r="C279" s="298">
        <v>20635</v>
      </c>
      <c r="D279" s="298" t="s">
        <v>772</v>
      </c>
      <c r="E279" s="298" t="s">
        <v>448</v>
      </c>
      <c r="F279" s="299">
        <v>42017</v>
      </c>
      <c r="G279" s="299">
        <v>42021</v>
      </c>
      <c r="H279" s="298">
        <v>17899.2</v>
      </c>
      <c r="I279" s="298"/>
      <c r="J279" s="300">
        <f t="shared" si="13"/>
        <v>89.496000000000009</v>
      </c>
      <c r="K279" s="298">
        <f t="shared" si="14"/>
        <v>0</v>
      </c>
      <c r="L279" s="298">
        <f t="shared" si="15"/>
        <v>89.496000000000009</v>
      </c>
    </row>
    <row r="280" spans="1:16">
      <c r="B280" s="298">
        <v>4</v>
      </c>
      <c r="C280" s="298">
        <v>20921</v>
      </c>
      <c r="D280" s="298" t="s">
        <v>764</v>
      </c>
      <c r="E280" s="298" t="s">
        <v>448</v>
      </c>
      <c r="F280" s="299">
        <v>42021</v>
      </c>
      <c r="G280" s="299">
        <v>42024</v>
      </c>
      <c r="H280" s="298">
        <v>18306</v>
      </c>
      <c r="I280" s="298"/>
      <c r="J280" s="300">
        <f t="shared" si="13"/>
        <v>91.53</v>
      </c>
      <c r="K280" s="298">
        <f t="shared" si="14"/>
        <v>0</v>
      </c>
      <c r="L280" s="298">
        <f t="shared" si="15"/>
        <v>91.53</v>
      </c>
    </row>
    <row r="281" spans="1:16">
      <c r="B281" s="298">
        <v>4</v>
      </c>
      <c r="C281" s="298">
        <v>20922</v>
      </c>
      <c r="D281" s="298" t="s">
        <v>772</v>
      </c>
      <c r="E281" s="298" t="s">
        <v>448</v>
      </c>
      <c r="F281" s="299">
        <v>42021</v>
      </c>
      <c r="G281" s="299">
        <v>42021</v>
      </c>
      <c r="H281" s="298">
        <v>2440.8000000000002</v>
      </c>
      <c r="I281" s="298"/>
      <c r="J281" s="300">
        <f t="shared" si="13"/>
        <v>12.204000000000001</v>
      </c>
      <c r="K281" s="298">
        <f t="shared" si="14"/>
        <v>0</v>
      </c>
      <c r="L281" s="298">
        <f t="shared" si="15"/>
        <v>12.204000000000001</v>
      </c>
    </row>
    <row r="282" spans="1:16">
      <c r="B282" s="298">
        <v>4</v>
      </c>
      <c r="C282" s="298">
        <v>21200</v>
      </c>
      <c r="D282" s="298" t="s">
        <v>772</v>
      </c>
      <c r="E282" s="298" t="s">
        <v>448</v>
      </c>
      <c r="F282" s="299">
        <v>42026</v>
      </c>
      <c r="G282" s="299">
        <v>42034</v>
      </c>
      <c r="H282" s="298">
        <v>9492</v>
      </c>
      <c r="I282" s="298"/>
      <c r="J282" s="300">
        <f t="shared" si="13"/>
        <v>47.46</v>
      </c>
      <c r="K282" s="298">
        <f t="shared" si="14"/>
        <v>0</v>
      </c>
      <c r="L282" s="298">
        <f t="shared" si="15"/>
        <v>47.46</v>
      </c>
    </row>
    <row r="283" spans="1:16">
      <c r="B283" s="298">
        <v>4</v>
      </c>
      <c r="C283" s="298">
        <v>21271</v>
      </c>
      <c r="D283" s="298" t="s">
        <v>772</v>
      </c>
      <c r="E283" s="298" t="s">
        <v>448</v>
      </c>
      <c r="F283" s="299">
        <v>42027</v>
      </c>
      <c r="G283" s="299">
        <v>42034</v>
      </c>
      <c r="H283" s="298">
        <v>2644.2</v>
      </c>
      <c r="I283" s="298"/>
      <c r="J283" s="300">
        <f t="shared" si="13"/>
        <v>13.221</v>
      </c>
      <c r="K283" s="298">
        <f t="shared" si="14"/>
        <v>0</v>
      </c>
      <c r="L283" s="298">
        <f t="shared" si="15"/>
        <v>13.221</v>
      </c>
    </row>
    <row r="287" spans="1:16">
      <c r="B287" s="29">
        <v>4</v>
      </c>
      <c r="C287" s="29">
        <v>19912</v>
      </c>
      <c r="D287" s="29" t="s">
        <v>764</v>
      </c>
      <c r="E287" s="29" t="s">
        <v>448</v>
      </c>
      <c r="F287" s="263">
        <v>42000</v>
      </c>
      <c r="G287" s="263">
        <v>42010</v>
      </c>
      <c r="H287" s="29">
        <v>25424</v>
      </c>
      <c r="I287" s="29">
        <v>0</v>
      </c>
      <c r="J287" s="292">
        <v>4576.32</v>
      </c>
      <c r="K287" s="29">
        <v>30000.32</v>
      </c>
      <c r="L287" s="29">
        <v>0</v>
      </c>
      <c r="M287" s="29">
        <v>1</v>
      </c>
      <c r="N287" s="29">
        <v>300.00319999999999</v>
      </c>
      <c r="O287" s="29">
        <v>12520</v>
      </c>
      <c r="P287" s="29">
        <v>950426</v>
      </c>
    </row>
    <row r="288" spans="1:16">
      <c r="B288" s="29">
        <v>4</v>
      </c>
      <c r="C288" s="29">
        <v>19912</v>
      </c>
      <c r="D288" s="29" t="s">
        <v>764</v>
      </c>
      <c r="E288" s="29" t="s">
        <v>448</v>
      </c>
      <c r="F288" s="263">
        <v>42000</v>
      </c>
      <c r="G288" s="263">
        <v>42010</v>
      </c>
      <c r="H288" s="29">
        <v>25424</v>
      </c>
      <c r="I288" s="29">
        <v>0</v>
      </c>
      <c r="J288" s="292">
        <v>4576.32</v>
      </c>
      <c r="K288" s="29">
        <v>30000.32</v>
      </c>
      <c r="L288" s="29">
        <v>0</v>
      </c>
      <c r="M288" s="29">
        <v>1</v>
      </c>
      <c r="N288" s="29">
        <v>300.00319999999999</v>
      </c>
      <c r="O288" s="29">
        <v>12520</v>
      </c>
      <c r="P288" s="29">
        <v>950426</v>
      </c>
    </row>
    <row r="289" spans="2:16">
      <c r="B289" s="29">
        <v>4</v>
      </c>
      <c r="C289" s="29">
        <v>19912</v>
      </c>
      <c r="D289" s="29" t="s">
        <v>764</v>
      </c>
      <c r="E289" s="29" t="s">
        <v>448</v>
      </c>
      <c r="F289" s="263">
        <v>42000</v>
      </c>
      <c r="G289" s="263">
        <v>42010</v>
      </c>
      <c r="H289" s="29">
        <v>25424</v>
      </c>
      <c r="I289" s="29">
        <v>0</v>
      </c>
      <c r="J289" s="292">
        <v>4576.32</v>
      </c>
      <c r="K289" s="29">
        <v>30000.32</v>
      </c>
      <c r="L289" s="29">
        <v>0</v>
      </c>
      <c r="M289" s="29">
        <v>1</v>
      </c>
      <c r="N289" s="29">
        <v>300.00319999999999</v>
      </c>
      <c r="O289" s="29">
        <v>12520</v>
      </c>
      <c r="P289" s="29">
        <v>950426</v>
      </c>
    </row>
    <row r="290" spans="2:16">
      <c r="B290" s="29">
        <v>4</v>
      </c>
      <c r="C290" s="29">
        <v>19912</v>
      </c>
      <c r="D290" s="29" t="s">
        <v>764</v>
      </c>
      <c r="E290" s="29" t="s">
        <v>448</v>
      </c>
      <c r="F290" s="263">
        <v>42000</v>
      </c>
      <c r="G290" s="263">
        <v>42010</v>
      </c>
      <c r="H290" s="29">
        <v>25424</v>
      </c>
      <c r="I290" s="29">
        <v>0</v>
      </c>
      <c r="J290" s="292">
        <v>4576.32</v>
      </c>
      <c r="K290" s="29">
        <v>30000.32</v>
      </c>
      <c r="L290" s="29">
        <v>0</v>
      </c>
      <c r="M290" s="29">
        <v>1</v>
      </c>
      <c r="N290" s="29">
        <v>300.00319999999999</v>
      </c>
      <c r="O290" s="29">
        <v>12519</v>
      </c>
      <c r="P290" s="29">
        <v>950426</v>
      </c>
    </row>
    <row r="291" spans="2:16">
      <c r="B291" s="29">
        <v>4</v>
      </c>
      <c r="C291" s="29">
        <v>19912</v>
      </c>
      <c r="D291" s="29" t="s">
        <v>764</v>
      </c>
      <c r="E291" s="29" t="s">
        <v>448</v>
      </c>
      <c r="F291" s="263">
        <v>42000</v>
      </c>
      <c r="G291" s="263">
        <v>42010</v>
      </c>
      <c r="H291" s="29">
        <v>25424</v>
      </c>
      <c r="I291" s="29">
        <v>0</v>
      </c>
      <c r="J291" s="292">
        <v>4576.32</v>
      </c>
      <c r="K291" s="29">
        <v>30000.32</v>
      </c>
      <c r="L291" s="29">
        <v>0</v>
      </c>
      <c r="M291" s="29">
        <v>1</v>
      </c>
      <c r="N291" s="29">
        <v>300.00319999999999</v>
      </c>
      <c r="O291" s="29">
        <v>12519</v>
      </c>
      <c r="P291" s="29">
        <v>950426</v>
      </c>
    </row>
    <row r="292" spans="2:16">
      <c r="B292" s="29">
        <v>4</v>
      </c>
      <c r="C292" s="29">
        <v>20043</v>
      </c>
      <c r="D292" s="29" t="s">
        <v>761</v>
      </c>
      <c r="E292" s="29" t="s">
        <v>448</v>
      </c>
      <c r="F292" s="263">
        <v>42003</v>
      </c>
      <c r="G292" s="263">
        <v>42010</v>
      </c>
      <c r="H292" s="29">
        <v>22801.78</v>
      </c>
      <c r="I292" s="29">
        <v>0</v>
      </c>
      <c r="J292" s="292">
        <v>4104.32</v>
      </c>
      <c r="K292" s="29">
        <v>26906.1</v>
      </c>
      <c r="L292" s="29">
        <v>0</v>
      </c>
      <c r="M292" s="29">
        <v>1</v>
      </c>
      <c r="N292" s="29">
        <v>269.06099999999998</v>
      </c>
      <c r="O292" s="29">
        <v>12520</v>
      </c>
      <c r="P292" s="29">
        <v>950661</v>
      </c>
    </row>
    <row r="293" spans="2:16">
      <c r="B293" s="29">
        <v>4</v>
      </c>
      <c r="C293" s="29">
        <v>20043</v>
      </c>
      <c r="D293" s="29" t="s">
        <v>761</v>
      </c>
      <c r="E293" s="29" t="s">
        <v>448</v>
      </c>
      <c r="F293" s="263">
        <v>42003</v>
      </c>
      <c r="G293" s="263">
        <v>42010</v>
      </c>
      <c r="H293" s="29">
        <v>22801.78</v>
      </c>
      <c r="I293" s="29">
        <v>0</v>
      </c>
      <c r="J293" s="292">
        <v>4104.32</v>
      </c>
      <c r="K293" s="29">
        <v>26906.1</v>
      </c>
      <c r="L293" s="29">
        <v>0</v>
      </c>
      <c r="M293" s="29">
        <v>1</v>
      </c>
      <c r="N293" s="29">
        <v>269.06099999999998</v>
      </c>
      <c r="O293" s="29">
        <v>12520</v>
      </c>
      <c r="P293" s="29">
        <v>950661</v>
      </c>
    </row>
    <row r="294" spans="2:16">
      <c r="B294" s="29">
        <v>4</v>
      </c>
      <c r="C294" s="29">
        <v>20043</v>
      </c>
      <c r="D294" s="29" t="s">
        <v>761</v>
      </c>
      <c r="E294" s="29" t="s">
        <v>448</v>
      </c>
      <c r="F294" s="263">
        <v>42003</v>
      </c>
      <c r="G294" s="263">
        <v>42010</v>
      </c>
      <c r="H294" s="29">
        <v>22801.78</v>
      </c>
      <c r="I294" s="29">
        <v>0</v>
      </c>
      <c r="J294" s="292">
        <v>4104.32</v>
      </c>
      <c r="K294" s="29">
        <v>26906.1</v>
      </c>
      <c r="L294" s="29">
        <v>0</v>
      </c>
      <c r="M294" s="29">
        <v>1</v>
      </c>
      <c r="N294" s="29">
        <v>269.06099999999998</v>
      </c>
      <c r="O294" s="29">
        <v>12519</v>
      </c>
      <c r="P294" s="29">
        <v>950661</v>
      </c>
    </row>
    <row r="295" spans="2:16">
      <c r="B295" s="29">
        <v>4</v>
      </c>
      <c r="C295" s="29">
        <v>20043</v>
      </c>
      <c r="D295" s="29" t="s">
        <v>761</v>
      </c>
      <c r="E295" s="29" t="s">
        <v>448</v>
      </c>
      <c r="F295" s="263">
        <v>42003</v>
      </c>
      <c r="G295" s="263">
        <v>42010</v>
      </c>
      <c r="H295" s="29">
        <v>22801.78</v>
      </c>
      <c r="I295" s="29">
        <v>0</v>
      </c>
      <c r="J295" s="292">
        <v>4104.32</v>
      </c>
      <c r="K295" s="29">
        <v>26906.1</v>
      </c>
      <c r="L295" s="29">
        <v>0</v>
      </c>
      <c r="M295" s="29">
        <v>1</v>
      </c>
      <c r="N295" s="29">
        <v>269.06099999999998</v>
      </c>
      <c r="O295" s="29">
        <v>12519</v>
      </c>
      <c r="P295" s="29">
        <v>950661</v>
      </c>
    </row>
    <row r="296" spans="2:16">
      <c r="B296" s="29">
        <v>4</v>
      </c>
      <c r="C296" s="29">
        <v>20043</v>
      </c>
      <c r="D296" s="29" t="s">
        <v>761</v>
      </c>
      <c r="E296" s="29" t="s">
        <v>448</v>
      </c>
      <c r="F296" s="263">
        <v>42003</v>
      </c>
      <c r="G296" s="263">
        <v>42010</v>
      </c>
      <c r="H296" s="29">
        <v>22801.78</v>
      </c>
      <c r="I296" s="29">
        <v>0</v>
      </c>
      <c r="J296" s="292">
        <v>4104.32</v>
      </c>
      <c r="K296" s="29">
        <v>26906.1</v>
      </c>
      <c r="L296" s="29">
        <v>0</v>
      </c>
      <c r="M296" s="29">
        <v>1</v>
      </c>
      <c r="N296" s="29">
        <v>269.06099999999998</v>
      </c>
      <c r="O296" s="29">
        <v>12519</v>
      </c>
      <c r="P296" s="29">
        <v>950661</v>
      </c>
    </row>
    <row r="297" spans="2:16">
      <c r="B297" s="29">
        <v>4</v>
      </c>
      <c r="C297" s="29">
        <v>20635</v>
      </c>
      <c r="D297" s="29" t="s">
        <v>772</v>
      </c>
      <c r="E297" s="29" t="s">
        <v>448</v>
      </c>
      <c r="F297" s="263">
        <v>42017</v>
      </c>
      <c r="G297" s="263">
        <v>42021</v>
      </c>
      <c r="H297" s="29">
        <v>17899.2</v>
      </c>
      <c r="I297" s="29">
        <v>0</v>
      </c>
      <c r="J297" s="292">
        <v>3221.86</v>
      </c>
      <c r="K297" s="29">
        <v>21121.06</v>
      </c>
      <c r="L297" s="29">
        <v>0</v>
      </c>
      <c r="M297" s="29">
        <v>1</v>
      </c>
      <c r="N297" s="29">
        <v>211.2106</v>
      </c>
      <c r="O297" s="29">
        <v>12520</v>
      </c>
      <c r="P297" s="29">
        <v>951655</v>
      </c>
    </row>
    <row r="298" spans="2:16">
      <c r="B298" s="29">
        <v>4</v>
      </c>
      <c r="C298" s="29">
        <v>20635</v>
      </c>
      <c r="D298" s="29" t="s">
        <v>772</v>
      </c>
      <c r="E298" s="29" t="s">
        <v>448</v>
      </c>
      <c r="F298" s="263">
        <v>42017</v>
      </c>
      <c r="G298" s="263">
        <v>42021</v>
      </c>
      <c r="H298" s="29">
        <v>17899.2</v>
      </c>
      <c r="I298" s="29">
        <v>0</v>
      </c>
      <c r="J298" s="292">
        <v>3221.86</v>
      </c>
      <c r="K298" s="29">
        <v>21121.06</v>
      </c>
      <c r="L298" s="29">
        <v>0</v>
      </c>
      <c r="M298" s="29">
        <v>1</v>
      </c>
      <c r="N298" s="29">
        <v>211.2106</v>
      </c>
      <c r="O298" s="29">
        <v>12520</v>
      </c>
      <c r="P298" s="29">
        <v>951655</v>
      </c>
    </row>
    <row r="299" spans="2:16">
      <c r="B299" s="29">
        <v>4</v>
      </c>
      <c r="C299" s="29">
        <v>20635</v>
      </c>
      <c r="D299" s="29" t="s">
        <v>772</v>
      </c>
      <c r="E299" s="29" t="s">
        <v>448</v>
      </c>
      <c r="F299" s="263">
        <v>42017</v>
      </c>
      <c r="G299" s="263">
        <v>42021</v>
      </c>
      <c r="H299" s="29">
        <v>17899.2</v>
      </c>
      <c r="I299" s="29">
        <v>0</v>
      </c>
      <c r="J299" s="292">
        <v>3221.86</v>
      </c>
      <c r="K299" s="29">
        <v>21121.06</v>
      </c>
      <c r="L299" s="29">
        <v>0</v>
      </c>
      <c r="M299" s="29">
        <v>1</v>
      </c>
      <c r="N299" s="29">
        <v>211.2106</v>
      </c>
      <c r="O299" s="29">
        <v>12520</v>
      </c>
      <c r="P299" s="29">
        <v>951655</v>
      </c>
    </row>
    <row r="300" spans="2:16">
      <c r="B300" s="29">
        <v>4</v>
      </c>
      <c r="C300" s="29">
        <v>20635</v>
      </c>
      <c r="D300" s="29" t="s">
        <v>772</v>
      </c>
      <c r="E300" s="29" t="s">
        <v>448</v>
      </c>
      <c r="F300" s="263">
        <v>42017</v>
      </c>
      <c r="G300" s="263">
        <v>42021</v>
      </c>
      <c r="H300" s="29">
        <v>17899.2</v>
      </c>
      <c r="I300" s="29">
        <v>0</v>
      </c>
      <c r="J300" s="292">
        <v>3221.86</v>
      </c>
      <c r="K300" s="29">
        <v>21121.06</v>
      </c>
      <c r="L300" s="29">
        <v>0</v>
      </c>
      <c r="M300" s="29">
        <v>1</v>
      </c>
      <c r="N300" s="29">
        <v>211.2106</v>
      </c>
      <c r="O300" s="29">
        <v>12519</v>
      </c>
      <c r="P300" s="29">
        <v>951655</v>
      </c>
    </row>
    <row r="301" spans="2:16">
      <c r="B301" s="29">
        <v>4</v>
      </c>
      <c r="C301" s="29">
        <v>20635</v>
      </c>
      <c r="D301" s="29" t="s">
        <v>772</v>
      </c>
      <c r="E301" s="29" t="s">
        <v>448</v>
      </c>
      <c r="F301" s="263">
        <v>42017</v>
      </c>
      <c r="G301" s="263">
        <v>42021</v>
      </c>
      <c r="H301" s="29">
        <v>17899.2</v>
      </c>
      <c r="I301" s="29">
        <v>0</v>
      </c>
      <c r="J301" s="292">
        <v>3221.86</v>
      </c>
      <c r="K301" s="29">
        <v>21121.06</v>
      </c>
      <c r="L301" s="29">
        <v>0</v>
      </c>
      <c r="M301" s="29">
        <v>1</v>
      </c>
      <c r="N301" s="29">
        <v>211.2106</v>
      </c>
      <c r="O301" s="29">
        <v>12519</v>
      </c>
      <c r="P301" s="29">
        <v>951655</v>
      </c>
    </row>
    <row r="302" spans="2:16">
      <c r="B302" s="29">
        <v>4</v>
      </c>
      <c r="C302" s="29">
        <v>20921</v>
      </c>
      <c r="D302" s="29" t="s">
        <v>764</v>
      </c>
      <c r="E302" s="29" t="s">
        <v>448</v>
      </c>
      <c r="F302" s="263">
        <v>42021</v>
      </c>
      <c r="G302" s="263">
        <v>42024</v>
      </c>
      <c r="H302" s="29">
        <v>18306</v>
      </c>
      <c r="I302" s="29">
        <v>0</v>
      </c>
      <c r="J302" s="292">
        <v>3295.08</v>
      </c>
      <c r="K302" s="29">
        <v>21601.08</v>
      </c>
      <c r="L302" s="29">
        <v>0</v>
      </c>
      <c r="M302" s="29">
        <v>1</v>
      </c>
      <c r="N302" s="29">
        <v>216.01079999999999</v>
      </c>
      <c r="O302" s="29">
        <v>12520</v>
      </c>
      <c r="P302" s="29">
        <v>952111</v>
      </c>
    </row>
    <row r="303" spans="2:16">
      <c r="B303" s="29">
        <v>4</v>
      </c>
      <c r="C303" s="29">
        <v>20921</v>
      </c>
      <c r="D303" s="29" t="s">
        <v>764</v>
      </c>
      <c r="E303" s="29" t="s">
        <v>448</v>
      </c>
      <c r="F303" s="263">
        <v>42021</v>
      </c>
      <c r="G303" s="263">
        <v>42024</v>
      </c>
      <c r="H303" s="29">
        <v>18306</v>
      </c>
      <c r="I303" s="29">
        <v>0</v>
      </c>
      <c r="J303" s="292">
        <v>3295.08</v>
      </c>
      <c r="K303" s="29">
        <v>21601.08</v>
      </c>
      <c r="L303" s="29">
        <v>0</v>
      </c>
      <c r="M303" s="29">
        <v>1</v>
      </c>
      <c r="N303" s="29">
        <v>216.01079999999999</v>
      </c>
      <c r="O303" s="29">
        <v>12520</v>
      </c>
      <c r="P303" s="29">
        <v>952111</v>
      </c>
    </row>
    <row r="304" spans="2:16">
      <c r="B304" s="29">
        <v>4</v>
      </c>
      <c r="C304" s="29">
        <v>20921</v>
      </c>
      <c r="D304" s="29" t="s">
        <v>764</v>
      </c>
      <c r="E304" s="29" t="s">
        <v>448</v>
      </c>
      <c r="F304" s="263">
        <v>42021</v>
      </c>
      <c r="G304" s="263">
        <v>42024</v>
      </c>
      <c r="H304" s="29">
        <v>18306</v>
      </c>
      <c r="I304" s="29">
        <v>0</v>
      </c>
      <c r="J304" s="292">
        <v>3295.08</v>
      </c>
      <c r="K304" s="29">
        <v>21601.08</v>
      </c>
      <c r="L304" s="29">
        <v>0</v>
      </c>
      <c r="M304" s="29">
        <v>1</v>
      </c>
      <c r="N304" s="29">
        <v>216.01079999999999</v>
      </c>
      <c r="O304" s="29">
        <v>12519</v>
      </c>
      <c r="P304" s="29">
        <v>952111</v>
      </c>
    </row>
    <row r="305" spans="1:20">
      <c r="B305" s="29">
        <v>4</v>
      </c>
      <c r="C305" s="29">
        <v>20921</v>
      </c>
      <c r="D305" s="29" t="s">
        <v>764</v>
      </c>
      <c r="E305" s="29" t="s">
        <v>448</v>
      </c>
      <c r="F305" s="263">
        <v>42021</v>
      </c>
      <c r="G305" s="263">
        <v>42024</v>
      </c>
      <c r="H305" s="29">
        <v>18306</v>
      </c>
      <c r="I305" s="29">
        <v>0</v>
      </c>
      <c r="J305" s="292">
        <v>3295.08</v>
      </c>
      <c r="K305" s="29">
        <v>21601.08</v>
      </c>
      <c r="L305" s="29">
        <v>0</v>
      </c>
      <c r="M305" s="29">
        <v>1</v>
      </c>
      <c r="N305" s="29">
        <v>216.01079999999999</v>
      </c>
      <c r="O305" s="29">
        <v>12519</v>
      </c>
      <c r="P305" s="29">
        <v>952111</v>
      </c>
    </row>
    <row r="306" spans="1:20">
      <c r="B306" s="29">
        <v>4</v>
      </c>
      <c r="C306" s="29">
        <v>20921</v>
      </c>
      <c r="D306" s="29" t="s">
        <v>764</v>
      </c>
      <c r="E306" s="29" t="s">
        <v>448</v>
      </c>
      <c r="F306" s="263">
        <v>42021</v>
      </c>
      <c r="G306" s="263">
        <v>42024</v>
      </c>
      <c r="H306" s="29">
        <v>18306</v>
      </c>
      <c r="I306" s="29">
        <v>0</v>
      </c>
      <c r="J306" s="292">
        <v>3295.08</v>
      </c>
      <c r="K306" s="29">
        <v>21601.08</v>
      </c>
      <c r="L306" s="29">
        <v>0</v>
      </c>
      <c r="M306" s="29">
        <v>1</v>
      </c>
      <c r="N306" s="29">
        <v>216.01079999999999</v>
      </c>
      <c r="O306" s="29">
        <v>12519</v>
      </c>
      <c r="P306" s="29">
        <v>952111</v>
      </c>
    </row>
    <row r="307" spans="1:20">
      <c r="B307" s="29">
        <v>4</v>
      </c>
      <c r="C307" s="29">
        <v>20922</v>
      </c>
      <c r="D307" s="29" t="s">
        <v>772</v>
      </c>
      <c r="E307" s="29" t="s">
        <v>448</v>
      </c>
      <c r="F307" s="263">
        <v>42021</v>
      </c>
      <c r="G307" s="263">
        <v>42021</v>
      </c>
      <c r="H307" s="29">
        <v>2440.8000000000002</v>
      </c>
      <c r="I307" s="29">
        <v>0</v>
      </c>
      <c r="J307" s="292">
        <v>439.34</v>
      </c>
      <c r="K307" s="29">
        <v>2880.14</v>
      </c>
      <c r="L307" s="29">
        <v>0</v>
      </c>
      <c r="M307" s="29">
        <v>1</v>
      </c>
      <c r="N307" s="29">
        <v>28.801400000000001</v>
      </c>
      <c r="O307" s="29">
        <v>12519</v>
      </c>
      <c r="P307" s="29">
        <v>952112</v>
      </c>
    </row>
    <row r="308" spans="1:20">
      <c r="B308" s="29">
        <v>4</v>
      </c>
      <c r="C308" s="29">
        <v>21200</v>
      </c>
      <c r="D308" s="29" t="s">
        <v>772</v>
      </c>
      <c r="E308" s="29" t="s">
        <v>448</v>
      </c>
      <c r="F308" s="263">
        <v>42026</v>
      </c>
      <c r="G308" s="263">
        <v>42034</v>
      </c>
      <c r="H308" s="29">
        <v>9492</v>
      </c>
      <c r="I308" s="29">
        <v>0</v>
      </c>
      <c r="J308" s="292">
        <v>1708.56</v>
      </c>
      <c r="K308" s="29">
        <v>11200.56</v>
      </c>
      <c r="L308" s="29">
        <v>0</v>
      </c>
      <c r="M308" s="29">
        <v>1</v>
      </c>
      <c r="N308" s="29">
        <v>112.0056</v>
      </c>
      <c r="O308" s="29">
        <v>12520</v>
      </c>
      <c r="P308" s="29">
        <v>952561</v>
      </c>
    </row>
    <row r="309" spans="1:20">
      <c r="B309" s="29">
        <v>4</v>
      </c>
      <c r="C309" s="29">
        <v>21200</v>
      </c>
      <c r="D309" s="29" t="s">
        <v>772</v>
      </c>
      <c r="E309" s="29" t="s">
        <v>448</v>
      </c>
      <c r="F309" s="263">
        <v>42026</v>
      </c>
      <c r="G309" s="263">
        <v>42034</v>
      </c>
      <c r="H309" s="29">
        <v>9492</v>
      </c>
      <c r="I309" s="29">
        <v>0</v>
      </c>
      <c r="J309" s="292">
        <v>1708.56</v>
      </c>
      <c r="K309" s="29">
        <v>11200.56</v>
      </c>
      <c r="L309" s="29">
        <v>0</v>
      </c>
      <c r="M309" s="29">
        <v>1</v>
      </c>
      <c r="N309" s="29">
        <v>112.0056</v>
      </c>
      <c r="O309" s="29">
        <v>12520</v>
      </c>
      <c r="P309" s="29">
        <v>952561</v>
      </c>
    </row>
    <row r="310" spans="1:20">
      <c r="B310" s="29">
        <v>4</v>
      </c>
      <c r="C310" s="29">
        <v>21271</v>
      </c>
      <c r="D310" s="29" t="s">
        <v>772</v>
      </c>
      <c r="E310" s="29" t="s">
        <v>448</v>
      </c>
      <c r="F310" s="263">
        <v>42027</v>
      </c>
      <c r="G310" s="263">
        <v>42034</v>
      </c>
      <c r="H310" s="29">
        <v>2644.2</v>
      </c>
      <c r="I310" s="29">
        <v>0</v>
      </c>
      <c r="J310" s="292">
        <v>475.96</v>
      </c>
      <c r="K310" s="29">
        <v>3120.16</v>
      </c>
      <c r="L310" s="29">
        <v>0</v>
      </c>
      <c r="M310" s="29">
        <v>1</v>
      </c>
      <c r="N310" s="29">
        <v>31.201599999999999</v>
      </c>
      <c r="O310" s="29">
        <v>12519</v>
      </c>
      <c r="P310" s="29">
        <v>952687</v>
      </c>
    </row>
    <row r="313" spans="1:20">
      <c r="B313" s="59"/>
      <c r="C313" s="59"/>
      <c r="D313" s="59" t="s">
        <v>770</v>
      </c>
      <c r="E313" s="59"/>
      <c r="F313" s="59"/>
      <c r="G313" s="59"/>
      <c r="H313" s="59"/>
      <c r="I313" s="59"/>
      <c r="J313" s="293"/>
      <c r="K313" s="59"/>
    </row>
    <row r="314" spans="1:20">
      <c r="B314" s="59"/>
      <c r="C314" s="59"/>
      <c r="D314" s="59"/>
      <c r="E314" s="59"/>
      <c r="F314" s="59"/>
      <c r="G314" s="59"/>
      <c r="H314" s="59"/>
      <c r="I314" s="59"/>
      <c r="J314" s="293"/>
      <c r="K314" s="59"/>
    </row>
    <row r="315" spans="1:20">
      <c r="A315" s="29" t="s">
        <v>45</v>
      </c>
      <c r="B315" s="264" t="s">
        <v>369</v>
      </c>
      <c r="C315" s="264" t="s">
        <v>370</v>
      </c>
      <c r="D315" s="264" t="s">
        <v>371</v>
      </c>
      <c r="E315" s="264" t="s">
        <v>372</v>
      </c>
      <c r="F315" s="264" t="s">
        <v>373</v>
      </c>
      <c r="G315" s="264" t="s">
        <v>393</v>
      </c>
      <c r="H315" s="264" t="s">
        <v>375</v>
      </c>
      <c r="I315" s="264" t="s">
        <v>376</v>
      </c>
      <c r="J315" s="294" t="s">
        <v>377</v>
      </c>
      <c r="K315" s="264" t="s">
        <v>378</v>
      </c>
      <c r="L315" s="29" t="s">
        <v>771</v>
      </c>
      <c r="M315" s="29" t="s">
        <v>773</v>
      </c>
      <c r="N315" s="29" t="s">
        <v>773</v>
      </c>
      <c r="O315" s="29" t="s">
        <v>774</v>
      </c>
      <c r="P315" s="29" t="s">
        <v>774</v>
      </c>
      <c r="Q315" s="29" t="s">
        <v>775</v>
      </c>
      <c r="R315" s="29" t="s">
        <v>776</v>
      </c>
      <c r="S315" s="29" t="s">
        <v>777</v>
      </c>
      <c r="T315" s="29" t="s">
        <v>777</v>
      </c>
    </row>
    <row r="316" spans="1:20">
      <c r="B316" s="111">
        <v>4</v>
      </c>
      <c r="C316" s="111">
        <v>789</v>
      </c>
      <c r="D316" s="111" t="s">
        <v>762</v>
      </c>
      <c r="E316" s="111" t="s">
        <v>448</v>
      </c>
      <c r="F316" s="265">
        <v>42038</v>
      </c>
      <c r="G316" s="265">
        <v>42038</v>
      </c>
      <c r="H316" s="111">
        <v>1219.5</v>
      </c>
      <c r="I316" s="266">
        <v>0</v>
      </c>
      <c r="J316" s="295">
        <v>1</v>
      </c>
      <c r="K316" s="111">
        <f t="shared" ref="K316:K347" si="16">(H316-I316)*J316%</f>
        <v>12.195</v>
      </c>
      <c r="L316" s="29">
        <f t="shared" ref="L316:L347" si="17">G316-F316</f>
        <v>0</v>
      </c>
      <c r="P316" s="147">
        <v>0</v>
      </c>
      <c r="Q316" s="29">
        <v>0</v>
      </c>
      <c r="R316" s="29">
        <v>219.51</v>
      </c>
      <c r="S316" s="29">
        <v>1439.01</v>
      </c>
      <c r="T316" s="29">
        <v>0</v>
      </c>
    </row>
    <row r="317" spans="1:20">
      <c r="B317" s="111">
        <v>4</v>
      </c>
      <c r="C317" s="111">
        <v>794</v>
      </c>
      <c r="D317" s="111" t="s">
        <v>762</v>
      </c>
      <c r="E317" s="111" t="s">
        <v>448</v>
      </c>
      <c r="F317" s="265">
        <v>42046</v>
      </c>
      <c r="G317" s="265">
        <v>42046</v>
      </c>
      <c r="H317" s="111">
        <v>253.89</v>
      </c>
      <c r="I317" s="266">
        <v>0</v>
      </c>
      <c r="J317" s="295">
        <v>1</v>
      </c>
      <c r="K317" s="111">
        <f t="shared" si="16"/>
        <v>2.5388999999999999</v>
      </c>
      <c r="L317" s="29">
        <f t="shared" si="17"/>
        <v>0</v>
      </c>
      <c r="P317" s="147">
        <v>0</v>
      </c>
      <c r="Q317" s="29">
        <v>0</v>
      </c>
      <c r="R317" s="29">
        <v>45.7</v>
      </c>
      <c r="S317" s="29">
        <v>299.58999999999997</v>
      </c>
      <c r="T317" s="29">
        <v>0</v>
      </c>
    </row>
    <row r="318" spans="1:20">
      <c r="B318" s="111">
        <v>4</v>
      </c>
      <c r="C318" s="111">
        <v>795</v>
      </c>
      <c r="D318" s="111" t="s">
        <v>762</v>
      </c>
      <c r="E318" s="111" t="s">
        <v>448</v>
      </c>
      <c r="F318" s="265">
        <v>42047</v>
      </c>
      <c r="G318" s="265">
        <v>42047</v>
      </c>
      <c r="H318" s="111">
        <v>166.95</v>
      </c>
      <c r="I318" s="266">
        <v>0</v>
      </c>
      <c r="J318" s="295">
        <v>1</v>
      </c>
      <c r="K318" s="111">
        <f t="shared" si="16"/>
        <v>1.6695</v>
      </c>
      <c r="L318" s="29">
        <f t="shared" si="17"/>
        <v>0</v>
      </c>
      <c r="P318" s="147">
        <v>0</v>
      </c>
      <c r="Q318" s="29">
        <v>0</v>
      </c>
      <c r="R318" s="29">
        <v>30.05</v>
      </c>
      <c r="S318" s="29">
        <v>197</v>
      </c>
      <c r="T318" s="29">
        <v>0</v>
      </c>
    </row>
    <row r="319" spans="1:20">
      <c r="B319" s="111">
        <v>4</v>
      </c>
      <c r="C319" s="111">
        <v>802</v>
      </c>
      <c r="D319" s="111" t="s">
        <v>762</v>
      </c>
      <c r="E319" s="111" t="s">
        <v>448</v>
      </c>
      <c r="F319" s="265">
        <v>42052</v>
      </c>
      <c r="G319" s="265">
        <v>42054</v>
      </c>
      <c r="H319" s="111">
        <v>135.25</v>
      </c>
      <c r="I319" s="266">
        <v>0</v>
      </c>
      <c r="J319" s="295">
        <v>1</v>
      </c>
      <c r="K319" s="111">
        <f t="shared" si="16"/>
        <v>1.3525</v>
      </c>
      <c r="L319" s="29">
        <f t="shared" si="17"/>
        <v>2</v>
      </c>
      <c r="P319" s="147">
        <v>0</v>
      </c>
      <c r="Q319" s="29">
        <v>0</v>
      </c>
      <c r="R319" s="29">
        <v>24.35</v>
      </c>
      <c r="S319" s="29">
        <v>159.6</v>
      </c>
      <c r="T319" s="29">
        <v>0</v>
      </c>
    </row>
    <row r="320" spans="1:20">
      <c r="B320" s="111">
        <v>4</v>
      </c>
      <c r="C320" s="111">
        <v>804</v>
      </c>
      <c r="D320" s="111" t="s">
        <v>762</v>
      </c>
      <c r="E320" s="111" t="s">
        <v>448</v>
      </c>
      <c r="F320" s="265">
        <v>42056</v>
      </c>
      <c r="G320" s="265">
        <v>42059</v>
      </c>
      <c r="H320" s="111">
        <v>680.89</v>
      </c>
      <c r="I320" s="266">
        <v>0</v>
      </c>
      <c r="J320" s="295">
        <v>1</v>
      </c>
      <c r="K320" s="111">
        <f t="shared" si="16"/>
        <v>6.8089000000000004</v>
      </c>
      <c r="L320" s="29">
        <f t="shared" si="17"/>
        <v>3</v>
      </c>
      <c r="P320" s="147">
        <v>0</v>
      </c>
      <c r="Q320" s="29">
        <v>0</v>
      </c>
      <c r="R320" s="29">
        <v>122.56</v>
      </c>
      <c r="S320" s="29">
        <v>803.45</v>
      </c>
      <c r="T320" s="29">
        <v>0</v>
      </c>
    </row>
    <row r="321" spans="2:20">
      <c r="B321" s="111">
        <v>4</v>
      </c>
      <c r="C321" s="111">
        <v>17669</v>
      </c>
      <c r="D321" s="111" t="s">
        <v>758</v>
      </c>
      <c r="E321" s="111" t="s">
        <v>448</v>
      </c>
      <c r="F321" s="265">
        <v>41958</v>
      </c>
      <c r="G321" s="265">
        <v>42062</v>
      </c>
      <c r="H321" s="111">
        <v>1006.04</v>
      </c>
      <c r="I321" s="266">
        <v>34.677966101694899</v>
      </c>
      <c r="J321" s="295">
        <v>0</v>
      </c>
      <c r="K321" s="111">
        <f t="shared" si="16"/>
        <v>0</v>
      </c>
      <c r="L321" s="29">
        <f t="shared" si="17"/>
        <v>104</v>
      </c>
      <c r="P321" s="147">
        <v>34.677966101694899</v>
      </c>
      <c r="Q321" s="29">
        <v>0</v>
      </c>
      <c r="R321" s="29">
        <v>181.09</v>
      </c>
      <c r="S321" s="29">
        <v>1187.1300000000001</v>
      </c>
      <c r="T321" s="29">
        <v>40.92</v>
      </c>
    </row>
    <row r="322" spans="2:20">
      <c r="B322" s="111">
        <v>4</v>
      </c>
      <c r="C322" s="111">
        <v>17696</v>
      </c>
      <c r="D322" s="111" t="s">
        <v>772</v>
      </c>
      <c r="E322" s="111" t="s">
        <v>448</v>
      </c>
      <c r="F322" s="265">
        <v>41960</v>
      </c>
      <c r="G322" s="265">
        <v>42045</v>
      </c>
      <c r="H322" s="111">
        <v>1620.78</v>
      </c>
      <c r="I322" s="266">
        <v>0</v>
      </c>
      <c r="J322" s="295">
        <v>1</v>
      </c>
      <c r="K322" s="111">
        <f t="shared" si="16"/>
        <v>16.207799999999999</v>
      </c>
      <c r="L322" s="29">
        <f t="shared" si="17"/>
        <v>85</v>
      </c>
      <c r="P322" s="147">
        <v>0</v>
      </c>
      <c r="Q322" s="29">
        <v>0</v>
      </c>
      <c r="R322" s="29">
        <v>291.74</v>
      </c>
      <c r="S322" s="29">
        <v>1912.52</v>
      </c>
      <c r="T322" s="29">
        <v>0</v>
      </c>
    </row>
    <row r="323" spans="2:20">
      <c r="B323" s="111">
        <v>4</v>
      </c>
      <c r="C323" s="111">
        <v>19185</v>
      </c>
      <c r="D323" s="111" t="s">
        <v>759</v>
      </c>
      <c r="E323" s="111" t="s">
        <v>448</v>
      </c>
      <c r="F323" s="265">
        <v>41983</v>
      </c>
      <c r="G323" s="265">
        <v>42044</v>
      </c>
      <c r="H323" s="111">
        <v>550.69000000000005</v>
      </c>
      <c r="I323" s="266">
        <v>361.32203389830499</v>
      </c>
      <c r="J323" s="295">
        <v>1</v>
      </c>
      <c r="K323" s="111">
        <f t="shared" si="16"/>
        <v>1.8936796610169506</v>
      </c>
      <c r="L323" s="29">
        <f t="shared" si="17"/>
        <v>61</v>
      </c>
      <c r="P323" s="147">
        <v>361.32203389830499</v>
      </c>
      <c r="Q323" s="29">
        <v>0</v>
      </c>
      <c r="R323" s="29">
        <v>99.12</v>
      </c>
      <c r="S323" s="29">
        <v>649.80999999999995</v>
      </c>
      <c r="T323" s="29">
        <v>426.36</v>
      </c>
    </row>
    <row r="324" spans="2:20">
      <c r="B324" s="111">
        <v>4</v>
      </c>
      <c r="C324" s="111">
        <v>19190</v>
      </c>
      <c r="D324" s="111" t="s">
        <v>768</v>
      </c>
      <c r="E324" s="111" t="s">
        <v>448</v>
      </c>
      <c r="F324" s="265">
        <v>41983</v>
      </c>
      <c r="G324" s="265">
        <v>42048</v>
      </c>
      <c r="H324" s="111">
        <v>1192.5899999999999</v>
      </c>
      <c r="I324" s="266">
        <v>0</v>
      </c>
      <c r="J324" s="295">
        <v>1</v>
      </c>
      <c r="K324" s="111">
        <f t="shared" si="16"/>
        <v>11.925899999999999</v>
      </c>
      <c r="L324" s="29">
        <f t="shared" si="17"/>
        <v>65</v>
      </c>
      <c r="P324" s="147">
        <v>0</v>
      </c>
      <c r="Q324" s="29">
        <v>0</v>
      </c>
      <c r="R324" s="29">
        <v>214.67</v>
      </c>
      <c r="S324" s="29">
        <v>1407.26</v>
      </c>
      <c r="T324" s="29">
        <v>0</v>
      </c>
    </row>
    <row r="325" spans="2:20">
      <c r="B325" s="111">
        <v>4</v>
      </c>
      <c r="C325" s="111">
        <v>19416</v>
      </c>
      <c r="D325" s="111" t="s">
        <v>759</v>
      </c>
      <c r="E325" s="111" t="s">
        <v>448</v>
      </c>
      <c r="F325" s="265">
        <v>41986</v>
      </c>
      <c r="G325" s="265">
        <v>42044</v>
      </c>
      <c r="H325" s="111">
        <v>4272.6400000000003</v>
      </c>
      <c r="I325" s="266">
        <v>0</v>
      </c>
      <c r="J325" s="295">
        <v>1</v>
      </c>
      <c r="K325" s="111">
        <f t="shared" si="16"/>
        <v>42.726400000000005</v>
      </c>
      <c r="L325" s="29">
        <f t="shared" si="17"/>
        <v>58</v>
      </c>
      <c r="P325" s="147">
        <v>0</v>
      </c>
      <c r="Q325" s="29">
        <v>0</v>
      </c>
      <c r="R325" s="29">
        <v>769.08</v>
      </c>
      <c r="S325" s="29">
        <v>5041.72</v>
      </c>
      <c r="T325" s="29">
        <v>0</v>
      </c>
    </row>
    <row r="326" spans="2:20">
      <c r="B326" s="111">
        <v>4</v>
      </c>
      <c r="C326" s="111">
        <v>19486</v>
      </c>
      <c r="D326" s="111" t="s">
        <v>759</v>
      </c>
      <c r="E326" s="111" t="s">
        <v>448</v>
      </c>
      <c r="F326" s="265">
        <v>41989</v>
      </c>
      <c r="G326" s="265">
        <v>42044</v>
      </c>
      <c r="H326" s="111">
        <v>442.01</v>
      </c>
      <c r="I326" s="266">
        <v>0</v>
      </c>
      <c r="J326" s="295">
        <v>1</v>
      </c>
      <c r="K326" s="111">
        <f t="shared" si="16"/>
        <v>4.4200999999999997</v>
      </c>
      <c r="L326" s="29">
        <f t="shared" si="17"/>
        <v>55</v>
      </c>
      <c r="P326" s="147">
        <v>0</v>
      </c>
      <c r="Q326" s="29">
        <v>0</v>
      </c>
      <c r="R326" s="29">
        <v>79.56</v>
      </c>
      <c r="S326" s="29">
        <v>521.57000000000005</v>
      </c>
      <c r="T326" s="29">
        <v>0</v>
      </c>
    </row>
    <row r="327" spans="2:20">
      <c r="B327" s="111">
        <v>4</v>
      </c>
      <c r="C327" s="111">
        <v>19495</v>
      </c>
      <c r="D327" s="111" t="s">
        <v>759</v>
      </c>
      <c r="E327" s="111" t="s">
        <v>448</v>
      </c>
      <c r="F327" s="265">
        <v>41989</v>
      </c>
      <c r="G327" s="265">
        <v>42044</v>
      </c>
      <c r="H327" s="111">
        <v>2054.7600000000002</v>
      </c>
      <c r="I327" s="266">
        <v>0</v>
      </c>
      <c r="J327" s="295">
        <v>1</v>
      </c>
      <c r="K327" s="111">
        <f t="shared" si="16"/>
        <v>20.547600000000003</v>
      </c>
      <c r="L327" s="29">
        <f t="shared" si="17"/>
        <v>55</v>
      </c>
      <c r="P327" s="147">
        <v>0</v>
      </c>
      <c r="Q327" s="29">
        <v>0</v>
      </c>
      <c r="R327" s="29">
        <v>369.86</v>
      </c>
      <c r="S327" s="29">
        <v>2424.62</v>
      </c>
      <c r="T327" s="29">
        <v>0</v>
      </c>
    </row>
    <row r="328" spans="2:20">
      <c r="B328" s="111">
        <v>4</v>
      </c>
      <c r="C328" s="111">
        <v>19510</v>
      </c>
      <c r="D328" s="111" t="s">
        <v>759</v>
      </c>
      <c r="E328" s="111" t="s">
        <v>448</v>
      </c>
      <c r="F328" s="265">
        <v>41989</v>
      </c>
      <c r="G328" s="265">
        <v>42044</v>
      </c>
      <c r="H328" s="111">
        <v>1463.63</v>
      </c>
      <c r="I328" s="266">
        <v>0</v>
      </c>
      <c r="J328" s="295">
        <v>1</v>
      </c>
      <c r="K328" s="111">
        <f t="shared" si="16"/>
        <v>14.636300000000002</v>
      </c>
      <c r="L328" s="29">
        <f t="shared" si="17"/>
        <v>55</v>
      </c>
      <c r="P328" s="147">
        <v>0</v>
      </c>
      <c r="Q328" s="29">
        <v>0</v>
      </c>
      <c r="R328" s="29">
        <v>263.45</v>
      </c>
      <c r="S328" s="29">
        <v>1727.08</v>
      </c>
      <c r="T328" s="29">
        <v>0</v>
      </c>
    </row>
    <row r="329" spans="2:20">
      <c r="B329" s="111">
        <v>4</v>
      </c>
      <c r="C329" s="111">
        <v>19600</v>
      </c>
      <c r="D329" s="111" t="s">
        <v>759</v>
      </c>
      <c r="E329" s="111" t="s">
        <v>448</v>
      </c>
      <c r="F329" s="265">
        <v>41991</v>
      </c>
      <c r="G329" s="265">
        <v>42044</v>
      </c>
      <c r="H329" s="111">
        <v>233.24</v>
      </c>
      <c r="I329" s="266">
        <v>0</v>
      </c>
      <c r="J329" s="295">
        <v>1</v>
      </c>
      <c r="K329" s="111">
        <f t="shared" si="16"/>
        <v>2.3324000000000003</v>
      </c>
      <c r="L329" s="29">
        <f t="shared" si="17"/>
        <v>53</v>
      </c>
      <c r="P329" s="147">
        <v>0</v>
      </c>
      <c r="Q329" s="29">
        <v>0</v>
      </c>
      <c r="R329" s="29">
        <v>41.98</v>
      </c>
      <c r="S329" s="29">
        <v>275.22000000000003</v>
      </c>
      <c r="T329" s="29">
        <v>0</v>
      </c>
    </row>
    <row r="330" spans="2:20">
      <c r="B330" s="111">
        <v>4</v>
      </c>
      <c r="C330" s="111">
        <v>19617</v>
      </c>
      <c r="D330" s="111" t="s">
        <v>768</v>
      </c>
      <c r="E330" s="111" t="s">
        <v>448</v>
      </c>
      <c r="F330" s="265">
        <v>41991</v>
      </c>
      <c r="G330" s="265">
        <v>42061</v>
      </c>
      <c r="H330" s="111">
        <v>837.09</v>
      </c>
      <c r="I330" s="266">
        <v>0</v>
      </c>
      <c r="J330" s="295">
        <v>1</v>
      </c>
      <c r="K330" s="111">
        <f t="shared" si="16"/>
        <v>8.3709000000000007</v>
      </c>
      <c r="L330" s="29">
        <f t="shared" si="17"/>
        <v>70</v>
      </c>
      <c r="P330" s="147">
        <v>0</v>
      </c>
      <c r="Q330" s="29">
        <v>0</v>
      </c>
      <c r="R330" s="29">
        <v>150.68</v>
      </c>
      <c r="S330" s="29">
        <v>987.77</v>
      </c>
      <c r="T330" s="29">
        <v>0</v>
      </c>
    </row>
    <row r="331" spans="2:20">
      <c r="B331" s="111">
        <v>4</v>
      </c>
      <c r="C331" s="111">
        <v>19682</v>
      </c>
      <c r="D331" s="111" t="s">
        <v>759</v>
      </c>
      <c r="E331" s="111" t="s">
        <v>448</v>
      </c>
      <c r="F331" s="265">
        <v>41992</v>
      </c>
      <c r="G331" s="265">
        <v>42044</v>
      </c>
      <c r="H331" s="111">
        <v>951.44</v>
      </c>
      <c r="I331" s="266">
        <v>453.57627118644098</v>
      </c>
      <c r="J331" s="295">
        <v>1</v>
      </c>
      <c r="K331" s="111">
        <f t="shared" si="16"/>
        <v>4.9786372881355909</v>
      </c>
      <c r="L331" s="29">
        <f t="shared" si="17"/>
        <v>52</v>
      </c>
      <c r="P331" s="147">
        <v>453.57627118644098</v>
      </c>
      <c r="Q331" s="29">
        <v>0</v>
      </c>
      <c r="R331" s="29">
        <v>171.26</v>
      </c>
      <c r="S331" s="29">
        <v>1122.7</v>
      </c>
      <c r="T331" s="29">
        <v>535.22</v>
      </c>
    </row>
    <row r="332" spans="2:20">
      <c r="B332" s="111">
        <v>4</v>
      </c>
      <c r="C332" s="111">
        <v>19698</v>
      </c>
      <c r="D332" s="111" t="s">
        <v>759</v>
      </c>
      <c r="E332" s="111" t="s">
        <v>448</v>
      </c>
      <c r="F332" s="265">
        <v>41992</v>
      </c>
      <c r="G332" s="265">
        <v>42044</v>
      </c>
      <c r="H332" s="111">
        <v>1113.6300000000001</v>
      </c>
      <c r="I332" s="266">
        <v>0</v>
      </c>
      <c r="J332" s="295">
        <v>1</v>
      </c>
      <c r="K332" s="111">
        <f t="shared" si="16"/>
        <v>11.136300000000002</v>
      </c>
      <c r="L332" s="29">
        <f t="shared" si="17"/>
        <v>52</v>
      </c>
      <c r="P332" s="147">
        <v>0</v>
      </c>
      <c r="Q332" s="29">
        <v>0</v>
      </c>
      <c r="R332" s="29">
        <v>200.45</v>
      </c>
      <c r="S332" s="29">
        <v>1314.08</v>
      </c>
      <c r="T332" s="29">
        <v>0</v>
      </c>
    </row>
    <row r="333" spans="2:20">
      <c r="B333" s="111">
        <v>4</v>
      </c>
      <c r="C333" s="111">
        <v>19746</v>
      </c>
      <c r="D333" s="111" t="s">
        <v>759</v>
      </c>
      <c r="E333" s="111" t="s">
        <v>448</v>
      </c>
      <c r="F333" s="265">
        <v>41995</v>
      </c>
      <c r="G333" s="265">
        <v>42048</v>
      </c>
      <c r="H333" s="111">
        <v>137.97</v>
      </c>
      <c r="I333" s="266">
        <v>0</v>
      </c>
      <c r="J333" s="295">
        <v>1</v>
      </c>
      <c r="K333" s="111">
        <f t="shared" si="16"/>
        <v>1.3796999999999999</v>
      </c>
      <c r="L333" s="29">
        <f t="shared" si="17"/>
        <v>53</v>
      </c>
      <c r="P333" s="147">
        <v>0</v>
      </c>
      <c r="Q333" s="29">
        <v>0</v>
      </c>
      <c r="R333" s="29">
        <v>24.83</v>
      </c>
      <c r="S333" s="29">
        <v>162.80000000000001</v>
      </c>
      <c r="T333" s="29">
        <v>0</v>
      </c>
    </row>
    <row r="334" spans="2:20">
      <c r="B334" s="111">
        <v>4</v>
      </c>
      <c r="C334" s="111">
        <v>19747</v>
      </c>
      <c r="D334" s="111" t="s">
        <v>759</v>
      </c>
      <c r="E334" s="111" t="s">
        <v>448</v>
      </c>
      <c r="F334" s="265">
        <v>41995</v>
      </c>
      <c r="G334" s="265">
        <v>42048</v>
      </c>
      <c r="H334" s="111">
        <v>3063.33</v>
      </c>
      <c r="I334" s="266">
        <v>0</v>
      </c>
      <c r="J334" s="295">
        <v>1</v>
      </c>
      <c r="K334" s="111">
        <f t="shared" si="16"/>
        <v>30.633299999999998</v>
      </c>
      <c r="L334" s="29">
        <f t="shared" si="17"/>
        <v>53</v>
      </c>
      <c r="P334" s="147">
        <v>0</v>
      </c>
      <c r="Q334" s="29">
        <v>0</v>
      </c>
      <c r="R334" s="29">
        <v>551.4</v>
      </c>
      <c r="S334" s="29">
        <v>3614.73</v>
      </c>
      <c r="T334" s="29">
        <v>0</v>
      </c>
    </row>
    <row r="335" spans="2:20">
      <c r="B335" s="111">
        <v>4</v>
      </c>
      <c r="C335" s="111">
        <v>19751</v>
      </c>
      <c r="D335" s="111" t="s">
        <v>759</v>
      </c>
      <c r="E335" s="111" t="s">
        <v>448</v>
      </c>
      <c r="F335" s="265">
        <v>41995</v>
      </c>
      <c r="G335" s="265">
        <v>42044</v>
      </c>
      <c r="H335" s="111">
        <v>1529.62</v>
      </c>
      <c r="I335" s="266">
        <v>0</v>
      </c>
      <c r="J335" s="295">
        <v>1</v>
      </c>
      <c r="K335" s="111">
        <f t="shared" si="16"/>
        <v>15.296199999999999</v>
      </c>
      <c r="L335" s="29">
        <f t="shared" si="17"/>
        <v>49</v>
      </c>
      <c r="P335" s="147">
        <v>0</v>
      </c>
      <c r="Q335" s="29">
        <v>0</v>
      </c>
      <c r="R335" s="29">
        <v>275.33</v>
      </c>
      <c r="S335" s="29">
        <v>1804.95</v>
      </c>
      <c r="T335" s="29">
        <v>0</v>
      </c>
    </row>
    <row r="336" spans="2:20">
      <c r="B336" s="111">
        <v>4</v>
      </c>
      <c r="C336" s="111">
        <v>19840</v>
      </c>
      <c r="D336" s="111" t="s">
        <v>768</v>
      </c>
      <c r="E336" s="111" t="s">
        <v>448</v>
      </c>
      <c r="F336" s="265">
        <v>41997</v>
      </c>
      <c r="G336" s="265">
        <v>42062</v>
      </c>
      <c r="H336" s="111">
        <v>1418.74</v>
      </c>
      <c r="I336" s="266">
        <v>0</v>
      </c>
      <c r="J336" s="295">
        <v>1</v>
      </c>
      <c r="K336" s="111">
        <f t="shared" si="16"/>
        <v>14.1874</v>
      </c>
      <c r="L336" s="29">
        <f t="shared" si="17"/>
        <v>65</v>
      </c>
      <c r="P336" s="147">
        <v>0</v>
      </c>
      <c r="Q336" s="29">
        <v>0</v>
      </c>
      <c r="R336" s="29">
        <v>255.37</v>
      </c>
      <c r="S336" s="29">
        <v>1674.11</v>
      </c>
      <c r="T336" s="29">
        <v>0</v>
      </c>
    </row>
    <row r="337" spans="2:20">
      <c r="B337" s="111">
        <v>4</v>
      </c>
      <c r="C337" s="111">
        <v>19863</v>
      </c>
      <c r="D337" s="111" t="s">
        <v>759</v>
      </c>
      <c r="E337" s="111" t="s">
        <v>448</v>
      </c>
      <c r="F337" s="265">
        <v>41999</v>
      </c>
      <c r="G337" s="265">
        <v>42048</v>
      </c>
      <c r="H337" s="111">
        <v>1463.62</v>
      </c>
      <c r="I337" s="266">
        <v>0</v>
      </c>
      <c r="J337" s="295">
        <v>1</v>
      </c>
      <c r="K337" s="111">
        <f t="shared" si="16"/>
        <v>14.636199999999999</v>
      </c>
      <c r="L337" s="29">
        <f t="shared" si="17"/>
        <v>49</v>
      </c>
      <c r="P337" s="147">
        <v>0</v>
      </c>
      <c r="Q337" s="29">
        <v>0</v>
      </c>
      <c r="R337" s="29">
        <v>263.45</v>
      </c>
      <c r="S337" s="29">
        <v>1727.07</v>
      </c>
      <c r="T337" s="29">
        <v>0</v>
      </c>
    </row>
    <row r="338" spans="2:20">
      <c r="B338" s="111">
        <v>4</v>
      </c>
      <c r="C338" s="111">
        <v>19872</v>
      </c>
      <c r="D338" s="111" t="s">
        <v>759</v>
      </c>
      <c r="E338" s="111" t="s">
        <v>448</v>
      </c>
      <c r="F338" s="265">
        <v>41999</v>
      </c>
      <c r="G338" s="265">
        <v>42048</v>
      </c>
      <c r="H338" s="111">
        <v>51.24</v>
      </c>
      <c r="I338" s="266">
        <v>0</v>
      </c>
      <c r="J338" s="295">
        <v>1</v>
      </c>
      <c r="K338" s="111">
        <f t="shared" si="16"/>
        <v>0.51240000000000008</v>
      </c>
      <c r="L338" s="29">
        <f t="shared" si="17"/>
        <v>49</v>
      </c>
      <c r="P338" s="147">
        <v>0</v>
      </c>
      <c r="Q338" s="29">
        <v>0</v>
      </c>
      <c r="R338" s="29">
        <v>9.2200000000000006</v>
      </c>
      <c r="S338" s="29">
        <v>60.46</v>
      </c>
      <c r="T338" s="29">
        <v>0</v>
      </c>
    </row>
    <row r="339" spans="2:20">
      <c r="B339" s="111">
        <v>4</v>
      </c>
      <c r="C339" s="111">
        <v>19921</v>
      </c>
      <c r="D339" s="111" t="s">
        <v>759</v>
      </c>
      <c r="E339" s="111" t="s">
        <v>448</v>
      </c>
      <c r="F339" s="265">
        <v>42000</v>
      </c>
      <c r="G339" s="265">
        <v>42048</v>
      </c>
      <c r="H339" s="111">
        <v>1368.21</v>
      </c>
      <c r="I339" s="266">
        <v>0</v>
      </c>
      <c r="J339" s="295">
        <v>1</v>
      </c>
      <c r="K339" s="111">
        <f t="shared" si="16"/>
        <v>13.6821</v>
      </c>
      <c r="L339" s="29">
        <f t="shared" si="17"/>
        <v>48</v>
      </c>
      <c r="P339" s="147">
        <v>0</v>
      </c>
      <c r="Q339" s="29">
        <v>0</v>
      </c>
      <c r="R339" s="29">
        <v>246.28</v>
      </c>
      <c r="S339" s="29">
        <v>1614.49</v>
      </c>
      <c r="T339" s="29">
        <v>0</v>
      </c>
    </row>
    <row r="340" spans="2:20">
      <c r="B340" s="111">
        <v>4</v>
      </c>
      <c r="C340" s="111">
        <v>20009</v>
      </c>
      <c r="D340" s="111" t="s">
        <v>766</v>
      </c>
      <c r="E340" s="111" t="s">
        <v>448</v>
      </c>
      <c r="F340" s="265">
        <v>42003</v>
      </c>
      <c r="G340" s="265">
        <v>42053</v>
      </c>
      <c r="H340" s="111">
        <v>418.38</v>
      </c>
      <c r="I340" s="266">
        <v>0</v>
      </c>
      <c r="J340" s="295">
        <v>1</v>
      </c>
      <c r="K340" s="111">
        <f t="shared" si="16"/>
        <v>4.1837999999999997</v>
      </c>
      <c r="L340" s="29">
        <f t="shared" si="17"/>
        <v>50</v>
      </c>
      <c r="P340" s="147">
        <v>0</v>
      </c>
      <c r="Q340" s="29">
        <v>0</v>
      </c>
      <c r="R340" s="29">
        <v>75.31</v>
      </c>
      <c r="S340" s="29">
        <v>493.69</v>
      </c>
      <c r="T340" s="29">
        <v>0</v>
      </c>
    </row>
    <row r="341" spans="2:20">
      <c r="B341" s="111">
        <v>4</v>
      </c>
      <c r="C341" s="111">
        <v>20178</v>
      </c>
      <c r="D341" s="111" t="s">
        <v>759</v>
      </c>
      <c r="E341" s="111" t="s">
        <v>448</v>
      </c>
      <c r="F341" s="265">
        <v>42007</v>
      </c>
      <c r="G341" s="265">
        <v>42056</v>
      </c>
      <c r="H341" s="111">
        <v>2197.5</v>
      </c>
      <c r="I341" s="266">
        <v>86.703389830508499</v>
      </c>
      <c r="J341" s="295">
        <v>1</v>
      </c>
      <c r="K341" s="111">
        <f t="shared" si="16"/>
        <v>21.107966101694917</v>
      </c>
      <c r="L341" s="29">
        <f t="shared" si="17"/>
        <v>49</v>
      </c>
      <c r="P341" s="147">
        <v>86.703389830508499</v>
      </c>
      <c r="Q341" s="29">
        <v>0</v>
      </c>
      <c r="R341" s="29">
        <v>395.55</v>
      </c>
      <c r="S341" s="29">
        <v>2593.0500000000002</v>
      </c>
      <c r="T341" s="29">
        <v>102.31</v>
      </c>
    </row>
    <row r="342" spans="2:20">
      <c r="B342" s="111">
        <v>4</v>
      </c>
      <c r="C342" s="111">
        <v>20251</v>
      </c>
      <c r="D342" s="111" t="s">
        <v>758</v>
      </c>
      <c r="E342" s="111" t="s">
        <v>448</v>
      </c>
      <c r="F342" s="265">
        <v>42010</v>
      </c>
      <c r="G342" s="265">
        <v>42053</v>
      </c>
      <c r="H342" s="111">
        <v>1054.53</v>
      </c>
      <c r="I342" s="266">
        <v>0</v>
      </c>
      <c r="J342" s="295">
        <v>1</v>
      </c>
      <c r="K342" s="111">
        <f t="shared" si="16"/>
        <v>10.545299999999999</v>
      </c>
      <c r="L342" s="29">
        <f t="shared" si="17"/>
        <v>43</v>
      </c>
      <c r="P342" s="147">
        <v>0</v>
      </c>
      <c r="Q342" s="29">
        <v>0</v>
      </c>
      <c r="R342" s="29">
        <v>189.82</v>
      </c>
      <c r="S342" s="29">
        <v>1244.3499999999999</v>
      </c>
      <c r="T342" s="29">
        <v>0</v>
      </c>
    </row>
    <row r="343" spans="2:20">
      <c r="B343" s="111">
        <v>4</v>
      </c>
      <c r="C343" s="111">
        <v>20256</v>
      </c>
      <c r="D343" s="111" t="s">
        <v>758</v>
      </c>
      <c r="E343" s="111" t="s">
        <v>448</v>
      </c>
      <c r="F343" s="265">
        <v>42010</v>
      </c>
      <c r="G343" s="265">
        <v>42053</v>
      </c>
      <c r="H343" s="111">
        <v>3455.35</v>
      </c>
      <c r="I343" s="266">
        <v>0</v>
      </c>
      <c r="J343" s="295">
        <v>1</v>
      </c>
      <c r="K343" s="111">
        <f t="shared" si="16"/>
        <v>34.5535</v>
      </c>
      <c r="L343" s="29">
        <f t="shared" si="17"/>
        <v>43</v>
      </c>
      <c r="P343" s="147">
        <v>0</v>
      </c>
      <c r="Q343" s="29">
        <v>0</v>
      </c>
      <c r="R343" s="29">
        <v>621.96</v>
      </c>
      <c r="S343" s="29">
        <v>4077.31</v>
      </c>
      <c r="T343" s="29">
        <v>0</v>
      </c>
    </row>
    <row r="344" spans="2:20">
      <c r="B344" s="111">
        <v>4</v>
      </c>
      <c r="C344" s="111">
        <v>20257</v>
      </c>
      <c r="D344" s="111" t="s">
        <v>759</v>
      </c>
      <c r="E344" s="111" t="s">
        <v>448</v>
      </c>
      <c r="F344" s="265">
        <v>42010</v>
      </c>
      <c r="G344" s="265">
        <v>42056</v>
      </c>
      <c r="H344" s="111">
        <v>2493.06</v>
      </c>
      <c r="I344" s="266">
        <v>0</v>
      </c>
      <c r="J344" s="295">
        <v>1</v>
      </c>
      <c r="K344" s="111">
        <f t="shared" si="16"/>
        <v>24.930599999999998</v>
      </c>
      <c r="L344" s="29">
        <f t="shared" si="17"/>
        <v>46</v>
      </c>
      <c r="P344" s="147">
        <v>0</v>
      </c>
      <c r="Q344" s="29">
        <v>0</v>
      </c>
      <c r="R344" s="29">
        <v>448.75</v>
      </c>
      <c r="S344" s="29">
        <v>2941.81</v>
      </c>
      <c r="T344" s="29">
        <v>0</v>
      </c>
    </row>
    <row r="345" spans="2:20">
      <c r="B345" s="111">
        <v>4</v>
      </c>
      <c r="C345" s="111">
        <v>20359</v>
      </c>
      <c r="D345" s="111" t="s">
        <v>758</v>
      </c>
      <c r="E345" s="111" t="s">
        <v>448</v>
      </c>
      <c r="F345" s="265">
        <v>42011</v>
      </c>
      <c r="G345" s="265">
        <v>42053</v>
      </c>
      <c r="H345" s="111">
        <v>3094.48</v>
      </c>
      <c r="I345" s="266">
        <v>0</v>
      </c>
      <c r="J345" s="295">
        <v>1</v>
      </c>
      <c r="K345" s="111">
        <f t="shared" si="16"/>
        <v>30.944800000000001</v>
      </c>
      <c r="L345" s="29">
        <f t="shared" si="17"/>
        <v>42</v>
      </c>
      <c r="P345" s="147">
        <v>0</v>
      </c>
      <c r="Q345" s="29">
        <v>0</v>
      </c>
      <c r="R345" s="29">
        <v>557.01</v>
      </c>
      <c r="S345" s="29">
        <v>3651.49</v>
      </c>
      <c r="T345" s="29">
        <v>0</v>
      </c>
    </row>
    <row r="346" spans="2:20">
      <c r="B346" s="111">
        <v>4</v>
      </c>
      <c r="C346" s="111">
        <v>20389</v>
      </c>
      <c r="D346" s="111" t="s">
        <v>758</v>
      </c>
      <c r="E346" s="111" t="s">
        <v>448</v>
      </c>
      <c r="F346" s="265">
        <v>42012</v>
      </c>
      <c r="G346" s="265">
        <v>42053</v>
      </c>
      <c r="H346" s="111">
        <v>2262.2199999999998</v>
      </c>
      <c r="I346" s="266">
        <v>0</v>
      </c>
      <c r="J346" s="295">
        <v>1</v>
      </c>
      <c r="K346" s="111">
        <f t="shared" si="16"/>
        <v>22.622199999999999</v>
      </c>
      <c r="L346" s="29">
        <f t="shared" si="17"/>
        <v>41</v>
      </c>
      <c r="P346" s="147">
        <v>0</v>
      </c>
      <c r="Q346" s="29">
        <v>0</v>
      </c>
      <c r="R346" s="29">
        <v>407.2</v>
      </c>
      <c r="S346" s="29">
        <v>2669.42</v>
      </c>
      <c r="T346" s="29">
        <v>0</v>
      </c>
    </row>
    <row r="347" spans="2:20">
      <c r="B347" s="111">
        <v>4</v>
      </c>
      <c r="C347" s="111">
        <v>20410</v>
      </c>
      <c r="D347" s="111" t="s">
        <v>757</v>
      </c>
      <c r="E347" s="111" t="s">
        <v>448</v>
      </c>
      <c r="F347" s="265">
        <v>42012</v>
      </c>
      <c r="G347" s="265">
        <v>42047</v>
      </c>
      <c r="H347" s="111">
        <v>187.71</v>
      </c>
      <c r="I347" s="266">
        <v>0</v>
      </c>
      <c r="J347" s="295">
        <v>1</v>
      </c>
      <c r="K347" s="111">
        <f t="shared" si="16"/>
        <v>1.8771000000000002</v>
      </c>
      <c r="L347" s="29">
        <f t="shared" si="17"/>
        <v>35</v>
      </c>
      <c r="P347" s="147">
        <v>0</v>
      </c>
      <c r="Q347" s="29">
        <v>0</v>
      </c>
      <c r="R347" s="29">
        <v>33.79</v>
      </c>
      <c r="S347" s="29">
        <v>221.5</v>
      </c>
      <c r="T347" s="29">
        <v>0</v>
      </c>
    </row>
    <row r="348" spans="2:20">
      <c r="B348" s="111">
        <v>4</v>
      </c>
      <c r="C348" s="111">
        <v>20483</v>
      </c>
      <c r="D348" s="111" t="s">
        <v>759</v>
      </c>
      <c r="E348" s="111" t="s">
        <v>448</v>
      </c>
      <c r="F348" s="265">
        <v>42013</v>
      </c>
      <c r="G348" s="265">
        <v>42056</v>
      </c>
      <c r="H348" s="111">
        <v>1454.03</v>
      </c>
      <c r="I348" s="266">
        <v>0</v>
      </c>
      <c r="J348" s="295">
        <v>1</v>
      </c>
      <c r="K348" s="111">
        <f t="shared" ref="K348:K379" si="18">(H348-I348)*J348%</f>
        <v>14.5403</v>
      </c>
      <c r="L348" s="29">
        <f t="shared" ref="L348:L379" si="19">G348-F348</f>
        <v>43</v>
      </c>
      <c r="P348" s="147">
        <v>0</v>
      </c>
      <c r="Q348" s="29">
        <v>0</v>
      </c>
      <c r="R348" s="29">
        <v>261.73</v>
      </c>
      <c r="S348" s="29">
        <v>1715.76</v>
      </c>
      <c r="T348" s="29">
        <v>0</v>
      </c>
    </row>
    <row r="349" spans="2:20">
      <c r="B349" s="111">
        <v>4</v>
      </c>
      <c r="C349" s="111">
        <v>20491</v>
      </c>
      <c r="D349" s="111" t="s">
        <v>759</v>
      </c>
      <c r="E349" s="111" t="s">
        <v>448</v>
      </c>
      <c r="F349" s="265">
        <v>42013</v>
      </c>
      <c r="G349" s="265">
        <v>42056</v>
      </c>
      <c r="H349" s="111">
        <v>6656.72</v>
      </c>
      <c r="I349" s="266">
        <v>0</v>
      </c>
      <c r="J349" s="295">
        <v>1</v>
      </c>
      <c r="K349" s="111">
        <f t="shared" si="18"/>
        <v>66.5672</v>
      </c>
      <c r="L349" s="29">
        <f t="shared" si="19"/>
        <v>43</v>
      </c>
      <c r="P349" s="147">
        <v>0</v>
      </c>
      <c r="Q349" s="29">
        <v>0</v>
      </c>
      <c r="R349" s="29">
        <v>1198.21</v>
      </c>
      <c r="S349" s="29">
        <v>7854.93</v>
      </c>
      <c r="T349" s="29">
        <v>0</v>
      </c>
    </row>
    <row r="350" spans="2:20">
      <c r="B350" s="111">
        <v>4</v>
      </c>
      <c r="C350" s="111">
        <v>20498</v>
      </c>
      <c r="D350" s="111" t="s">
        <v>759</v>
      </c>
      <c r="E350" s="111" t="s">
        <v>448</v>
      </c>
      <c r="F350" s="265">
        <v>42013</v>
      </c>
      <c r="G350" s="265">
        <v>42056</v>
      </c>
      <c r="H350" s="111">
        <v>885.5</v>
      </c>
      <c r="I350" s="266">
        <v>0</v>
      </c>
      <c r="J350" s="295">
        <v>1</v>
      </c>
      <c r="K350" s="111">
        <f t="shared" si="18"/>
        <v>8.8550000000000004</v>
      </c>
      <c r="L350" s="29">
        <f t="shared" si="19"/>
        <v>43</v>
      </c>
      <c r="P350" s="147">
        <v>0</v>
      </c>
      <c r="Q350" s="29">
        <v>0</v>
      </c>
      <c r="R350" s="29">
        <v>159.38999999999999</v>
      </c>
      <c r="S350" s="29">
        <v>1044.8900000000001</v>
      </c>
      <c r="T350" s="29">
        <v>0</v>
      </c>
    </row>
    <row r="351" spans="2:20">
      <c r="B351" s="111">
        <v>4</v>
      </c>
      <c r="C351" s="111">
        <v>20501</v>
      </c>
      <c r="D351" s="111" t="s">
        <v>757</v>
      </c>
      <c r="E351" s="111" t="s">
        <v>448</v>
      </c>
      <c r="F351" s="265">
        <v>42013</v>
      </c>
      <c r="G351" s="265">
        <v>42047</v>
      </c>
      <c r="H351" s="111">
        <v>161.21</v>
      </c>
      <c r="I351" s="266">
        <v>0</v>
      </c>
      <c r="J351" s="295">
        <v>1</v>
      </c>
      <c r="K351" s="111">
        <f t="shared" si="18"/>
        <v>1.6121000000000001</v>
      </c>
      <c r="L351" s="29">
        <f t="shared" si="19"/>
        <v>34</v>
      </c>
      <c r="P351" s="147">
        <v>0</v>
      </c>
      <c r="Q351" s="29">
        <v>0</v>
      </c>
      <c r="R351" s="29">
        <v>29.02</v>
      </c>
      <c r="S351" s="29">
        <v>190.23</v>
      </c>
      <c r="T351" s="29">
        <v>0</v>
      </c>
    </row>
    <row r="352" spans="2:20">
      <c r="B352" s="111">
        <v>4</v>
      </c>
      <c r="C352" s="111">
        <v>20518</v>
      </c>
      <c r="D352" s="111" t="s">
        <v>767</v>
      </c>
      <c r="E352" s="111" t="s">
        <v>448</v>
      </c>
      <c r="F352" s="265">
        <v>42013</v>
      </c>
      <c r="G352" s="265">
        <v>42042</v>
      </c>
      <c r="H352" s="111">
        <v>287.04000000000002</v>
      </c>
      <c r="I352" s="266">
        <v>0</v>
      </c>
      <c r="J352" s="295">
        <v>1</v>
      </c>
      <c r="K352" s="111">
        <f t="shared" si="18"/>
        <v>2.8704000000000001</v>
      </c>
      <c r="L352" s="29">
        <f t="shared" si="19"/>
        <v>29</v>
      </c>
      <c r="P352" s="147">
        <v>0</v>
      </c>
      <c r="Q352" s="29">
        <v>0</v>
      </c>
      <c r="R352" s="29">
        <v>51.67</v>
      </c>
      <c r="S352" s="29">
        <v>338.71</v>
      </c>
      <c r="T352" s="29">
        <v>0</v>
      </c>
    </row>
    <row r="353" spans="2:20">
      <c r="B353" s="111">
        <v>4</v>
      </c>
      <c r="C353" s="111">
        <v>20593</v>
      </c>
      <c r="D353" s="111" t="s">
        <v>759</v>
      </c>
      <c r="E353" s="111" t="s">
        <v>448</v>
      </c>
      <c r="F353" s="265">
        <v>42016</v>
      </c>
      <c r="G353" s="265">
        <v>42056</v>
      </c>
      <c r="H353" s="111">
        <v>15282.33</v>
      </c>
      <c r="I353" s="266">
        <v>0</v>
      </c>
      <c r="J353" s="295">
        <v>1</v>
      </c>
      <c r="K353" s="111">
        <f t="shared" si="18"/>
        <v>152.82329999999999</v>
      </c>
      <c r="L353" s="29">
        <f t="shared" si="19"/>
        <v>40</v>
      </c>
      <c r="P353" s="147">
        <v>0</v>
      </c>
      <c r="Q353" s="29">
        <v>0</v>
      </c>
      <c r="R353" s="29">
        <v>2750.82</v>
      </c>
      <c r="S353" s="29">
        <v>18033.150000000001</v>
      </c>
      <c r="T353" s="29">
        <v>0</v>
      </c>
    </row>
    <row r="354" spans="2:20">
      <c r="B354" s="111">
        <v>4</v>
      </c>
      <c r="C354" s="111">
        <v>20625</v>
      </c>
      <c r="D354" s="111" t="s">
        <v>759</v>
      </c>
      <c r="E354" s="111" t="s">
        <v>448</v>
      </c>
      <c r="F354" s="265">
        <v>42016</v>
      </c>
      <c r="G354" s="265">
        <v>42056</v>
      </c>
      <c r="H354" s="111">
        <v>4048.35</v>
      </c>
      <c r="I354" s="266">
        <v>0</v>
      </c>
      <c r="J354" s="295">
        <v>1</v>
      </c>
      <c r="K354" s="111">
        <f t="shared" si="18"/>
        <v>40.483499999999999</v>
      </c>
      <c r="L354" s="29">
        <f t="shared" si="19"/>
        <v>40</v>
      </c>
      <c r="P354" s="147">
        <v>0</v>
      </c>
      <c r="Q354" s="29">
        <v>0</v>
      </c>
      <c r="R354" s="29">
        <v>728.7</v>
      </c>
      <c r="S354" s="29">
        <v>4777.05</v>
      </c>
      <c r="T354" s="29">
        <v>0</v>
      </c>
    </row>
    <row r="355" spans="2:20">
      <c r="B355" s="111">
        <v>4</v>
      </c>
      <c r="C355" s="111">
        <v>20656</v>
      </c>
      <c r="D355" s="111" t="s">
        <v>758</v>
      </c>
      <c r="E355" s="111" t="s">
        <v>448</v>
      </c>
      <c r="F355" s="265">
        <v>42017</v>
      </c>
      <c r="G355" s="265">
        <v>42053</v>
      </c>
      <c r="H355" s="111">
        <v>3965.9</v>
      </c>
      <c r="I355" s="266">
        <v>0</v>
      </c>
      <c r="J355" s="295">
        <v>1</v>
      </c>
      <c r="K355" s="111">
        <f t="shared" si="18"/>
        <v>39.658999999999999</v>
      </c>
      <c r="L355" s="29">
        <f t="shared" si="19"/>
        <v>36</v>
      </c>
      <c r="P355" s="147">
        <v>0</v>
      </c>
      <c r="Q355" s="29">
        <v>0</v>
      </c>
      <c r="R355" s="29">
        <v>713.86</v>
      </c>
      <c r="S355" s="29">
        <v>4679.76</v>
      </c>
      <c r="T355" s="29">
        <v>0</v>
      </c>
    </row>
    <row r="356" spans="2:20">
      <c r="B356" s="111">
        <v>4</v>
      </c>
      <c r="C356" s="111">
        <v>20672</v>
      </c>
      <c r="D356" s="111" t="s">
        <v>758</v>
      </c>
      <c r="E356" s="111" t="s">
        <v>448</v>
      </c>
      <c r="F356" s="265">
        <v>42017</v>
      </c>
      <c r="G356" s="265">
        <v>42053</v>
      </c>
      <c r="H356" s="111">
        <v>883.44</v>
      </c>
      <c r="I356" s="266">
        <v>0</v>
      </c>
      <c r="J356" s="295">
        <v>1</v>
      </c>
      <c r="K356" s="111">
        <f t="shared" si="18"/>
        <v>8.8344000000000005</v>
      </c>
      <c r="L356" s="29">
        <f t="shared" si="19"/>
        <v>36</v>
      </c>
      <c r="P356" s="147">
        <v>0</v>
      </c>
      <c r="Q356" s="29">
        <v>0</v>
      </c>
      <c r="R356" s="29">
        <v>159.02000000000001</v>
      </c>
      <c r="S356" s="29">
        <v>1042.46</v>
      </c>
      <c r="T356" s="29">
        <v>0</v>
      </c>
    </row>
    <row r="357" spans="2:20">
      <c r="B357" s="111">
        <v>4</v>
      </c>
      <c r="C357" s="111">
        <v>20675</v>
      </c>
      <c r="D357" s="111" t="s">
        <v>758</v>
      </c>
      <c r="E357" s="111" t="s">
        <v>448</v>
      </c>
      <c r="F357" s="265">
        <v>42017</v>
      </c>
      <c r="G357" s="265">
        <v>42053</v>
      </c>
      <c r="H357" s="111">
        <v>2610.8200000000002</v>
      </c>
      <c r="I357" s="266">
        <v>0</v>
      </c>
      <c r="J357" s="295">
        <v>1</v>
      </c>
      <c r="K357" s="111">
        <f t="shared" si="18"/>
        <v>26.108200000000004</v>
      </c>
      <c r="L357" s="29">
        <f t="shared" si="19"/>
        <v>36</v>
      </c>
      <c r="P357" s="147">
        <v>0</v>
      </c>
      <c r="Q357" s="29">
        <v>0</v>
      </c>
      <c r="R357" s="29">
        <v>469.95</v>
      </c>
      <c r="S357" s="29">
        <v>3080.77</v>
      </c>
      <c r="T357" s="29">
        <v>0</v>
      </c>
    </row>
    <row r="358" spans="2:20">
      <c r="B358" s="111">
        <v>4</v>
      </c>
      <c r="C358" s="111">
        <v>20691</v>
      </c>
      <c r="D358" s="111" t="s">
        <v>757</v>
      </c>
      <c r="E358" s="111" t="s">
        <v>448</v>
      </c>
      <c r="F358" s="265">
        <v>42017</v>
      </c>
      <c r="G358" s="265">
        <v>42047</v>
      </c>
      <c r="H358" s="111">
        <v>189.67</v>
      </c>
      <c r="I358" s="266">
        <v>0</v>
      </c>
      <c r="J358" s="295">
        <v>1</v>
      </c>
      <c r="K358" s="111">
        <f t="shared" si="18"/>
        <v>1.8966999999999998</v>
      </c>
      <c r="L358" s="29">
        <f t="shared" si="19"/>
        <v>30</v>
      </c>
      <c r="P358" s="147">
        <v>0</v>
      </c>
      <c r="Q358" s="29">
        <v>0</v>
      </c>
      <c r="R358" s="29">
        <v>34.14</v>
      </c>
      <c r="S358" s="29">
        <v>223.81</v>
      </c>
      <c r="T358" s="29">
        <v>0</v>
      </c>
    </row>
    <row r="359" spans="2:20">
      <c r="B359" s="111">
        <v>4</v>
      </c>
      <c r="C359" s="111">
        <v>20695</v>
      </c>
      <c r="D359" s="111" t="s">
        <v>757</v>
      </c>
      <c r="E359" s="111" t="s">
        <v>448</v>
      </c>
      <c r="F359" s="265">
        <v>42017</v>
      </c>
      <c r="G359" s="265">
        <v>42047</v>
      </c>
      <c r="H359" s="111">
        <v>134.49</v>
      </c>
      <c r="I359" s="266">
        <v>0</v>
      </c>
      <c r="J359" s="295">
        <v>1</v>
      </c>
      <c r="K359" s="111">
        <f t="shared" si="18"/>
        <v>1.3449000000000002</v>
      </c>
      <c r="L359" s="29">
        <f t="shared" si="19"/>
        <v>30</v>
      </c>
      <c r="P359" s="147">
        <v>0</v>
      </c>
      <c r="Q359" s="29">
        <v>0</v>
      </c>
      <c r="R359" s="29">
        <v>24.21</v>
      </c>
      <c r="S359" s="29">
        <v>158.69999999999999</v>
      </c>
      <c r="T359" s="29">
        <v>0</v>
      </c>
    </row>
    <row r="360" spans="2:20">
      <c r="B360" s="111">
        <v>4</v>
      </c>
      <c r="C360" s="111">
        <v>20715</v>
      </c>
      <c r="D360" s="111" t="s">
        <v>758</v>
      </c>
      <c r="E360" s="111" t="s">
        <v>448</v>
      </c>
      <c r="F360" s="265">
        <v>42017</v>
      </c>
      <c r="G360" s="265">
        <v>42053</v>
      </c>
      <c r="H360" s="111">
        <v>1321.4</v>
      </c>
      <c r="I360" s="266">
        <v>0</v>
      </c>
      <c r="J360" s="295">
        <v>1</v>
      </c>
      <c r="K360" s="111">
        <f t="shared" si="18"/>
        <v>13.214</v>
      </c>
      <c r="L360" s="29">
        <f t="shared" si="19"/>
        <v>36</v>
      </c>
      <c r="P360" s="147">
        <v>0</v>
      </c>
      <c r="Q360" s="29">
        <v>0</v>
      </c>
      <c r="R360" s="29">
        <v>237.85</v>
      </c>
      <c r="S360" s="29">
        <v>1559.25</v>
      </c>
      <c r="T360" s="29">
        <v>0</v>
      </c>
    </row>
    <row r="361" spans="2:20">
      <c r="B361" s="111">
        <v>4</v>
      </c>
      <c r="C361" s="111">
        <v>20716</v>
      </c>
      <c r="D361" s="111" t="s">
        <v>757</v>
      </c>
      <c r="E361" s="111" t="s">
        <v>448</v>
      </c>
      <c r="F361" s="265">
        <v>42017</v>
      </c>
      <c r="G361" s="265">
        <v>42047</v>
      </c>
      <c r="H361" s="111">
        <v>92.8</v>
      </c>
      <c r="I361" s="266">
        <v>0</v>
      </c>
      <c r="J361" s="295">
        <v>1</v>
      </c>
      <c r="K361" s="111">
        <f t="shared" si="18"/>
        <v>0.92799999999999994</v>
      </c>
      <c r="L361" s="29">
        <f t="shared" si="19"/>
        <v>30</v>
      </c>
      <c r="P361" s="147">
        <v>0</v>
      </c>
      <c r="Q361" s="29">
        <v>0</v>
      </c>
      <c r="R361" s="29">
        <v>16.7</v>
      </c>
      <c r="S361" s="29">
        <v>109.5</v>
      </c>
      <c r="T361" s="29">
        <v>0</v>
      </c>
    </row>
    <row r="362" spans="2:20">
      <c r="B362" s="111">
        <v>4</v>
      </c>
      <c r="C362" s="111">
        <v>20727</v>
      </c>
      <c r="D362" s="111" t="s">
        <v>758</v>
      </c>
      <c r="E362" s="111" t="s">
        <v>448</v>
      </c>
      <c r="F362" s="265">
        <v>42017</v>
      </c>
      <c r="G362" s="265">
        <v>42053</v>
      </c>
      <c r="H362" s="111">
        <v>1610.99</v>
      </c>
      <c r="I362" s="266">
        <v>0</v>
      </c>
      <c r="J362" s="295">
        <v>1</v>
      </c>
      <c r="K362" s="111">
        <f t="shared" si="18"/>
        <v>16.1099</v>
      </c>
      <c r="L362" s="29">
        <f t="shared" si="19"/>
        <v>36</v>
      </c>
      <c r="P362" s="147">
        <v>0</v>
      </c>
      <c r="Q362" s="29">
        <v>0</v>
      </c>
      <c r="R362" s="29">
        <v>289.98</v>
      </c>
      <c r="S362" s="29">
        <v>1900.97</v>
      </c>
      <c r="T362" s="29">
        <v>0</v>
      </c>
    </row>
    <row r="363" spans="2:20">
      <c r="B363" s="111">
        <v>4</v>
      </c>
      <c r="C363" s="111">
        <v>20736</v>
      </c>
      <c r="D363" s="111" t="s">
        <v>757</v>
      </c>
      <c r="E363" s="111" t="s">
        <v>448</v>
      </c>
      <c r="F363" s="265">
        <v>42018</v>
      </c>
      <c r="G363" s="265">
        <v>42047</v>
      </c>
      <c r="H363" s="111">
        <v>368.22</v>
      </c>
      <c r="I363" s="266">
        <v>0</v>
      </c>
      <c r="J363" s="295">
        <v>1</v>
      </c>
      <c r="K363" s="111">
        <f t="shared" si="18"/>
        <v>3.6822000000000004</v>
      </c>
      <c r="L363" s="29">
        <f t="shared" si="19"/>
        <v>29</v>
      </c>
      <c r="P363" s="147">
        <v>0</v>
      </c>
      <c r="Q363" s="29">
        <v>0</v>
      </c>
      <c r="R363" s="29">
        <v>66.28</v>
      </c>
      <c r="S363" s="29">
        <v>434.5</v>
      </c>
      <c r="T363" s="29">
        <v>0</v>
      </c>
    </row>
    <row r="364" spans="2:20">
      <c r="B364" s="111">
        <v>4</v>
      </c>
      <c r="C364" s="111">
        <v>20757</v>
      </c>
      <c r="D364" s="111" t="s">
        <v>759</v>
      </c>
      <c r="E364" s="111" t="s">
        <v>448</v>
      </c>
      <c r="F364" s="265">
        <v>42018</v>
      </c>
      <c r="G364" s="265">
        <v>42056</v>
      </c>
      <c r="H364" s="111">
        <v>1113.67</v>
      </c>
      <c r="I364" s="266">
        <v>0</v>
      </c>
      <c r="J364" s="295">
        <v>1</v>
      </c>
      <c r="K364" s="111">
        <f t="shared" si="18"/>
        <v>11.136700000000001</v>
      </c>
      <c r="L364" s="29">
        <f t="shared" si="19"/>
        <v>38</v>
      </c>
      <c r="P364" s="147">
        <v>0</v>
      </c>
      <c r="Q364" s="29">
        <v>0</v>
      </c>
      <c r="R364" s="29">
        <v>200.46</v>
      </c>
      <c r="S364" s="29">
        <v>1314.13</v>
      </c>
      <c r="T364" s="29">
        <v>0</v>
      </c>
    </row>
    <row r="365" spans="2:20">
      <c r="B365" s="111">
        <v>4</v>
      </c>
      <c r="C365" s="111">
        <v>20759</v>
      </c>
      <c r="D365" s="111" t="s">
        <v>758</v>
      </c>
      <c r="E365" s="111" t="s">
        <v>448</v>
      </c>
      <c r="F365" s="265">
        <v>42018</v>
      </c>
      <c r="G365" s="265">
        <v>42053</v>
      </c>
      <c r="H365" s="111">
        <v>406.1</v>
      </c>
      <c r="I365" s="266">
        <v>0</v>
      </c>
      <c r="J365" s="295">
        <v>1</v>
      </c>
      <c r="K365" s="111">
        <f t="shared" si="18"/>
        <v>4.0609999999999999</v>
      </c>
      <c r="L365" s="29">
        <f t="shared" si="19"/>
        <v>35</v>
      </c>
      <c r="P365" s="147">
        <v>0</v>
      </c>
      <c r="Q365" s="29">
        <v>0</v>
      </c>
      <c r="R365" s="29">
        <v>73.099999999999994</v>
      </c>
      <c r="S365" s="29">
        <v>479.2</v>
      </c>
      <c r="T365" s="29">
        <v>0</v>
      </c>
    </row>
    <row r="366" spans="2:20">
      <c r="B366" s="111">
        <v>4</v>
      </c>
      <c r="C366" s="111">
        <v>20761</v>
      </c>
      <c r="D366" s="111" t="s">
        <v>758</v>
      </c>
      <c r="E366" s="111" t="s">
        <v>448</v>
      </c>
      <c r="F366" s="265">
        <v>42018</v>
      </c>
      <c r="G366" s="265">
        <v>42053</v>
      </c>
      <c r="H366" s="111">
        <v>3005.68</v>
      </c>
      <c r="I366" s="266">
        <v>0</v>
      </c>
      <c r="J366" s="295">
        <v>1</v>
      </c>
      <c r="K366" s="111">
        <f t="shared" si="18"/>
        <v>30.056799999999999</v>
      </c>
      <c r="L366" s="29">
        <f t="shared" si="19"/>
        <v>35</v>
      </c>
      <c r="P366" s="147">
        <v>0</v>
      </c>
      <c r="Q366" s="29">
        <v>0</v>
      </c>
      <c r="R366" s="29">
        <v>541.02</v>
      </c>
      <c r="S366" s="29">
        <v>3546.7</v>
      </c>
      <c r="T366" s="29">
        <v>0</v>
      </c>
    </row>
    <row r="367" spans="2:20">
      <c r="B367" s="111">
        <v>4</v>
      </c>
      <c r="C367" s="111">
        <v>20764</v>
      </c>
      <c r="D367" s="111" t="s">
        <v>757</v>
      </c>
      <c r="E367" s="111" t="s">
        <v>448</v>
      </c>
      <c r="F367" s="265">
        <v>42018</v>
      </c>
      <c r="G367" s="265">
        <v>42047</v>
      </c>
      <c r="H367" s="111">
        <v>190.83</v>
      </c>
      <c r="I367" s="266">
        <v>181.55084745762699</v>
      </c>
      <c r="J367" s="295">
        <v>1</v>
      </c>
      <c r="K367" s="111">
        <f t="shared" si="18"/>
        <v>9.2791525423730259E-2</v>
      </c>
      <c r="L367" s="29">
        <f t="shared" si="19"/>
        <v>29</v>
      </c>
      <c r="P367" s="147">
        <v>181.55084745762699</v>
      </c>
      <c r="Q367" s="29">
        <v>0</v>
      </c>
      <c r="R367" s="29">
        <v>34.35</v>
      </c>
      <c r="S367" s="29">
        <v>225.18</v>
      </c>
      <c r="T367" s="29">
        <v>214.23</v>
      </c>
    </row>
    <row r="368" spans="2:20">
      <c r="B368" s="111">
        <v>4</v>
      </c>
      <c r="C368" s="111">
        <v>20785</v>
      </c>
      <c r="D368" s="111" t="s">
        <v>767</v>
      </c>
      <c r="E368" s="111" t="s">
        <v>448</v>
      </c>
      <c r="F368" s="265">
        <v>42018</v>
      </c>
      <c r="G368" s="265">
        <v>42042</v>
      </c>
      <c r="H368" s="111">
        <v>499.18</v>
      </c>
      <c r="I368" s="266">
        <v>0</v>
      </c>
      <c r="J368" s="295">
        <v>1</v>
      </c>
      <c r="K368" s="111">
        <f t="shared" si="18"/>
        <v>4.9918000000000005</v>
      </c>
      <c r="L368" s="29">
        <f t="shared" si="19"/>
        <v>24</v>
      </c>
      <c r="P368" s="147">
        <v>0</v>
      </c>
      <c r="Q368" s="29">
        <v>0</v>
      </c>
      <c r="R368" s="29">
        <v>89.85</v>
      </c>
      <c r="S368" s="29">
        <v>589.03</v>
      </c>
      <c r="T368" s="29">
        <v>0</v>
      </c>
    </row>
    <row r="369" spans="2:20">
      <c r="B369" s="111">
        <v>4</v>
      </c>
      <c r="C369" s="111">
        <v>20804</v>
      </c>
      <c r="D369" s="111" t="s">
        <v>758</v>
      </c>
      <c r="E369" s="111" t="s">
        <v>448</v>
      </c>
      <c r="F369" s="265">
        <v>42019</v>
      </c>
      <c r="G369" s="265">
        <v>42054</v>
      </c>
      <c r="H369" s="111">
        <v>1828.14</v>
      </c>
      <c r="I369" s="266">
        <v>512.35593220339001</v>
      </c>
      <c r="J369" s="295">
        <v>1</v>
      </c>
      <c r="K369" s="111">
        <f t="shared" si="18"/>
        <v>13.157840677966101</v>
      </c>
      <c r="L369" s="29">
        <f t="shared" si="19"/>
        <v>35</v>
      </c>
      <c r="P369" s="147">
        <v>512.35593220339001</v>
      </c>
      <c r="Q369" s="29">
        <v>0</v>
      </c>
      <c r="R369" s="29">
        <v>329.07</v>
      </c>
      <c r="S369" s="29">
        <v>2157.21</v>
      </c>
      <c r="T369" s="29">
        <v>604.58000000000004</v>
      </c>
    </row>
    <row r="370" spans="2:20">
      <c r="B370" s="111">
        <v>4</v>
      </c>
      <c r="C370" s="111">
        <v>20844</v>
      </c>
      <c r="D370" s="111" t="s">
        <v>759</v>
      </c>
      <c r="E370" s="111" t="s">
        <v>448</v>
      </c>
      <c r="F370" s="265">
        <v>42019</v>
      </c>
      <c r="G370" s="265">
        <v>42056</v>
      </c>
      <c r="H370" s="111">
        <v>880.65</v>
      </c>
      <c r="I370" s="266">
        <v>0</v>
      </c>
      <c r="J370" s="295">
        <v>1</v>
      </c>
      <c r="K370" s="111">
        <f t="shared" si="18"/>
        <v>8.8064999999999998</v>
      </c>
      <c r="L370" s="29">
        <f t="shared" si="19"/>
        <v>37</v>
      </c>
      <c r="P370" s="147">
        <v>0</v>
      </c>
      <c r="Q370" s="29">
        <v>0</v>
      </c>
      <c r="R370" s="29">
        <v>158.52000000000001</v>
      </c>
      <c r="S370" s="29">
        <v>1039.17</v>
      </c>
      <c r="T370" s="29">
        <v>0</v>
      </c>
    </row>
    <row r="371" spans="2:20">
      <c r="B371" s="111">
        <v>4</v>
      </c>
      <c r="C371" s="111">
        <v>20861</v>
      </c>
      <c r="D371" s="111" t="s">
        <v>767</v>
      </c>
      <c r="E371" s="111" t="s">
        <v>448</v>
      </c>
      <c r="F371" s="265">
        <v>42020</v>
      </c>
      <c r="G371" s="265">
        <v>42042</v>
      </c>
      <c r="H371" s="111">
        <v>695.56</v>
      </c>
      <c r="I371" s="266">
        <v>0</v>
      </c>
      <c r="J371" s="295">
        <v>1</v>
      </c>
      <c r="K371" s="111">
        <f t="shared" si="18"/>
        <v>6.9555999999999996</v>
      </c>
      <c r="L371" s="29">
        <f t="shared" si="19"/>
        <v>22</v>
      </c>
      <c r="P371" s="147">
        <v>0</v>
      </c>
      <c r="Q371" s="29">
        <v>0</v>
      </c>
      <c r="R371" s="29">
        <v>125.2</v>
      </c>
      <c r="S371" s="29">
        <v>820.76</v>
      </c>
      <c r="T371" s="29">
        <v>0</v>
      </c>
    </row>
    <row r="372" spans="2:20">
      <c r="B372" s="111">
        <v>4</v>
      </c>
      <c r="C372" s="111">
        <v>21011</v>
      </c>
      <c r="D372" s="111" t="s">
        <v>758</v>
      </c>
      <c r="E372" s="111" t="s">
        <v>448</v>
      </c>
      <c r="F372" s="265">
        <v>42024</v>
      </c>
      <c r="G372" s="265">
        <v>42062</v>
      </c>
      <c r="H372" s="111">
        <v>324.55</v>
      </c>
      <c r="I372" s="266">
        <v>0</v>
      </c>
      <c r="J372" s="295">
        <v>1</v>
      </c>
      <c r="K372" s="111">
        <f t="shared" si="18"/>
        <v>3.2455000000000003</v>
      </c>
      <c r="L372" s="29">
        <f t="shared" si="19"/>
        <v>38</v>
      </c>
      <c r="P372" s="147">
        <v>0</v>
      </c>
      <c r="Q372" s="29">
        <v>0</v>
      </c>
      <c r="R372" s="29">
        <v>58.42</v>
      </c>
      <c r="S372" s="29">
        <v>382.97</v>
      </c>
      <c r="T372" s="29">
        <v>0</v>
      </c>
    </row>
    <row r="373" spans="2:20">
      <c r="B373" s="111">
        <v>4</v>
      </c>
      <c r="C373" s="111">
        <v>21015</v>
      </c>
      <c r="D373" s="111" t="s">
        <v>758</v>
      </c>
      <c r="E373" s="111" t="s">
        <v>448</v>
      </c>
      <c r="F373" s="265">
        <v>42024</v>
      </c>
      <c r="G373" s="265">
        <v>42062</v>
      </c>
      <c r="H373" s="111">
        <v>464.1</v>
      </c>
      <c r="I373" s="266">
        <v>0</v>
      </c>
      <c r="J373" s="295">
        <v>1</v>
      </c>
      <c r="K373" s="111">
        <f t="shared" si="18"/>
        <v>4.641</v>
      </c>
      <c r="L373" s="29">
        <f t="shared" si="19"/>
        <v>38</v>
      </c>
      <c r="P373" s="147">
        <v>0</v>
      </c>
      <c r="Q373" s="29">
        <v>0</v>
      </c>
      <c r="R373" s="29">
        <v>83.54</v>
      </c>
      <c r="S373" s="29">
        <v>547.64</v>
      </c>
      <c r="T373" s="29">
        <v>0</v>
      </c>
    </row>
    <row r="374" spans="2:20">
      <c r="B374" s="111">
        <v>4</v>
      </c>
      <c r="C374" s="111">
        <v>21098</v>
      </c>
      <c r="D374" s="111" t="s">
        <v>758</v>
      </c>
      <c r="E374" s="111" t="s">
        <v>448</v>
      </c>
      <c r="F374" s="265">
        <v>42025</v>
      </c>
      <c r="G374" s="265">
        <v>42062</v>
      </c>
      <c r="H374" s="111">
        <v>5574.68</v>
      </c>
      <c r="I374" s="266">
        <v>0</v>
      </c>
      <c r="J374" s="295">
        <v>1</v>
      </c>
      <c r="K374" s="111">
        <f t="shared" si="18"/>
        <v>55.746800000000007</v>
      </c>
      <c r="L374" s="29">
        <f t="shared" si="19"/>
        <v>37</v>
      </c>
      <c r="P374" s="147">
        <v>0</v>
      </c>
      <c r="Q374" s="29">
        <v>0</v>
      </c>
      <c r="R374" s="29">
        <v>1003.44</v>
      </c>
      <c r="S374" s="29">
        <v>6578.12</v>
      </c>
      <c r="T374" s="29">
        <v>0</v>
      </c>
    </row>
    <row r="375" spans="2:20">
      <c r="B375" s="111">
        <v>4</v>
      </c>
      <c r="C375" s="111">
        <v>21099</v>
      </c>
      <c r="D375" s="111" t="s">
        <v>758</v>
      </c>
      <c r="E375" s="111" t="s">
        <v>448</v>
      </c>
      <c r="F375" s="265">
        <v>42025</v>
      </c>
      <c r="G375" s="265">
        <v>42062</v>
      </c>
      <c r="H375" s="111">
        <v>573.6</v>
      </c>
      <c r="I375" s="266">
        <v>0</v>
      </c>
      <c r="J375" s="295">
        <v>1</v>
      </c>
      <c r="K375" s="111">
        <f t="shared" si="18"/>
        <v>5.7360000000000007</v>
      </c>
      <c r="L375" s="29">
        <f t="shared" si="19"/>
        <v>37</v>
      </c>
      <c r="P375" s="147">
        <v>0</v>
      </c>
      <c r="Q375" s="29">
        <v>0</v>
      </c>
      <c r="R375" s="29">
        <v>103.25</v>
      </c>
      <c r="S375" s="29">
        <v>676.85</v>
      </c>
      <c r="T375" s="29">
        <v>0</v>
      </c>
    </row>
    <row r="376" spans="2:20">
      <c r="B376" s="111">
        <v>4</v>
      </c>
      <c r="C376" s="111">
        <v>21101</v>
      </c>
      <c r="D376" s="111" t="s">
        <v>758</v>
      </c>
      <c r="E376" s="111" t="s">
        <v>448</v>
      </c>
      <c r="F376" s="265">
        <v>42025</v>
      </c>
      <c r="G376" s="265">
        <v>42062</v>
      </c>
      <c r="H376" s="111">
        <v>379.85</v>
      </c>
      <c r="I376" s="266">
        <v>160.56779661016901</v>
      </c>
      <c r="J376" s="295">
        <v>1</v>
      </c>
      <c r="K376" s="111">
        <f t="shared" si="18"/>
        <v>2.19282203389831</v>
      </c>
      <c r="L376" s="29">
        <f t="shared" si="19"/>
        <v>37</v>
      </c>
      <c r="P376" s="147">
        <v>160.56779661016901</v>
      </c>
      <c r="Q376" s="29">
        <v>0</v>
      </c>
      <c r="R376" s="29">
        <v>68.37</v>
      </c>
      <c r="S376" s="29">
        <v>448.22</v>
      </c>
      <c r="T376" s="29">
        <v>189.47</v>
      </c>
    </row>
    <row r="377" spans="2:20">
      <c r="B377" s="111">
        <v>4</v>
      </c>
      <c r="C377" s="111">
        <v>21127</v>
      </c>
      <c r="D377" s="111" t="s">
        <v>758</v>
      </c>
      <c r="E377" s="111" t="s">
        <v>448</v>
      </c>
      <c r="F377" s="265">
        <v>42025</v>
      </c>
      <c r="G377" s="265">
        <v>42062</v>
      </c>
      <c r="H377" s="111">
        <v>1016.44</v>
      </c>
      <c r="I377" s="266">
        <v>0</v>
      </c>
      <c r="J377" s="295">
        <v>1</v>
      </c>
      <c r="K377" s="111">
        <f t="shared" si="18"/>
        <v>10.164400000000001</v>
      </c>
      <c r="L377" s="29">
        <f t="shared" si="19"/>
        <v>37</v>
      </c>
      <c r="P377" s="147">
        <v>0</v>
      </c>
      <c r="Q377" s="29">
        <v>0</v>
      </c>
      <c r="R377" s="29">
        <v>182.96</v>
      </c>
      <c r="S377" s="29">
        <v>1199.4000000000001</v>
      </c>
      <c r="T377" s="29">
        <v>0</v>
      </c>
    </row>
    <row r="378" spans="2:20">
      <c r="B378" s="111">
        <v>4</v>
      </c>
      <c r="C378" s="111">
        <v>21174</v>
      </c>
      <c r="D378" s="111" t="s">
        <v>758</v>
      </c>
      <c r="E378" s="111" t="s">
        <v>448</v>
      </c>
      <c r="F378" s="265">
        <v>42026</v>
      </c>
      <c r="G378" s="265">
        <v>42062</v>
      </c>
      <c r="H378" s="111">
        <v>1935.52</v>
      </c>
      <c r="I378" s="266">
        <v>0</v>
      </c>
      <c r="J378" s="295">
        <v>1</v>
      </c>
      <c r="K378" s="111">
        <f t="shared" si="18"/>
        <v>19.3552</v>
      </c>
      <c r="L378" s="29">
        <f t="shared" si="19"/>
        <v>36</v>
      </c>
      <c r="P378" s="147">
        <v>0</v>
      </c>
      <c r="Q378" s="29">
        <v>0</v>
      </c>
      <c r="R378" s="29">
        <v>348.39</v>
      </c>
      <c r="S378" s="29">
        <v>2283.91</v>
      </c>
      <c r="T378" s="29">
        <v>0</v>
      </c>
    </row>
    <row r="379" spans="2:20">
      <c r="B379" s="111">
        <v>4</v>
      </c>
      <c r="C379" s="111">
        <v>21185</v>
      </c>
      <c r="D379" s="111" t="s">
        <v>758</v>
      </c>
      <c r="E379" s="111" t="s">
        <v>448</v>
      </c>
      <c r="F379" s="265">
        <v>42026</v>
      </c>
      <c r="G379" s="265">
        <v>42062</v>
      </c>
      <c r="H379" s="111">
        <v>4370.28</v>
      </c>
      <c r="I379" s="266">
        <v>0</v>
      </c>
      <c r="J379" s="295">
        <v>1</v>
      </c>
      <c r="K379" s="111">
        <f t="shared" si="18"/>
        <v>43.702799999999996</v>
      </c>
      <c r="L379" s="29">
        <f t="shared" si="19"/>
        <v>36</v>
      </c>
      <c r="P379" s="147">
        <v>0</v>
      </c>
      <c r="Q379" s="29">
        <v>0</v>
      </c>
      <c r="R379" s="29">
        <v>786.65</v>
      </c>
      <c r="S379" s="29">
        <v>5156.93</v>
      </c>
      <c r="T379" s="29">
        <v>0</v>
      </c>
    </row>
    <row r="380" spans="2:20">
      <c r="B380" s="111">
        <v>4</v>
      </c>
      <c r="C380" s="111">
        <v>21186</v>
      </c>
      <c r="D380" s="111" t="s">
        <v>758</v>
      </c>
      <c r="E380" s="111" t="s">
        <v>448</v>
      </c>
      <c r="F380" s="265">
        <v>42026</v>
      </c>
      <c r="G380" s="265">
        <v>42062</v>
      </c>
      <c r="H380" s="111">
        <v>4227.24</v>
      </c>
      <c r="I380" s="266">
        <v>0</v>
      </c>
      <c r="J380" s="295">
        <v>1</v>
      </c>
      <c r="K380" s="111">
        <f t="shared" ref="K380:K389" si="20">(H380-I380)*J380%</f>
        <v>42.272399999999998</v>
      </c>
      <c r="L380" s="29">
        <f t="shared" ref="L380:L402" si="21">G380-F380</f>
        <v>36</v>
      </c>
      <c r="P380" s="147">
        <v>0</v>
      </c>
      <c r="Q380" s="29">
        <v>0</v>
      </c>
      <c r="R380" s="29">
        <v>760.9</v>
      </c>
      <c r="S380" s="29">
        <v>4988.1400000000003</v>
      </c>
      <c r="T380" s="29">
        <v>0</v>
      </c>
    </row>
    <row r="381" spans="2:20">
      <c r="B381" s="111">
        <v>4</v>
      </c>
      <c r="C381" s="111">
        <v>21195</v>
      </c>
      <c r="D381" s="111" t="s">
        <v>758</v>
      </c>
      <c r="E381" s="111" t="s">
        <v>448</v>
      </c>
      <c r="F381" s="265">
        <v>42026</v>
      </c>
      <c r="G381" s="265">
        <v>42062</v>
      </c>
      <c r="H381" s="111">
        <v>528.16999999999996</v>
      </c>
      <c r="I381" s="266">
        <v>0</v>
      </c>
      <c r="J381" s="295">
        <v>1</v>
      </c>
      <c r="K381" s="111">
        <f t="shared" si="20"/>
        <v>5.2816999999999998</v>
      </c>
      <c r="L381" s="29">
        <f t="shared" si="21"/>
        <v>36</v>
      </c>
      <c r="P381" s="147">
        <v>0</v>
      </c>
      <c r="Q381" s="29">
        <v>0</v>
      </c>
      <c r="R381" s="29">
        <v>95.07</v>
      </c>
      <c r="S381" s="29">
        <v>623.24</v>
      </c>
      <c r="T381" s="29">
        <v>0</v>
      </c>
    </row>
    <row r="382" spans="2:20">
      <c r="B382" s="111">
        <v>4</v>
      </c>
      <c r="C382" s="111">
        <v>21222</v>
      </c>
      <c r="D382" s="111" t="s">
        <v>758</v>
      </c>
      <c r="E382" s="111" t="s">
        <v>448</v>
      </c>
      <c r="F382" s="265">
        <v>42026</v>
      </c>
      <c r="G382" s="265">
        <v>42062</v>
      </c>
      <c r="H382" s="111">
        <v>9358.25</v>
      </c>
      <c r="I382" s="266">
        <v>0</v>
      </c>
      <c r="J382" s="295">
        <v>1</v>
      </c>
      <c r="K382" s="111">
        <f t="shared" si="20"/>
        <v>93.582499999999996</v>
      </c>
      <c r="L382" s="29">
        <f t="shared" si="21"/>
        <v>36</v>
      </c>
      <c r="P382" s="147">
        <v>0</v>
      </c>
      <c r="Q382" s="29">
        <v>0</v>
      </c>
      <c r="R382" s="29">
        <v>1684.49</v>
      </c>
      <c r="S382" s="29">
        <v>11042.74</v>
      </c>
      <c r="T382" s="29">
        <v>0</v>
      </c>
    </row>
    <row r="383" spans="2:20">
      <c r="B383" s="111">
        <v>4</v>
      </c>
      <c r="C383" s="111">
        <v>21298</v>
      </c>
      <c r="D383" s="111" t="s">
        <v>758</v>
      </c>
      <c r="E383" s="111" t="s">
        <v>448</v>
      </c>
      <c r="F383" s="265">
        <v>42027</v>
      </c>
      <c r="G383" s="265">
        <v>42062</v>
      </c>
      <c r="H383" s="111">
        <v>1417.52</v>
      </c>
      <c r="I383" s="266">
        <v>0</v>
      </c>
      <c r="J383" s="295">
        <v>1</v>
      </c>
      <c r="K383" s="111">
        <f t="shared" si="20"/>
        <v>14.1752</v>
      </c>
      <c r="L383" s="29">
        <f t="shared" si="21"/>
        <v>35</v>
      </c>
      <c r="P383" s="147">
        <v>0</v>
      </c>
      <c r="Q383" s="29">
        <v>0</v>
      </c>
      <c r="R383" s="29">
        <v>255.15</v>
      </c>
      <c r="S383" s="29">
        <v>1672.67</v>
      </c>
      <c r="T383" s="29">
        <v>0</v>
      </c>
    </row>
    <row r="384" spans="2:20">
      <c r="B384" s="111">
        <v>4</v>
      </c>
      <c r="C384" s="111">
        <v>21313</v>
      </c>
      <c r="D384" s="111" t="s">
        <v>758</v>
      </c>
      <c r="E384" s="111" t="s">
        <v>448</v>
      </c>
      <c r="F384" s="265">
        <v>42027</v>
      </c>
      <c r="G384" s="265">
        <v>42062</v>
      </c>
      <c r="H384" s="111">
        <v>4353.83</v>
      </c>
      <c r="I384" s="266">
        <v>0</v>
      </c>
      <c r="J384" s="295">
        <v>1</v>
      </c>
      <c r="K384" s="111">
        <f t="shared" si="20"/>
        <v>43.5383</v>
      </c>
      <c r="L384" s="29">
        <f t="shared" si="21"/>
        <v>35</v>
      </c>
      <c r="P384" s="147">
        <v>0</v>
      </c>
      <c r="Q384" s="29">
        <v>0</v>
      </c>
      <c r="R384" s="29">
        <v>783.69</v>
      </c>
      <c r="S384" s="29">
        <v>5137.5200000000004</v>
      </c>
      <c r="T384" s="29">
        <v>0</v>
      </c>
    </row>
    <row r="385" spans="2:20">
      <c r="B385" s="111">
        <v>4</v>
      </c>
      <c r="C385" s="111">
        <v>21322</v>
      </c>
      <c r="D385" s="111" t="s">
        <v>758</v>
      </c>
      <c r="E385" s="111" t="s">
        <v>448</v>
      </c>
      <c r="F385" s="265">
        <v>42027</v>
      </c>
      <c r="G385" s="265">
        <v>42062</v>
      </c>
      <c r="H385" s="111">
        <v>487.32</v>
      </c>
      <c r="I385" s="266">
        <v>0</v>
      </c>
      <c r="J385" s="295">
        <v>1</v>
      </c>
      <c r="K385" s="111">
        <f t="shared" si="20"/>
        <v>4.8731999999999998</v>
      </c>
      <c r="L385" s="29">
        <f t="shared" si="21"/>
        <v>35</v>
      </c>
      <c r="P385" s="147">
        <v>0</v>
      </c>
      <c r="Q385" s="29">
        <v>0</v>
      </c>
      <c r="R385" s="29">
        <v>87.72</v>
      </c>
      <c r="S385" s="29">
        <v>575.04</v>
      </c>
      <c r="T385" s="29">
        <v>0</v>
      </c>
    </row>
    <row r="386" spans="2:20">
      <c r="B386" s="111">
        <v>4</v>
      </c>
      <c r="C386" s="111">
        <v>21388</v>
      </c>
      <c r="D386" s="111" t="s">
        <v>758</v>
      </c>
      <c r="E386" s="111" t="s">
        <v>448</v>
      </c>
      <c r="F386" s="265">
        <v>42030</v>
      </c>
      <c r="G386" s="265">
        <v>42062</v>
      </c>
      <c r="H386" s="111">
        <v>1286.1199999999999</v>
      </c>
      <c r="I386" s="266">
        <v>0</v>
      </c>
      <c r="J386" s="295">
        <v>1</v>
      </c>
      <c r="K386" s="111">
        <f t="shared" si="20"/>
        <v>12.861199999999998</v>
      </c>
      <c r="L386" s="29">
        <f t="shared" si="21"/>
        <v>32</v>
      </c>
      <c r="P386" s="147">
        <v>0</v>
      </c>
      <c r="Q386" s="29">
        <v>0</v>
      </c>
      <c r="R386" s="29">
        <v>231.5</v>
      </c>
      <c r="S386" s="29">
        <v>1517.62</v>
      </c>
      <c r="T386" s="29">
        <v>0</v>
      </c>
    </row>
    <row r="387" spans="2:20">
      <c r="B387" s="111">
        <v>4</v>
      </c>
      <c r="C387" s="111">
        <v>21533</v>
      </c>
      <c r="D387" s="111" t="s">
        <v>758</v>
      </c>
      <c r="E387" s="111" t="s">
        <v>448</v>
      </c>
      <c r="F387" s="265">
        <v>42032</v>
      </c>
      <c r="G387" s="265">
        <v>42062</v>
      </c>
      <c r="H387" s="111">
        <v>2030.5</v>
      </c>
      <c r="I387" s="266">
        <v>0</v>
      </c>
      <c r="J387" s="295">
        <v>1</v>
      </c>
      <c r="K387" s="111">
        <f t="shared" si="20"/>
        <v>20.305</v>
      </c>
      <c r="L387" s="29">
        <f t="shared" si="21"/>
        <v>30</v>
      </c>
      <c r="P387" s="147">
        <v>0</v>
      </c>
      <c r="Q387" s="29">
        <v>0</v>
      </c>
      <c r="R387" s="29">
        <v>365.49</v>
      </c>
      <c r="S387" s="29">
        <v>2395.9899999999998</v>
      </c>
      <c r="T387" s="29">
        <v>0</v>
      </c>
    </row>
    <row r="388" spans="2:20">
      <c r="B388" s="111">
        <v>4</v>
      </c>
      <c r="C388" s="111">
        <v>21543</v>
      </c>
      <c r="D388" s="111" t="s">
        <v>758</v>
      </c>
      <c r="E388" s="111" t="s">
        <v>448</v>
      </c>
      <c r="F388" s="265">
        <v>42032</v>
      </c>
      <c r="G388" s="265">
        <v>42062</v>
      </c>
      <c r="H388" s="111">
        <v>9983.1299999999992</v>
      </c>
      <c r="I388" s="266">
        <v>0</v>
      </c>
      <c r="J388" s="295">
        <v>1</v>
      </c>
      <c r="K388" s="111">
        <f t="shared" si="20"/>
        <v>99.831299999999999</v>
      </c>
      <c r="L388" s="29">
        <f t="shared" si="21"/>
        <v>30</v>
      </c>
      <c r="P388" s="147">
        <v>0</v>
      </c>
      <c r="Q388" s="29">
        <v>0</v>
      </c>
      <c r="R388" s="29">
        <v>1796.96</v>
      </c>
      <c r="S388" s="29">
        <v>11780.09</v>
      </c>
      <c r="T388" s="29">
        <v>0</v>
      </c>
    </row>
    <row r="389" spans="2:20">
      <c r="B389" s="111">
        <v>4</v>
      </c>
      <c r="C389" s="111">
        <v>21650</v>
      </c>
      <c r="D389" s="111" t="s">
        <v>766</v>
      </c>
      <c r="E389" s="111" t="s">
        <v>448</v>
      </c>
      <c r="F389" s="265">
        <v>42034</v>
      </c>
      <c r="G389" s="265">
        <v>42061</v>
      </c>
      <c r="H389" s="111">
        <v>246.33</v>
      </c>
      <c r="I389" s="266">
        <v>0</v>
      </c>
      <c r="J389" s="295">
        <v>1</v>
      </c>
      <c r="K389" s="111">
        <f t="shared" si="20"/>
        <v>2.4633000000000003</v>
      </c>
      <c r="L389" s="29">
        <f t="shared" si="21"/>
        <v>27</v>
      </c>
      <c r="P389" s="147">
        <v>0</v>
      </c>
      <c r="Q389" s="29">
        <v>0</v>
      </c>
      <c r="R389" s="29">
        <v>44.34</v>
      </c>
      <c r="S389" s="29">
        <v>290.67</v>
      </c>
      <c r="T389" s="29">
        <v>0</v>
      </c>
    </row>
    <row r="390" spans="2:20">
      <c r="B390" s="111">
        <v>4</v>
      </c>
      <c r="C390" s="111">
        <v>21754</v>
      </c>
      <c r="D390" s="111" t="s">
        <v>761</v>
      </c>
      <c r="E390" s="111" t="s">
        <v>448</v>
      </c>
      <c r="F390" s="265">
        <v>42035</v>
      </c>
      <c r="G390" s="265">
        <v>42044</v>
      </c>
      <c r="H390" s="111">
        <v>24073.77</v>
      </c>
      <c r="I390" s="266">
        <v>0</v>
      </c>
      <c r="J390" s="295">
        <v>0.5</v>
      </c>
      <c r="K390" s="111">
        <v>142.38999999999999</v>
      </c>
      <c r="L390" s="29">
        <f t="shared" si="21"/>
        <v>9</v>
      </c>
      <c r="P390" s="147">
        <v>0</v>
      </c>
      <c r="Q390" s="29">
        <v>0</v>
      </c>
      <c r="R390" s="29">
        <v>4333.28</v>
      </c>
      <c r="S390" s="29">
        <v>28407.05</v>
      </c>
      <c r="T390" s="29">
        <v>0</v>
      </c>
    </row>
    <row r="391" spans="2:20">
      <c r="B391" s="111">
        <v>4</v>
      </c>
      <c r="C391" s="111">
        <v>21755</v>
      </c>
      <c r="D391" s="111" t="s">
        <v>764</v>
      </c>
      <c r="E391" s="111" t="s">
        <v>448</v>
      </c>
      <c r="F391" s="265">
        <v>42035</v>
      </c>
      <c r="G391" s="265">
        <v>42044</v>
      </c>
      <c r="H391" s="111">
        <v>45001.5</v>
      </c>
      <c r="I391" s="266">
        <v>0</v>
      </c>
      <c r="J391" s="295">
        <v>0.5</v>
      </c>
      <c r="K391" s="111">
        <v>250.5</v>
      </c>
      <c r="L391" s="29">
        <f t="shared" si="21"/>
        <v>9</v>
      </c>
      <c r="P391" s="147">
        <v>0</v>
      </c>
      <c r="Q391" s="29">
        <v>0</v>
      </c>
      <c r="R391" s="29">
        <v>8100.27</v>
      </c>
      <c r="S391" s="29">
        <v>53101.77</v>
      </c>
      <c r="T391" s="29">
        <v>0</v>
      </c>
    </row>
    <row r="392" spans="2:20">
      <c r="B392" s="111">
        <v>4</v>
      </c>
      <c r="C392" s="111">
        <v>21780</v>
      </c>
      <c r="D392" s="111" t="s">
        <v>764</v>
      </c>
      <c r="E392" s="111" t="s">
        <v>448</v>
      </c>
      <c r="F392" s="265">
        <v>42035</v>
      </c>
      <c r="G392" s="265">
        <v>42044</v>
      </c>
      <c r="H392" s="111">
        <v>2881</v>
      </c>
      <c r="I392" s="266">
        <v>0</v>
      </c>
      <c r="J392" s="295">
        <v>1</v>
      </c>
      <c r="K392" s="111">
        <f t="shared" ref="K392:K402" si="22">(H392-I392)*J392%</f>
        <v>28.810000000000002</v>
      </c>
      <c r="L392" s="29">
        <f t="shared" si="21"/>
        <v>9</v>
      </c>
      <c r="P392" s="147">
        <v>0</v>
      </c>
      <c r="Q392" s="29">
        <v>0</v>
      </c>
      <c r="R392" s="29">
        <v>518.58000000000004</v>
      </c>
      <c r="S392" s="29">
        <v>3399.58</v>
      </c>
      <c r="T392" s="29">
        <v>0</v>
      </c>
    </row>
    <row r="393" spans="2:20">
      <c r="B393" s="111">
        <v>4</v>
      </c>
      <c r="C393" s="111">
        <v>21854</v>
      </c>
      <c r="D393" s="111" t="s">
        <v>772</v>
      </c>
      <c r="E393" s="111" t="s">
        <v>448</v>
      </c>
      <c r="F393" s="265">
        <v>42038</v>
      </c>
      <c r="G393" s="265">
        <v>42045</v>
      </c>
      <c r="H393" s="111">
        <v>4068</v>
      </c>
      <c r="I393" s="266">
        <v>0</v>
      </c>
      <c r="J393" s="295">
        <v>0.5</v>
      </c>
      <c r="K393" s="111">
        <f t="shared" si="22"/>
        <v>20.34</v>
      </c>
      <c r="L393" s="29">
        <f t="shared" si="21"/>
        <v>7</v>
      </c>
      <c r="P393" s="147">
        <v>0</v>
      </c>
      <c r="Q393" s="29">
        <v>0</v>
      </c>
      <c r="R393" s="29">
        <v>732.24</v>
      </c>
      <c r="S393" s="29">
        <v>4800.24</v>
      </c>
      <c r="T393" s="29">
        <v>0</v>
      </c>
    </row>
    <row r="394" spans="2:20">
      <c r="B394" s="111">
        <v>4</v>
      </c>
      <c r="C394" s="111">
        <v>21875</v>
      </c>
      <c r="D394" s="111" t="s">
        <v>772</v>
      </c>
      <c r="E394" s="111" t="s">
        <v>448</v>
      </c>
      <c r="F394" s="265">
        <v>42038</v>
      </c>
      <c r="G394" s="265">
        <v>42045</v>
      </c>
      <c r="H394" s="111">
        <v>2712</v>
      </c>
      <c r="I394" s="266">
        <v>0</v>
      </c>
      <c r="J394" s="295">
        <v>0.5</v>
      </c>
      <c r="K394" s="111">
        <f t="shared" si="22"/>
        <v>13.56</v>
      </c>
      <c r="L394" s="29">
        <f t="shared" si="21"/>
        <v>7</v>
      </c>
      <c r="P394" s="147">
        <v>0</v>
      </c>
      <c r="Q394" s="29">
        <v>0</v>
      </c>
      <c r="R394" s="29">
        <v>488.16</v>
      </c>
      <c r="S394" s="29">
        <v>3200.16</v>
      </c>
      <c r="T394" s="29">
        <v>0</v>
      </c>
    </row>
    <row r="395" spans="2:20">
      <c r="B395" s="111">
        <v>4</v>
      </c>
      <c r="C395" s="111">
        <v>21899</v>
      </c>
      <c r="D395" s="111" t="s">
        <v>767</v>
      </c>
      <c r="E395" s="111" t="s">
        <v>448</v>
      </c>
      <c r="F395" s="265">
        <v>42039</v>
      </c>
      <c r="G395" s="265">
        <v>42042</v>
      </c>
      <c r="H395" s="111">
        <v>232.83</v>
      </c>
      <c r="I395" s="266">
        <v>0</v>
      </c>
      <c r="J395" s="295">
        <v>1</v>
      </c>
      <c r="K395" s="111">
        <f t="shared" si="22"/>
        <v>2.3283</v>
      </c>
      <c r="L395" s="29">
        <f t="shared" si="21"/>
        <v>3</v>
      </c>
      <c r="P395" s="147">
        <v>0</v>
      </c>
      <c r="Q395" s="29">
        <v>0</v>
      </c>
      <c r="R395" s="29">
        <v>41.91</v>
      </c>
      <c r="S395" s="29">
        <v>274.74</v>
      </c>
      <c r="T395" s="29">
        <v>0</v>
      </c>
    </row>
    <row r="396" spans="2:20">
      <c r="B396" s="111">
        <v>4</v>
      </c>
      <c r="C396" s="111">
        <v>21930</v>
      </c>
      <c r="D396" s="111" t="s">
        <v>767</v>
      </c>
      <c r="E396" s="111" t="s">
        <v>448</v>
      </c>
      <c r="F396" s="265">
        <v>42040</v>
      </c>
      <c r="G396" s="265">
        <v>42042</v>
      </c>
      <c r="H396" s="111">
        <v>104.4</v>
      </c>
      <c r="I396" s="266">
        <v>0</v>
      </c>
      <c r="J396" s="295">
        <v>1</v>
      </c>
      <c r="K396" s="111">
        <f t="shared" si="22"/>
        <v>1.044</v>
      </c>
      <c r="L396" s="29">
        <f t="shared" si="21"/>
        <v>2</v>
      </c>
      <c r="P396" s="147">
        <v>0</v>
      </c>
      <c r="Q396" s="29">
        <v>0</v>
      </c>
      <c r="R396" s="29">
        <v>18.79</v>
      </c>
      <c r="S396" s="29">
        <v>123.19</v>
      </c>
      <c r="T396" s="29">
        <v>0</v>
      </c>
    </row>
    <row r="397" spans="2:20">
      <c r="B397" s="111">
        <v>4</v>
      </c>
      <c r="C397" s="111">
        <v>22224</v>
      </c>
      <c r="D397" s="111" t="s">
        <v>772</v>
      </c>
      <c r="E397" s="111" t="s">
        <v>448</v>
      </c>
      <c r="F397" s="265">
        <v>42044</v>
      </c>
      <c r="G397" s="265">
        <v>42045</v>
      </c>
      <c r="H397" s="111">
        <v>20340</v>
      </c>
      <c r="I397" s="266">
        <v>0</v>
      </c>
      <c r="J397" s="295">
        <v>0.5</v>
      </c>
      <c r="K397" s="111">
        <f t="shared" si="22"/>
        <v>101.7</v>
      </c>
      <c r="L397" s="29">
        <f t="shared" si="21"/>
        <v>1</v>
      </c>
      <c r="P397" s="147">
        <v>0</v>
      </c>
      <c r="Q397" s="29">
        <v>0</v>
      </c>
      <c r="R397" s="29">
        <v>3661.2</v>
      </c>
      <c r="S397" s="29">
        <v>24001.200000000001</v>
      </c>
      <c r="T397" s="29">
        <v>0</v>
      </c>
    </row>
    <row r="398" spans="2:20">
      <c r="B398" s="111">
        <v>4</v>
      </c>
      <c r="C398" s="111">
        <v>22284</v>
      </c>
      <c r="D398" s="111" t="s">
        <v>767</v>
      </c>
      <c r="E398" s="111" t="s">
        <v>448</v>
      </c>
      <c r="F398" s="265">
        <v>42045</v>
      </c>
      <c r="G398" s="265">
        <v>42051</v>
      </c>
      <c r="H398" s="111">
        <v>389.38</v>
      </c>
      <c r="I398" s="266">
        <v>0</v>
      </c>
      <c r="J398" s="295">
        <v>1</v>
      </c>
      <c r="K398" s="111">
        <f t="shared" si="22"/>
        <v>3.8938000000000001</v>
      </c>
      <c r="L398" s="29">
        <f t="shared" si="21"/>
        <v>6</v>
      </c>
      <c r="P398" s="147">
        <v>0</v>
      </c>
      <c r="Q398" s="29">
        <v>0</v>
      </c>
      <c r="R398" s="29">
        <v>70.09</v>
      </c>
      <c r="S398" s="29">
        <v>459.47</v>
      </c>
      <c r="T398" s="29">
        <v>0</v>
      </c>
    </row>
    <row r="399" spans="2:20">
      <c r="B399" s="111">
        <v>4</v>
      </c>
      <c r="C399" s="111">
        <v>22519</v>
      </c>
      <c r="D399" s="111" t="s">
        <v>767</v>
      </c>
      <c r="E399" s="111" t="s">
        <v>448</v>
      </c>
      <c r="F399" s="265">
        <v>42048</v>
      </c>
      <c r="G399" s="265">
        <v>42051</v>
      </c>
      <c r="H399" s="111">
        <v>346.36</v>
      </c>
      <c r="I399" s="266">
        <v>0</v>
      </c>
      <c r="J399" s="295">
        <v>1</v>
      </c>
      <c r="K399" s="111">
        <f t="shared" si="22"/>
        <v>3.4636</v>
      </c>
      <c r="L399" s="29">
        <f t="shared" si="21"/>
        <v>3</v>
      </c>
      <c r="P399" s="147">
        <v>0</v>
      </c>
      <c r="Q399" s="29">
        <v>0</v>
      </c>
      <c r="R399" s="29">
        <v>62.34</v>
      </c>
      <c r="S399" s="29">
        <v>408.7</v>
      </c>
      <c r="T399" s="29">
        <v>0</v>
      </c>
    </row>
    <row r="400" spans="2:20">
      <c r="B400" s="111">
        <v>4</v>
      </c>
      <c r="C400" s="111">
        <v>22521</v>
      </c>
      <c r="D400" s="111" t="s">
        <v>767</v>
      </c>
      <c r="E400" s="111" t="s">
        <v>448</v>
      </c>
      <c r="F400" s="265">
        <v>42048</v>
      </c>
      <c r="G400" s="265">
        <v>42051</v>
      </c>
      <c r="H400" s="111">
        <v>505.41</v>
      </c>
      <c r="I400" s="266">
        <v>0</v>
      </c>
      <c r="J400" s="295">
        <v>1</v>
      </c>
      <c r="K400" s="111">
        <f t="shared" si="22"/>
        <v>5.0541</v>
      </c>
      <c r="L400" s="29">
        <f t="shared" si="21"/>
        <v>3</v>
      </c>
      <c r="P400" s="147">
        <v>0</v>
      </c>
      <c r="Q400" s="29">
        <v>0</v>
      </c>
      <c r="R400" s="29">
        <v>90.97</v>
      </c>
      <c r="S400" s="29">
        <v>596.38</v>
      </c>
      <c r="T400" s="29">
        <v>0</v>
      </c>
    </row>
    <row r="401" spans="1:22">
      <c r="B401" s="111">
        <v>4</v>
      </c>
      <c r="C401" s="111">
        <v>22603</v>
      </c>
      <c r="D401" s="111" t="s">
        <v>767</v>
      </c>
      <c r="E401" s="111" t="s">
        <v>448</v>
      </c>
      <c r="F401" s="265">
        <v>42049</v>
      </c>
      <c r="G401" s="265">
        <v>42051</v>
      </c>
      <c r="H401" s="111">
        <v>408.66</v>
      </c>
      <c r="I401" s="266">
        <v>0</v>
      </c>
      <c r="J401" s="295">
        <v>1</v>
      </c>
      <c r="K401" s="111">
        <f t="shared" si="22"/>
        <v>4.0866000000000007</v>
      </c>
      <c r="L401" s="29">
        <f t="shared" si="21"/>
        <v>2</v>
      </c>
      <c r="P401" s="147">
        <v>0</v>
      </c>
      <c r="Q401" s="29">
        <v>0</v>
      </c>
      <c r="R401" s="29">
        <v>73.56</v>
      </c>
      <c r="S401" s="29">
        <v>482.22</v>
      </c>
      <c r="T401" s="29">
        <v>0</v>
      </c>
    </row>
    <row r="402" spans="1:22">
      <c r="B402" s="111">
        <v>4</v>
      </c>
      <c r="C402" s="111">
        <v>22980</v>
      </c>
      <c r="D402" s="111" t="s">
        <v>772</v>
      </c>
      <c r="E402" s="111" t="s">
        <v>448</v>
      </c>
      <c r="F402" s="265">
        <v>42055</v>
      </c>
      <c r="G402" s="265">
        <v>42060</v>
      </c>
      <c r="H402" s="111">
        <v>26442</v>
      </c>
      <c r="I402" s="266">
        <v>0</v>
      </c>
      <c r="J402" s="295">
        <v>0.5</v>
      </c>
      <c r="K402" s="111">
        <f t="shared" si="22"/>
        <v>132.21</v>
      </c>
      <c r="L402" s="29">
        <f t="shared" si="21"/>
        <v>5</v>
      </c>
      <c r="P402" s="147">
        <v>0</v>
      </c>
      <c r="Q402" s="29">
        <v>0</v>
      </c>
      <c r="R402" s="29">
        <v>4759.5600000000004</v>
      </c>
      <c r="S402" s="29">
        <v>31201.56</v>
      </c>
      <c r="T402" s="29">
        <v>0</v>
      </c>
    </row>
    <row r="403" spans="1:22">
      <c r="G403" s="111" t="s">
        <v>765</v>
      </c>
      <c r="H403" s="270">
        <f>SUM(H320:H402)</f>
        <v>265250.84999999998</v>
      </c>
      <c r="J403" s="295" t="s">
        <v>383</v>
      </c>
      <c r="K403" s="272">
        <f>SUM(K320:K402)</f>
        <v>2059.2146372881357</v>
      </c>
    </row>
    <row r="407" spans="1:22">
      <c r="B407" s="29" t="s">
        <v>778</v>
      </c>
      <c r="C407" s="29" t="s">
        <v>779</v>
      </c>
      <c r="D407" s="29" t="s">
        <v>524</v>
      </c>
      <c r="E407" s="29" t="s">
        <v>778</v>
      </c>
      <c r="F407" s="29" t="s">
        <v>779</v>
      </c>
      <c r="G407" s="29" t="s">
        <v>524</v>
      </c>
      <c r="H407" s="29" t="s">
        <v>778</v>
      </c>
      <c r="I407" s="29" t="s">
        <v>779</v>
      </c>
      <c r="J407" s="292" t="s">
        <v>524</v>
      </c>
      <c r="K407" s="29" t="s">
        <v>778</v>
      </c>
      <c r="L407" s="29" t="s">
        <v>779</v>
      </c>
      <c r="M407" s="29" t="s">
        <v>524</v>
      </c>
      <c r="N407" s="29" t="s">
        <v>778</v>
      </c>
      <c r="O407" s="29" t="s">
        <v>779</v>
      </c>
      <c r="P407" s="29" t="s">
        <v>524</v>
      </c>
    </row>
    <row r="408" spans="1:22">
      <c r="B408" s="29">
        <v>6</v>
      </c>
      <c r="C408" s="29">
        <v>750</v>
      </c>
      <c r="D408" s="29" t="s">
        <v>381</v>
      </c>
      <c r="E408" s="29" t="s">
        <v>382</v>
      </c>
      <c r="F408" s="263">
        <v>42033</v>
      </c>
      <c r="G408" s="263">
        <v>42047</v>
      </c>
      <c r="H408" s="29">
        <v>9784.75</v>
      </c>
      <c r="I408" s="29">
        <v>0</v>
      </c>
      <c r="J408" s="292">
        <v>1761.25</v>
      </c>
      <c r="K408" s="29">
        <v>11546</v>
      </c>
      <c r="L408" s="29">
        <v>0</v>
      </c>
      <c r="M408" s="29">
        <v>1</v>
      </c>
      <c r="N408" s="29">
        <v>115.46</v>
      </c>
      <c r="O408" s="29">
        <v>12519</v>
      </c>
      <c r="P408" s="29">
        <v>953320</v>
      </c>
    </row>
    <row r="409" spans="1:22">
      <c r="A409" s="33"/>
      <c r="B409" s="33">
        <v>4</v>
      </c>
      <c r="C409" s="33">
        <v>17696</v>
      </c>
      <c r="D409" s="33" t="s">
        <v>772</v>
      </c>
      <c r="E409" s="33" t="s">
        <v>448</v>
      </c>
      <c r="F409" s="280">
        <v>41960</v>
      </c>
      <c r="G409" s="280">
        <v>42045</v>
      </c>
      <c r="H409" s="33">
        <v>1620.78</v>
      </c>
      <c r="I409" s="33">
        <v>0</v>
      </c>
      <c r="J409" s="301">
        <v>291.74</v>
      </c>
      <c r="K409" s="33">
        <v>1912.52</v>
      </c>
      <c r="L409" s="33">
        <v>0</v>
      </c>
      <c r="M409" s="33">
        <v>1</v>
      </c>
      <c r="N409" s="33">
        <v>19.1252</v>
      </c>
      <c r="O409" s="33">
        <v>12519</v>
      </c>
      <c r="P409" s="33">
        <v>946295</v>
      </c>
      <c r="Q409" s="33">
        <v>0.5</v>
      </c>
    </row>
    <row r="410" spans="1:22">
      <c r="A410" s="33"/>
      <c r="B410" s="33">
        <v>4</v>
      </c>
      <c r="C410" s="33">
        <v>17696</v>
      </c>
      <c r="D410" s="33" t="s">
        <v>772</v>
      </c>
      <c r="E410" s="33" t="s">
        <v>448</v>
      </c>
      <c r="F410" s="280">
        <v>41960</v>
      </c>
      <c r="G410" s="280">
        <v>42045</v>
      </c>
      <c r="H410" s="33">
        <v>1620.78</v>
      </c>
      <c r="I410" s="33">
        <v>0</v>
      </c>
      <c r="J410" s="301">
        <v>291.74</v>
      </c>
      <c r="K410" s="33">
        <v>1912.52</v>
      </c>
      <c r="L410" s="33">
        <v>0</v>
      </c>
      <c r="M410" s="33">
        <v>1</v>
      </c>
      <c r="N410" s="33">
        <v>19.1252</v>
      </c>
      <c r="O410" s="33">
        <v>12519</v>
      </c>
      <c r="P410" s="33">
        <v>946295</v>
      </c>
      <c r="Q410" s="33">
        <v>0.5</v>
      </c>
    </row>
    <row r="411" spans="1:22">
      <c r="A411" s="33"/>
      <c r="B411" s="33">
        <v>4</v>
      </c>
      <c r="C411" s="33">
        <v>17696</v>
      </c>
      <c r="D411" s="33" t="s">
        <v>772</v>
      </c>
      <c r="E411" s="33" t="s">
        <v>448</v>
      </c>
      <c r="F411" s="280">
        <v>41960</v>
      </c>
      <c r="G411" s="280">
        <v>42045</v>
      </c>
      <c r="H411" s="33">
        <v>1620.78</v>
      </c>
      <c r="I411" s="33">
        <v>0</v>
      </c>
      <c r="J411" s="301">
        <v>291.74</v>
      </c>
      <c r="K411" s="33">
        <v>1912.52</v>
      </c>
      <c r="L411" s="33">
        <v>0</v>
      </c>
      <c r="M411" s="33">
        <v>1</v>
      </c>
      <c r="N411" s="33">
        <v>19.1252</v>
      </c>
      <c r="O411" s="33">
        <v>12519</v>
      </c>
      <c r="P411" s="33">
        <v>946295</v>
      </c>
      <c r="Q411" s="33">
        <v>0.5</v>
      </c>
    </row>
    <row r="412" spans="1:22">
      <c r="B412" s="29">
        <v>4</v>
      </c>
      <c r="C412" s="29">
        <v>21754</v>
      </c>
      <c r="D412" s="29" t="s">
        <v>761</v>
      </c>
      <c r="E412" s="29" t="s">
        <v>448</v>
      </c>
      <c r="F412" s="263">
        <v>42035</v>
      </c>
      <c r="G412" s="263">
        <v>42044</v>
      </c>
      <c r="H412" s="29">
        <v>24073.77</v>
      </c>
      <c r="I412" s="29">
        <v>0</v>
      </c>
      <c r="J412" s="292">
        <v>4333.28</v>
      </c>
      <c r="K412" s="29">
        <v>28407.05</v>
      </c>
      <c r="L412" s="29">
        <v>0</v>
      </c>
      <c r="M412" s="29">
        <v>1</v>
      </c>
      <c r="N412" s="29">
        <v>284.07049999999998</v>
      </c>
      <c r="O412" s="29">
        <v>12520</v>
      </c>
      <c r="P412" s="29">
        <v>953521</v>
      </c>
      <c r="R412" s="29">
        <f>S412-R413</f>
        <v>4405.8500000000022</v>
      </c>
      <c r="S412" s="29">
        <v>24073.77</v>
      </c>
      <c r="U412" s="29">
        <f>S412</f>
        <v>24073.77</v>
      </c>
      <c r="V412" s="29">
        <f>R412*1%</f>
        <v>44.058500000000024</v>
      </c>
    </row>
    <row r="413" spans="1:22">
      <c r="B413" s="29">
        <v>4</v>
      </c>
      <c r="C413" s="29">
        <v>21754</v>
      </c>
      <c r="D413" s="29" t="s">
        <v>761</v>
      </c>
      <c r="E413" s="29" t="s">
        <v>448</v>
      </c>
      <c r="F413" s="263">
        <v>42035</v>
      </c>
      <c r="G413" s="263">
        <v>42044</v>
      </c>
      <c r="H413" s="29">
        <v>24073.77</v>
      </c>
      <c r="I413" s="29">
        <v>0</v>
      </c>
      <c r="J413" s="292">
        <v>4333.28</v>
      </c>
      <c r="K413" s="29">
        <v>28407.05</v>
      </c>
      <c r="L413" s="29">
        <v>0</v>
      </c>
      <c r="M413" s="29">
        <v>1</v>
      </c>
      <c r="N413" s="29">
        <v>284.07049999999998</v>
      </c>
      <c r="O413" s="29">
        <v>12519</v>
      </c>
      <c r="P413" s="29">
        <v>953521</v>
      </c>
      <c r="R413" s="29">
        <f>S413-(T413+U413)</f>
        <v>19667.919999999998</v>
      </c>
      <c r="S413" s="29">
        <v>24073.77</v>
      </c>
      <c r="T413" s="221">
        <v>1373.43</v>
      </c>
      <c r="U413" s="221">
        <v>3032.42</v>
      </c>
      <c r="V413" s="29">
        <f>R413*0.5%</f>
        <v>98.33959999999999</v>
      </c>
    </row>
    <row r="414" spans="1:22">
      <c r="B414" s="29">
        <v>4</v>
      </c>
      <c r="C414" s="29">
        <v>21754</v>
      </c>
      <c r="D414" s="29" t="s">
        <v>761</v>
      </c>
      <c r="E414" s="29" t="s">
        <v>448</v>
      </c>
      <c r="F414" s="263">
        <v>42035</v>
      </c>
      <c r="G414" s="263">
        <v>42044</v>
      </c>
      <c r="H414" s="29">
        <v>24073.77</v>
      </c>
      <c r="I414" s="29">
        <v>0</v>
      </c>
      <c r="J414" s="292">
        <v>4333.28</v>
      </c>
      <c r="K414" s="29">
        <v>28407.05</v>
      </c>
      <c r="L414" s="29">
        <v>0</v>
      </c>
      <c r="M414" s="29">
        <v>1</v>
      </c>
      <c r="N414" s="29">
        <v>284.07049999999998</v>
      </c>
      <c r="O414" s="29">
        <v>12519</v>
      </c>
      <c r="P414" s="29">
        <v>953521</v>
      </c>
    </row>
    <row r="415" spans="1:22">
      <c r="B415" s="29">
        <v>4</v>
      </c>
      <c r="C415" s="29">
        <v>21754</v>
      </c>
      <c r="D415" s="29" t="s">
        <v>761</v>
      </c>
      <c r="E415" s="29" t="s">
        <v>448</v>
      </c>
      <c r="F415" s="263">
        <v>42035</v>
      </c>
      <c r="G415" s="263">
        <v>42044</v>
      </c>
      <c r="H415" s="29">
        <v>24073.77</v>
      </c>
      <c r="I415" s="29">
        <v>0</v>
      </c>
      <c r="J415" s="292">
        <v>4333.28</v>
      </c>
      <c r="K415" s="29">
        <v>28407.05</v>
      </c>
      <c r="L415" s="29">
        <v>0</v>
      </c>
      <c r="M415" s="29">
        <v>1</v>
      </c>
      <c r="N415" s="29">
        <v>284.07049999999998</v>
      </c>
      <c r="O415" s="29">
        <v>12520</v>
      </c>
      <c r="P415" s="29">
        <v>953521</v>
      </c>
    </row>
    <row r="416" spans="1:22">
      <c r="B416" s="33">
        <v>4</v>
      </c>
      <c r="C416" s="33">
        <v>21755</v>
      </c>
      <c r="D416" s="33" t="s">
        <v>764</v>
      </c>
      <c r="E416" s="33" t="s">
        <v>448</v>
      </c>
      <c r="F416" s="280">
        <v>42035</v>
      </c>
      <c r="G416" s="280">
        <v>42044</v>
      </c>
      <c r="H416" s="33">
        <v>45001.5</v>
      </c>
      <c r="I416" s="33">
        <v>0</v>
      </c>
      <c r="J416" s="301">
        <v>8100.27</v>
      </c>
      <c r="K416" s="33">
        <v>53101.77</v>
      </c>
      <c r="L416" s="33">
        <v>0</v>
      </c>
      <c r="M416" s="33">
        <v>1</v>
      </c>
      <c r="N416" s="33">
        <v>531.01769999999999</v>
      </c>
      <c r="O416" s="33">
        <v>12520</v>
      </c>
      <c r="P416" s="33">
        <v>953522</v>
      </c>
      <c r="Q416" s="33"/>
    </row>
    <row r="417" spans="2:22">
      <c r="B417" s="33">
        <v>4</v>
      </c>
      <c r="C417" s="33">
        <v>21755</v>
      </c>
      <c r="D417" s="33" t="s">
        <v>764</v>
      </c>
      <c r="E417" s="33" t="s">
        <v>448</v>
      </c>
      <c r="F417" s="280">
        <v>42035</v>
      </c>
      <c r="G417" s="280">
        <v>42044</v>
      </c>
      <c r="H417" s="33">
        <v>45001.5</v>
      </c>
      <c r="I417" s="33">
        <v>0</v>
      </c>
      <c r="J417" s="301">
        <v>8100.27</v>
      </c>
      <c r="K417" s="33">
        <v>53101.77</v>
      </c>
      <c r="L417" s="33">
        <v>0</v>
      </c>
      <c r="M417" s="33">
        <v>1</v>
      </c>
      <c r="N417" s="33">
        <v>531.01769999999999</v>
      </c>
      <c r="O417" s="33">
        <v>12519</v>
      </c>
      <c r="P417" s="33">
        <v>953522</v>
      </c>
      <c r="Q417" s="33"/>
      <c r="S417" s="29">
        <v>45001.5</v>
      </c>
      <c r="U417" s="29">
        <f>S417-U419</f>
        <v>39902.129999999997</v>
      </c>
      <c r="V417" s="29">
        <f>U417*0.5%</f>
        <v>199.51065</v>
      </c>
    </row>
    <row r="418" spans="2:22">
      <c r="B418" s="33">
        <v>4</v>
      </c>
      <c r="C418" s="33">
        <v>21755</v>
      </c>
      <c r="D418" s="33" t="s">
        <v>764</v>
      </c>
      <c r="E418" s="33" t="s">
        <v>448</v>
      </c>
      <c r="F418" s="280">
        <v>42035</v>
      </c>
      <c r="G418" s="280">
        <v>42044</v>
      </c>
      <c r="H418" s="33">
        <v>45001.5</v>
      </c>
      <c r="I418" s="33">
        <v>0</v>
      </c>
      <c r="J418" s="301">
        <v>8100.27</v>
      </c>
      <c r="K418" s="33">
        <v>53101.77</v>
      </c>
      <c r="L418" s="33">
        <v>0</v>
      </c>
      <c r="M418" s="33">
        <v>1</v>
      </c>
      <c r="N418" s="33">
        <v>531.01769999999999</v>
      </c>
      <c r="O418" s="33">
        <v>12520</v>
      </c>
      <c r="P418" s="33">
        <v>953522</v>
      </c>
      <c r="Q418" s="33"/>
    </row>
    <row r="419" spans="2:22">
      <c r="B419" s="33">
        <v>4</v>
      </c>
      <c r="C419" s="33">
        <v>21755</v>
      </c>
      <c r="D419" s="33" t="s">
        <v>764</v>
      </c>
      <c r="E419" s="33" t="s">
        <v>448</v>
      </c>
      <c r="F419" s="280">
        <v>42035</v>
      </c>
      <c r="G419" s="280">
        <v>42044</v>
      </c>
      <c r="H419" s="33">
        <v>45001.5</v>
      </c>
      <c r="I419" s="33">
        <v>0</v>
      </c>
      <c r="J419" s="301">
        <v>8100.27</v>
      </c>
      <c r="K419" s="33">
        <v>53101.77</v>
      </c>
      <c r="L419" s="33">
        <v>0</v>
      </c>
      <c r="M419" s="33">
        <v>1</v>
      </c>
      <c r="N419" s="33">
        <v>531.01769999999999</v>
      </c>
      <c r="O419" s="33">
        <v>12520</v>
      </c>
      <c r="P419" s="33">
        <v>953522</v>
      </c>
      <c r="Q419" s="33"/>
      <c r="S419" s="221">
        <v>1047.07</v>
      </c>
      <c r="T419" s="221">
        <v>4052.3</v>
      </c>
      <c r="U419" s="29">
        <f>T419+S419</f>
        <v>5099.37</v>
      </c>
      <c r="V419" s="29">
        <f>U419*1%</f>
        <v>50.993699999999997</v>
      </c>
    </row>
    <row r="420" spans="2:22">
      <c r="B420" s="33">
        <v>4</v>
      </c>
      <c r="C420" s="33">
        <v>21755</v>
      </c>
      <c r="D420" s="33" t="s">
        <v>764</v>
      </c>
      <c r="E420" s="33" t="s">
        <v>448</v>
      </c>
      <c r="F420" s="280">
        <v>42035</v>
      </c>
      <c r="G420" s="280">
        <v>42044</v>
      </c>
      <c r="H420" s="33">
        <v>45001.5</v>
      </c>
      <c r="I420" s="33">
        <v>0</v>
      </c>
      <c r="J420" s="301">
        <v>8100.27</v>
      </c>
      <c r="K420" s="33">
        <v>53101.77</v>
      </c>
      <c r="L420" s="33">
        <v>0</v>
      </c>
      <c r="M420" s="33">
        <v>1</v>
      </c>
      <c r="N420" s="33">
        <v>531.01769999999999</v>
      </c>
      <c r="O420" s="33">
        <v>12520</v>
      </c>
      <c r="P420" s="33">
        <v>953522</v>
      </c>
      <c r="Q420" s="33"/>
    </row>
    <row r="421" spans="2:22">
      <c r="B421" s="33">
        <v>4</v>
      </c>
      <c r="C421" s="33">
        <v>21755</v>
      </c>
      <c r="D421" s="33" t="s">
        <v>764</v>
      </c>
      <c r="E421" s="33" t="s">
        <v>448</v>
      </c>
      <c r="F421" s="280">
        <v>42035</v>
      </c>
      <c r="G421" s="280">
        <v>42044</v>
      </c>
      <c r="H421" s="33">
        <v>45001.5</v>
      </c>
      <c r="I421" s="33">
        <v>0</v>
      </c>
      <c r="J421" s="301">
        <v>8100.27</v>
      </c>
      <c r="K421" s="33">
        <v>53101.77</v>
      </c>
      <c r="L421" s="33">
        <v>0</v>
      </c>
      <c r="M421" s="33">
        <v>1</v>
      </c>
      <c r="N421" s="33">
        <v>531.01769999999999</v>
      </c>
      <c r="O421" s="33">
        <v>12519</v>
      </c>
      <c r="P421" s="33">
        <v>953522</v>
      </c>
      <c r="Q421" s="33"/>
    </row>
    <row r="422" spans="2:22">
      <c r="B422" s="29">
        <v>4</v>
      </c>
      <c r="C422" s="29">
        <v>21854</v>
      </c>
      <c r="D422" s="29" t="s">
        <v>772</v>
      </c>
      <c r="E422" s="29" t="s">
        <v>448</v>
      </c>
      <c r="F422" s="263">
        <v>42038</v>
      </c>
      <c r="G422" s="263">
        <v>42045</v>
      </c>
      <c r="H422" s="29">
        <v>4068</v>
      </c>
      <c r="I422" s="29">
        <v>0</v>
      </c>
      <c r="J422" s="292">
        <v>732.24</v>
      </c>
      <c r="K422" s="29">
        <v>4800.24</v>
      </c>
      <c r="L422" s="29">
        <v>0</v>
      </c>
      <c r="M422" s="29">
        <v>1</v>
      </c>
      <c r="N422" s="29">
        <v>48.002400000000002</v>
      </c>
      <c r="O422" s="29">
        <v>12520</v>
      </c>
      <c r="P422" s="29">
        <v>953700</v>
      </c>
    </row>
    <row r="423" spans="2:22">
      <c r="B423" s="29">
        <v>4</v>
      </c>
      <c r="C423" s="29">
        <v>21854</v>
      </c>
      <c r="D423" s="29" t="s">
        <v>772</v>
      </c>
      <c r="E423" s="29" t="s">
        <v>448</v>
      </c>
      <c r="F423" s="263">
        <v>42038</v>
      </c>
      <c r="G423" s="263">
        <v>42045</v>
      </c>
      <c r="H423" s="29">
        <v>4068</v>
      </c>
      <c r="I423" s="29">
        <v>0</v>
      </c>
      <c r="J423" s="292">
        <v>732.24</v>
      </c>
      <c r="K423" s="29">
        <v>4800.24</v>
      </c>
      <c r="L423" s="29">
        <v>0</v>
      </c>
      <c r="M423" s="29">
        <v>1</v>
      </c>
      <c r="N423" s="29">
        <v>48.002400000000002</v>
      </c>
      <c r="O423" s="29">
        <v>12520</v>
      </c>
      <c r="P423" s="29">
        <v>953700</v>
      </c>
    </row>
    <row r="424" spans="2:22">
      <c r="B424" s="33">
        <v>4</v>
      </c>
      <c r="C424" s="33">
        <v>21875</v>
      </c>
      <c r="D424" s="33" t="s">
        <v>772</v>
      </c>
      <c r="E424" s="33" t="s">
        <v>448</v>
      </c>
      <c r="F424" s="280">
        <v>42038</v>
      </c>
      <c r="G424" s="280">
        <v>42045</v>
      </c>
      <c r="H424" s="33">
        <v>2712</v>
      </c>
      <c r="I424" s="33">
        <v>0</v>
      </c>
      <c r="J424" s="301">
        <v>488.16</v>
      </c>
      <c r="K424" s="33">
        <v>3200.16</v>
      </c>
      <c r="L424" s="33">
        <v>0</v>
      </c>
      <c r="M424" s="33">
        <v>1</v>
      </c>
      <c r="N424" s="33">
        <v>32.001600000000003</v>
      </c>
      <c r="O424" s="33">
        <v>12519</v>
      </c>
      <c r="P424" s="33">
        <v>953720</v>
      </c>
      <c r="Q424" s="33"/>
    </row>
    <row r="425" spans="2:22">
      <c r="B425" s="29">
        <v>4</v>
      </c>
      <c r="C425" s="29">
        <v>22224</v>
      </c>
      <c r="D425" s="29" t="s">
        <v>772</v>
      </c>
      <c r="E425" s="29" t="s">
        <v>448</v>
      </c>
      <c r="F425" s="263">
        <v>42044</v>
      </c>
      <c r="G425" s="263">
        <v>42045</v>
      </c>
      <c r="H425" s="29">
        <v>20340</v>
      </c>
      <c r="I425" s="29">
        <v>0</v>
      </c>
      <c r="J425" s="292">
        <v>3661.2</v>
      </c>
      <c r="K425" s="29">
        <v>24001.200000000001</v>
      </c>
      <c r="L425" s="29">
        <v>0</v>
      </c>
      <c r="M425" s="29">
        <v>1</v>
      </c>
      <c r="N425" s="29">
        <v>240.012</v>
      </c>
      <c r="O425" s="29">
        <v>12520</v>
      </c>
      <c r="P425" s="29">
        <v>954249</v>
      </c>
    </row>
    <row r="426" spans="2:22">
      <c r="B426" s="29">
        <v>4</v>
      </c>
      <c r="C426" s="29">
        <v>22224</v>
      </c>
      <c r="D426" s="29" t="s">
        <v>772</v>
      </c>
      <c r="E426" s="29" t="s">
        <v>448</v>
      </c>
      <c r="F426" s="263">
        <v>42044</v>
      </c>
      <c r="G426" s="263">
        <v>42045</v>
      </c>
      <c r="H426" s="29">
        <v>20340</v>
      </c>
      <c r="I426" s="29">
        <v>0</v>
      </c>
      <c r="J426" s="292">
        <v>3661.2</v>
      </c>
      <c r="K426" s="29">
        <v>24001.200000000001</v>
      </c>
      <c r="L426" s="29">
        <v>0</v>
      </c>
      <c r="M426" s="29">
        <v>1</v>
      </c>
      <c r="N426" s="29">
        <v>240.012</v>
      </c>
      <c r="O426" s="29">
        <v>12520</v>
      </c>
      <c r="P426" s="29">
        <v>954249</v>
      </c>
    </row>
    <row r="427" spans="2:22">
      <c r="B427" s="29">
        <v>4</v>
      </c>
      <c r="C427" s="29">
        <v>22224</v>
      </c>
      <c r="D427" s="29" t="s">
        <v>772</v>
      </c>
      <c r="E427" s="29" t="s">
        <v>448</v>
      </c>
      <c r="F427" s="263">
        <v>42044</v>
      </c>
      <c r="G427" s="263">
        <v>42045</v>
      </c>
      <c r="H427" s="29">
        <v>20340</v>
      </c>
      <c r="I427" s="29">
        <v>0</v>
      </c>
      <c r="J427" s="292">
        <v>3661.2</v>
      </c>
      <c r="K427" s="29">
        <v>24001.200000000001</v>
      </c>
      <c r="L427" s="29">
        <v>0</v>
      </c>
      <c r="M427" s="29">
        <v>1</v>
      </c>
      <c r="N427" s="29">
        <v>240.012</v>
      </c>
      <c r="O427" s="29">
        <v>12520</v>
      </c>
      <c r="P427" s="29">
        <v>954249</v>
      </c>
    </row>
    <row r="428" spans="2:22">
      <c r="B428" s="29">
        <v>4</v>
      </c>
      <c r="C428" s="29">
        <v>22224</v>
      </c>
      <c r="D428" s="29" t="s">
        <v>772</v>
      </c>
      <c r="E428" s="29" t="s">
        <v>448</v>
      </c>
      <c r="F428" s="263">
        <v>42044</v>
      </c>
      <c r="G428" s="263">
        <v>42045</v>
      </c>
      <c r="H428" s="29">
        <v>20340</v>
      </c>
      <c r="I428" s="29">
        <v>0</v>
      </c>
      <c r="J428" s="292">
        <v>3661.2</v>
      </c>
      <c r="K428" s="29">
        <v>24001.200000000001</v>
      </c>
      <c r="L428" s="29">
        <v>0</v>
      </c>
      <c r="M428" s="29">
        <v>1</v>
      </c>
      <c r="N428" s="29">
        <v>240.012</v>
      </c>
      <c r="O428" s="29">
        <v>12519</v>
      </c>
      <c r="P428" s="29">
        <v>954249</v>
      </c>
    </row>
    <row r="429" spans="2:22">
      <c r="B429" s="29">
        <v>4</v>
      </c>
      <c r="C429" s="29">
        <v>22224</v>
      </c>
      <c r="D429" s="29" t="s">
        <v>772</v>
      </c>
      <c r="E429" s="29" t="s">
        <v>448</v>
      </c>
      <c r="F429" s="263">
        <v>42044</v>
      </c>
      <c r="G429" s="263">
        <v>42045</v>
      </c>
      <c r="H429" s="29">
        <v>20340</v>
      </c>
      <c r="I429" s="29">
        <v>0</v>
      </c>
      <c r="J429" s="292">
        <v>3661.2</v>
      </c>
      <c r="K429" s="29">
        <v>24001.200000000001</v>
      </c>
      <c r="L429" s="29">
        <v>0</v>
      </c>
      <c r="M429" s="29">
        <v>1</v>
      </c>
      <c r="N429" s="29">
        <v>240.012</v>
      </c>
      <c r="O429" s="29">
        <v>12519</v>
      </c>
      <c r="P429" s="29">
        <v>954249</v>
      </c>
    </row>
    <row r="430" spans="2:22">
      <c r="B430" s="33">
        <v>4</v>
      </c>
      <c r="C430" s="33">
        <v>22980</v>
      </c>
      <c r="D430" s="33" t="s">
        <v>772</v>
      </c>
      <c r="E430" s="33" t="s">
        <v>448</v>
      </c>
      <c r="F430" s="280">
        <v>42055</v>
      </c>
      <c r="G430" s="280">
        <v>42060</v>
      </c>
      <c r="H430" s="33">
        <v>26442</v>
      </c>
      <c r="I430" s="33">
        <v>0</v>
      </c>
      <c r="J430" s="301">
        <v>4759.5600000000004</v>
      </c>
      <c r="K430" s="33">
        <v>31201.56</v>
      </c>
      <c r="L430" s="33">
        <v>0</v>
      </c>
      <c r="M430" s="33">
        <v>1</v>
      </c>
      <c r="N430" s="33">
        <v>312.01560000000001</v>
      </c>
      <c r="O430" s="33">
        <v>12520</v>
      </c>
      <c r="P430" s="33">
        <v>955485</v>
      </c>
      <c r="Q430" s="33"/>
    </row>
    <row r="431" spans="2:22">
      <c r="B431" s="33">
        <v>4</v>
      </c>
      <c r="C431" s="33">
        <v>22980</v>
      </c>
      <c r="D431" s="33" t="s">
        <v>772</v>
      </c>
      <c r="E431" s="33" t="s">
        <v>448</v>
      </c>
      <c r="F431" s="280">
        <v>42055</v>
      </c>
      <c r="G431" s="280">
        <v>42060</v>
      </c>
      <c r="H431" s="33">
        <v>26442</v>
      </c>
      <c r="I431" s="33">
        <v>0</v>
      </c>
      <c r="J431" s="301">
        <v>4759.5600000000004</v>
      </c>
      <c r="K431" s="33">
        <v>31201.56</v>
      </c>
      <c r="L431" s="33">
        <v>0</v>
      </c>
      <c r="M431" s="33">
        <v>1</v>
      </c>
      <c r="N431" s="33">
        <v>312.01560000000001</v>
      </c>
      <c r="O431" s="33">
        <v>12520</v>
      </c>
      <c r="P431" s="33">
        <v>955485</v>
      </c>
      <c r="Q431" s="33"/>
    </row>
    <row r="432" spans="2:22">
      <c r="B432" s="33">
        <v>4</v>
      </c>
      <c r="C432" s="33">
        <v>22980</v>
      </c>
      <c r="D432" s="33" t="s">
        <v>772</v>
      </c>
      <c r="E432" s="33" t="s">
        <v>448</v>
      </c>
      <c r="F432" s="280">
        <v>42055</v>
      </c>
      <c r="G432" s="280">
        <v>42060</v>
      </c>
      <c r="H432" s="33">
        <v>26442</v>
      </c>
      <c r="I432" s="33">
        <v>0</v>
      </c>
      <c r="J432" s="301">
        <v>4759.5600000000004</v>
      </c>
      <c r="K432" s="33">
        <v>31201.56</v>
      </c>
      <c r="L432" s="33">
        <v>0</v>
      </c>
      <c r="M432" s="33">
        <v>1</v>
      </c>
      <c r="N432" s="33">
        <v>312.01560000000001</v>
      </c>
      <c r="O432" s="33">
        <v>12519</v>
      </c>
      <c r="P432" s="33">
        <v>955485</v>
      </c>
      <c r="Q432" s="33"/>
    </row>
    <row r="433" spans="2:17">
      <c r="B433" s="33">
        <v>4</v>
      </c>
      <c r="C433" s="33">
        <v>22980</v>
      </c>
      <c r="D433" s="33" t="s">
        <v>772</v>
      </c>
      <c r="E433" s="33" t="s">
        <v>448</v>
      </c>
      <c r="F433" s="280">
        <v>42055</v>
      </c>
      <c r="G433" s="280">
        <v>42060</v>
      </c>
      <c r="H433" s="33">
        <v>26442</v>
      </c>
      <c r="I433" s="33">
        <v>0</v>
      </c>
      <c r="J433" s="301">
        <v>4759.5600000000004</v>
      </c>
      <c r="K433" s="33">
        <v>31201.56</v>
      </c>
      <c r="L433" s="33">
        <v>0</v>
      </c>
      <c r="M433" s="33">
        <v>1</v>
      </c>
      <c r="N433" s="33">
        <v>312.01560000000001</v>
      </c>
      <c r="O433" s="33">
        <v>12519</v>
      </c>
      <c r="P433" s="33">
        <v>955485</v>
      </c>
      <c r="Q433" s="33"/>
    </row>
    <row r="435" spans="2:17">
      <c r="B435" s="59"/>
      <c r="C435" s="59"/>
      <c r="D435" s="59" t="s">
        <v>780</v>
      </c>
      <c r="E435" s="59"/>
      <c r="F435" s="59"/>
      <c r="G435" s="59"/>
      <c r="H435" s="59"/>
      <c r="I435" s="59"/>
      <c r="J435" s="293"/>
      <c r="K435" s="59"/>
    </row>
    <row r="436" spans="2:17">
      <c r="B436" s="59"/>
      <c r="C436" s="59"/>
      <c r="D436" s="59"/>
      <c r="E436" s="59"/>
      <c r="F436" s="59"/>
      <c r="G436" s="59"/>
      <c r="H436" s="59"/>
      <c r="I436" s="59"/>
      <c r="J436" s="293"/>
      <c r="K436" s="59"/>
    </row>
    <row r="437" spans="2:17">
      <c r="B437" s="264" t="s">
        <v>369</v>
      </c>
      <c r="C437" s="264" t="s">
        <v>370</v>
      </c>
      <c r="D437" s="264" t="s">
        <v>371</v>
      </c>
      <c r="E437" s="264" t="s">
        <v>372</v>
      </c>
      <c r="F437" s="264" t="s">
        <v>373</v>
      </c>
      <c r="G437" s="264" t="s">
        <v>393</v>
      </c>
      <c r="H437" s="264" t="s">
        <v>375</v>
      </c>
      <c r="I437" s="264" t="s">
        <v>376</v>
      </c>
      <c r="J437" s="294" t="s">
        <v>377</v>
      </c>
      <c r="K437" s="264" t="s">
        <v>378</v>
      </c>
    </row>
    <row r="438" spans="2:17">
      <c r="B438" s="111">
        <v>4</v>
      </c>
      <c r="C438" s="111">
        <v>9243</v>
      </c>
      <c r="D438" s="111" t="s">
        <v>767</v>
      </c>
      <c r="E438" s="111" t="s">
        <v>448</v>
      </c>
      <c r="F438" s="265">
        <v>41842</v>
      </c>
      <c r="G438" s="265">
        <v>42067</v>
      </c>
      <c r="H438" s="111">
        <v>279.58</v>
      </c>
      <c r="I438" s="111">
        <v>0</v>
      </c>
      <c r="J438" s="295">
        <v>0</v>
      </c>
      <c r="K438" s="111">
        <f t="shared" ref="K438:K469" si="23">(H438-I438)*J438%</f>
        <v>0</v>
      </c>
      <c r="L438" s="29">
        <f t="shared" ref="L438:L469" si="24">G438-F438</f>
        <v>225</v>
      </c>
    </row>
    <row r="439" spans="2:17">
      <c r="B439" s="111">
        <v>4</v>
      </c>
      <c r="C439" s="111">
        <v>9415</v>
      </c>
      <c r="D439" s="111" t="s">
        <v>772</v>
      </c>
      <c r="E439" s="111" t="s">
        <v>448</v>
      </c>
      <c r="F439" s="265">
        <v>41843</v>
      </c>
      <c r="G439" s="265">
        <v>42087</v>
      </c>
      <c r="H439" s="111">
        <v>2034</v>
      </c>
      <c r="I439" s="111">
        <v>0</v>
      </c>
      <c r="J439" s="295">
        <v>0</v>
      </c>
      <c r="K439" s="111">
        <f t="shared" si="23"/>
        <v>0</v>
      </c>
      <c r="L439" s="29">
        <f t="shared" si="24"/>
        <v>244</v>
      </c>
    </row>
    <row r="440" spans="2:17">
      <c r="B440" s="111">
        <v>4</v>
      </c>
      <c r="C440" s="111">
        <v>10239</v>
      </c>
      <c r="D440" s="111" t="s">
        <v>767</v>
      </c>
      <c r="E440" s="111" t="s">
        <v>448</v>
      </c>
      <c r="F440" s="265">
        <v>41857</v>
      </c>
      <c r="G440" s="265">
        <v>42067</v>
      </c>
      <c r="H440" s="111">
        <v>618.51</v>
      </c>
      <c r="I440" s="111">
        <v>0</v>
      </c>
      <c r="J440" s="295">
        <v>0</v>
      </c>
      <c r="K440" s="111">
        <f t="shared" si="23"/>
        <v>0</v>
      </c>
      <c r="L440" s="29">
        <f t="shared" si="24"/>
        <v>210</v>
      </c>
    </row>
    <row r="441" spans="2:17">
      <c r="B441" s="111">
        <v>4</v>
      </c>
      <c r="C441" s="111">
        <v>10907</v>
      </c>
      <c r="D441" s="111" t="s">
        <v>772</v>
      </c>
      <c r="E441" s="111" t="s">
        <v>448</v>
      </c>
      <c r="F441" s="265">
        <v>41865</v>
      </c>
      <c r="G441" s="265">
        <v>42087</v>
      </c>
      <c r="H441" s="111">
        <v>2712</v>
      </c>
      <c r="I441" s="111">
        <v>0</v>
      </c>
      <c r="J441" s="295">
        <v>0</v>
      </c>
      <c r="K441" s="111">
        <f t="shared" si="23"/>
        <v>0</v>
      </c>
      <c r="L441" s="29">
        <f t="shared" si="24"/>
        <v>222</v>
      </c>
    </row>
    <row r="442" spans="2:17">
      <c r="B442" s="111">
        <v>4</v>
      </c>
      <c r="C442" s="111">
        <v>19496</v>
      </c>
      <c r="D442" s="111" t="s">
        <v>758</v>
      </c>
      <c r="E442" s="111" t="s">
        <v>448</v>
      </c>
      <c r="F442" s="265">
        <v>41989</v>
      </c>
      <c r="G442" s="265">
        <v>42088</v>
      </c>
      <c r="H442" s="111">
        <v>522.44000000000005</v>
      </c>
      <c r="I442" s="111">
        <v>0</v>
      </c>
      <c r="J442" s="295">
        <v>0</v>
      </c>
      <c r="K442" s="111">
        <f t="shared" si="23"/>
        <v>0</v>
      </c>
      <c r="L442" s="29">
        <f t="shared" si="24"/>
        <v>99</v>
      </c>
    </row>
    <row r="443" spans="2:17">
      <c r="B443" s="111">
        <v>4</v>
      </c>
      <c r="C443" s="111">
        <v>20308</v>
      </c>
      <c r="D443" s="111" t="s">
        <v>759</v>
      </c>
      <c r="E443" s="111" t="s">
        <v>448</v>
      </c>
      <c r="F443" s="265">
        <v>42010</v>
      </c>
      <c r="G443" s="265">
        <v>42077</v>
      </c>
      <c r="H443" s="111">
        <v>190.91</v>
      </c>
      <c r="I443" s="111">
        <v>0.06</v>
      </c>
      <c r="J443" s="295">
        <v>1</v>
      </c>
      <c r="K443" s="111">
        <f t="shared" si="23"/>
        <v>1.9085000000000001</v>
      </c>
      <c r="L443" s="29">
        <f t="shared" si="24"/>
        <v>67</v>
      </c>
    </row>
    <row r="444" spans="2:17">
      <c r="B444" s="111">
        <v>4</v>
      </c>
      <c r="C444" s="111">
        <v>20692</v>
      </c>
      <c r="D444" s="111" t="s">
        <v>768</v>
      </c>
      <c r="E444" s="111" t="s">
        <v>448</v>
      </c>
      <c r="F444" s="265">
        <v>42017</v>
      </c>
      <c r="G444" s="265">
        <v>42084</v>
      </c>
      <c r="H444" s="111">
        <v>496.54</v>
      </c>
      <c r="I444" s="111">
        <v>0</v>
      </c>
      <c r="J444" s="295">
        <v>1</v>
      </c>
      <c r="K444" s="111">
        <f t="shared" si="23"/>
        <v>4.9654000000000007</v>
      </c>
      <c r="L444" s="29">
        <f t="shared" si="24"/>
        <v>67</v>
      </c>
    </row>
    <row r="445" spans="2:17">
      <c r="B445" s="111">
        <v>4</v>
      </c>
      <c r="C445" s="111">
        <v>20880</v>
      </c>
      <c r="D445" s="111" t="s">
        <v>759</v>
      </c>
      <c r="E445" s="111" t="s">
        <v>448</v>
      </c>
      <c r="F445" s="265">
        <v>42020</v>
      </c>
      <c r="G445" s="265">
        <v>42069</v>
      </c>
      <c r="H445" s="111">
        <v>1113.67</v>
      </c>
      <c r="I445" s="111">
        <v>0</v>
      </c>
      <c r="J445" s="295">
        <v>1</v>
      </c>
      <c r="K445" s="111">
        <f t="shared" si="23"/>
        <v>11.136700000000001</v>
      </c>
      <c r="L445" s="29">
        <f t="shared" si="24"/>
        <v>49</v>
      </c>
    </row>
    <row r="446" spans="2:17">
      <c r="B446" s="111">
        <v>4</v>
      </c>
      <c r="C446" s="111">
        <v>20843</v>
      </c>
      <c r="D446" s="111" t="s">
        <v>759</v>
      </c>
      <c r="E446" s="111" t="s">
        <v>448</v>
      </c>
      <c r="F446" s="265">
        <v>42019</v>
      </c>
      <c r="G446" s="265">
        <v>42069</v>
      </c>
      <c r="H446" s="111">
        <v>5664.78</v>
      </c>
      <c r="I446" s="111">
        <v>0</v>
      </c>
      <c r="J446" s="295">
        <v>1</v>
      </c>
      <c r="K446" s="111">
        <f t="shared" si="23"/>
        <v>56.647799999999997</v>
      </c>
      <c r="L446" s="29">
        <f t="shared" si="24"/>
        <v>50</v>
      </c>
    </row>
    <row r="447" spans="2:17">
      <c r="B447" s="111">
        <v>4</v>
      </c>
      <c r="C447" s="111">
        <v>20918</v>
      </c>
      <c r="D447" s="111" t="s">
        <v>760</v>
      </c>
      <c r="E447" s="111" t="s">
        <v>448</v>
      </c>
      <c r="F447" s="265">
        <v>42021</v>
      </c>
      <c r="G447" s="265">
        <v>42067</v>
      </c>
      <c r="H447" s="111">
        <v>223</v>
      </c>
      <c r="I447" s="111">
        <v>0</v>
      </c>
      <c r="J447" s="295">
        <v>1</v>
      </c>
      <c r="K447" s="111">
        <f t="shared" si="23"/>
        <v>2.23</v>
      </c>
      <c r="L447" s="29">
        <f t="shared" si="24"/>
        <v>46</v>
      </c>
    </row>
    <row r="448" spans="2:17">
      <c r="B448" s="111">
        <v>4</v>
      </c>
      <c r="C448" s="111">
        <v>20950</v>
      </c>
      <c r="D448" s="111" t="s">
        <v>759</v>
      </c>
      <c r="E448" s="111" t="s">
        <v>448</v>
      </c>
      <c r="F448" s="265">
        <v>42023</v>
      </c>
      <c r="G448" s="265">
        <v>42069</v>
      </c>
      <c r="H448" s="111">
        <v>525.24</v>
      </c>
      <c r="I448" s="111">
        <v>0</v>
      </c>
      <c r="J448" s="295">
        <v>1</v>
      </c>
      <c r="K448" s="111">
        <f t="shared" si="23"/>
        <v>5.2524000000000006</v>
      </c>
      <c r="L448" s="29">
        <f t="shared" si="24"/>
        <v>46</v>
      </c>
    </row>
    <row r="449" spans="2:12">
      <c r="B449" s="111">
        <v>4</v>
      </c>
      <c r="C449" s="111">
        <v>20975</v>
      </c>
      <c r="D449" s="111" t="s">
        <v>757</v>
      </c>
      <c r="E449" s="111" t="s">
        <v>448</v>
      </c>
      <c r="F449" s="265">
        <v>42023</v>
      </c>
      <c r="G449" s="265">
        <v>42067</v>
      </c>
      <c r="H449" s="111">
        <v>538.16999999999996</v>
      </c>
      <c r="I449" s="111">
        <v>0</v>
      </c>
      <c r="J449" s="295">
        <v>1</v>
      </c>
      <c r="K449" s="111">
        <f t="shared" si="23"/>
        <v>5.3816999999999995</v>
      </c>
      <c r="L449" s="29">
        <f t="shared" si="24"/>
        <v>44</v>
      </c>
    </row>
    <row r="450" spans="2:12">
      <c r="B450" s="111">
        <v>4</v>
      </c>
      <c r="C450" s="111">
        <v>21004</v>
      </c>
      <c r="D450" s="111" t="s">
        <v>759</v>
      </c>
      <c r="E450" s="111" t="s">
        <v>448</v>
      </c>
      <c r="F450" s="265">
        <v>42024</v>
      </c>
      <c r="G450" s="265">
        <v>42077</v>
      </c>
      <c r="H450" s="111">
        <v>1272.77</v>
      </c>
      <c r="I450" s="111">
        <v>0</v>
      </c>
      <c r="J450" s="295">
        <v>1</v>
      </c>
      <c r="K450" s="111">
        <f t="shared" si="23"/>
        <v>12.7277</v>
      </c>
      <c r="L450" s="29">
        <f t="shared" si="24"/>
        <v>53</v>
      </c>
    </row>
    <row r="451" spans="2:12">
      <c r="B451" s="111">
        <v>4</v>
      </c>
      <c r="C451" s="111">
        <v>21126</v>
      </c>
      <c r="D451" s="111" t="s">
        <v>759</v>
      </c>
      <c r="E451" s="111" t="s">
        <v>448</v>
      </c>
      <c r="F451" s="265">
        <v>42025</v>
      </c>
      <c r="G451" s="265">
        <v>42077</v>
      </c>
      <c r="H451" s="111">
        <v>2371.6999999999998</v>
      </c>
      <c r="I451" s="111">
        <v>0</v>
      </c>
      <c r="J451" s="295">
        <v>1</v>
      </c>
      <c r="K451" s="111">
        <f t="shared" si="23"/>
        <v>23.716999999999999</v>
      </c>
      <c r="L451" s="29">
        <f t="shared" si="24"/>
        <v>52</v>
      </c>
    </row>
    <row r="452" spans="2:12">
      <c r="B452" s="111">
        <v>4</v>
      </c>
      <c r="C452" s="111">
        <v>21110</v>
      </c>
      <c r="D452" s="111" t="s">
        <v>759</v>
      </c>
      <c r="E452" s="111" t="s">
        <v>448</v>
      </c>
      <c r="F452" s="265">
        <v>42025</v>
      </c>
      <c r="G452" s="265">
        <v>42069</v>
      </c>
      <c r="H452" s="111">
        <v>435.57</v>
      </c>
      <c r="I452" s="111">
        <v>0</v>
      </c>
      <c r="J452" s="295">
        <v>1</v>
      </c>
      <c r="K452" s="111">
        <f t="shared" si="23"/>
        <v>4.3556999999999997</v>
      </c>
      <c r="L452" s="29">
        <f t="shared" si="24"/>
        <v>44</v>
      </c>
    </row>
    <row r="453" spans="2:12">
      <c r="B453" s="111">
        <v>4</v>
      </c>
      <c r="C453" s="111">
        <v>21269</v>
      </c>
      <c r="D453" s="111" t="s">
        <v>759</v>
      </c>
      <c r="E453" s="111" t="s">
        <v>448</v>
      </c>
      <c r="F453" s="265">
        <v>42027</v>
      </c>
      <c r="G453" s="265">
        <v>42069</v>
      </c>
      <c r="H453" s="111">
        <v>1672.04</v>
      </c>
      <c r="I453" s="111">
        <v>0</v>
      </c>
      <c r="J453" s="295">
        <v>1</v>
      </c>
      <c r="K453" s="111">
        <f t="shared" si="23"/>
        <v>16.720400000000001</v>
      </c>
      <c r="L453" s="29">
        <f t="shared" si="24"/>
        <v>42</v>
      </c>
    </row>
    <row r="454" spans="2:12">
      <c r="B454" s="111">
        <v>4</v>
      </c>
      <c r="C454" s="111">
        <v>21273</v>
      </c>
      <c r="D454" s="111" t="s">
        <v>760</v>
      </c>
      <c r="E454" s="111" t="s">
        <v>448</v>
      </c>
      <c r="F454" s="265">
        <v>42027</v>
      </c>
      <c r="G454" s="265">
        <v>42067</v>
      </c>
      <c r="H454" s="111">
        <v>256.23</v>
      </c>
      <c r="I454" s="111">
        <v>0</v>
      </c>
      <c r="J454" s="295">
        <v>1</v>
      </c>
      <c r="K454" s="111">
        <f t="shared" si="23"/>
        <v>2.5623</v>
      </c>
      <c r="L454" s="29">
        <f t="shared" si="24"/>
        <v>40</v>
      </c>
    </row>
    <row r="455" spans="2:12">
      <c r="B455" s="111">
        <v>4</v>
      </c>
      <c r="C455" s="111">
        <v>21399</v>
      </c>
      <c r="D455" s="111" t="s">
        <v>760</v>
      </c>
      <c r="E455" s="111" t="s">
        <v>448</v>
      </c>
      <c r="F455" s="265">
        <v>42030</v>
      </c>
      <c r="G455" s="265">
        <v>42067</v>
      </c>
      <c r="H455" s="111">
        <v>644.98</v>
      </c>
      <c r="I455" s="111">
        <v>0</v>
      </c>
      <c r="J455" s="295">
        <v>1</v>
      </c>
      <c r="K455" s="111">
        <f t="shared" si="23"/>
        <v>6.4498000000000006</v>
      </c>
      <c r="L455" s="29">
        <f t="shared" si="24"/>
        <v>37</v>
      </c>
    </row>
    <row r="456" spans="2:12">
      <c r="B456" s="111">
        <v>4</v>
      </c>
      <c r="C456" s="111">
        <v>21465</v>
      </c>
      <c r="D456" s="111" t="s">
        <v>757</v>
      </c>
      <c r="E456" s="111" t="s">
        <v>448</v>
      </c>
      <c r="F456" s="265">
        <v>42031</v>
      </c>
      <c r="G456" s="265">
        <v>42067</v>
      </c>
      <c r="H456" s="111">
        <v>298.70999999999998</v>
      </c>
      <c r="I456" s="111">
        <v>0</v>
      </c>
      <c r="J456" s="295">
        <v>1</v>
      </c>
      <c r="K456" s="111">
        <f t="shared" si="23"/>
        <v>2.9870999999999999</v>
      </c>
      <c r="L456" s="29">
        <f t="shared" si="24"/>
        <v>36</v>
      </c>
    </row>
    <row r="457" spans="2:12">
      <c r="B457" s="111">
        <v>4</v>
      </c>
      <c r="C457" s="111">
        <v>21423</v>
      </c>
      <c r="D457" s="111" t="s">
        <v>759</v>
      </c>
      <c r="E457" s="111" t="s">
        <v>448</v>
      </c>
      <c r="F457" s="265">
        <v>42031</v>
      </c>
      <c r="G457" s="265">
        <v>42077</v>
      </c>
      <c r="H457" s="111">
        <v>1677.56</v>
      </c>
      <c r="I457" s="111">
        <v>0</v>
      </c>
      <c r="J457" s="295">
        <v>1</v>
      </c>
      <c r="K457" s="111">
        <f t="shared" si="23"/>
        <v>16.775600000000001</v>
      </c>
      <c r="L457" s="29">
        <f t="shared" si="24"/>
        <v>46</v>
      </c>
    </row>
    <row r="458" spans="2:12">
      <c r="B458" s="111">
        <v>4</v>
      </c>
      <c r="C458" s="111">
        <v>21427</v>
      </c>
      <c r="D458" s="111" t="s">
        <v>759</v>
      </c>
      <c r="E458" s="111" t="s">
        <v>448</v>
      </c>
      <c r="F458" s="265">
        <v>42031</v>
      </c>
      <c r="G458" s="265">
        <v>42084</v>
      </c>
      <c r="H458" s="111">
        <v>2863.17</v>
      </c>
      <c r="I458" s="111">
        <v>0</v>
      </c>
      <c r="J458" s="295">
        <v>1</v>
      </c>
      <c r="K458" s="111">
        <f t="shared" si="23"/>
        <v>28.631700000000002</v>
      </c>
      <c r="L458" s="29">
        <f t="shared" si="24"/>
        <v>53</v>
      </c>
    </row>
    <row r="459" spans="2:12">
      <c r="B459" s="111">
        <v>4</v>
      </c>
      <c r="C459" s="111">
        <v>21517</v>
      </c>
      <c r="D459" s="111" t="s">
        <v>759</v>
      </c>
      <c r="E459" s="111" t="s">
        <v>448</v>
      </c>
      <c r="F459" s="265">
        <v>42032</v>
      </c>
      <c r="G459" s="265">
        <v>42077</v>
      </c>
      <c r="H459" s="111">
        <v>139.69999999999999</v>
      </c>
      <c r="I459" s="111">
        <v>108.41</v>
      </c>
      <c r="J459" s="295">
        <v>1</v>
      </c>
      <c r="K459" s="111">
        <f t="shared" si="23"/>
        <v>0.3128999999999999</v>
      </c>
      <c r="L459" s="29">
        <f t="shared" si="24"/>
        <v>45</v>
      </c>
    </row>
    <row r="460" spans="2:12">
      <c r="B460" s="111">
        <v>4</v>
      </c>
      <c r="C460" s="111">
        <v>21578</v>
      </c>
      <c r="D460" s="111" t="s">
        <v>759</v>
      </c>
      <c r="E460" s="111" t="s">
        <v>448</v>
      </c>
      <c r="F460" s="265">
        <v>42033</v>
      </c>
      <c r="G460" s="265">
        <v>42084</v>
      </c>
      <c r="H460" s="111">
        <v>337.33</v>
      </c>
      <c r="I460" s="111">
        <v>0</v>
      </c>
      <c r="J460" s="295">
        <v>1</v>
      </c>
      <c r="K460" s="111">
        <f t="shared" si="23"/>
        <v>3.3733</v>
      </c>
      <c r="L460" s="29">
        <f t="shared" si="24"/>
        <v>51</v>
      </c>
    </row>
    <row r="461" spans="2:12">
      <c r="B461" s="111">
        <v>4</v>
      </c>
      <c r="C461" s="111">
        <v>21579</v>
      </c>
      <c r="D461" s="111" t="s">
        <v>757</v>
      </c>
      <c r="E461" s="111" t="s">
        <v>448</v>
      </c>
      <c r="F461" s="265">
        <v>42033</v>
      </c>
      <c r="G461" s="265">
        <v>42067</v>
      </c>
      <c r="H461" s="111">
        <v>139.19999999999999</v>
      </c>
      <c r="I461" s="111">
        <v>0</v>
      </c>
      <c r="J461" s="295">
        <v>1</v>
      </c>
      <c r="K461" s="111">
        <f t="shared" si="23"/>
        <v>1.3919999999999999</v>
      </c>
      <c r="L461" s="29">
        <f t="shared" si="24"/>
        <v>34</v>
      </c>
    </row>
    <row r="462" spans="2:12">
      <c r="B462" s="111">
        <v>4</v>
      </c>
      <c r="C462" s="111">
        <v>21683</v>
      </c>
      <c r="D462" s="111" t="s">
        <v>757</v>
      </c>
      <c r="E462" s="111" t="s">
        <v>448</v>
      </c>
      <c r="F462" s="265">
        <v>42034</v>
      </c>
      <c r="G462" s="265">
        <v>42067</v>
      </c>
      <c r="H462" s="111">
        <v>615.42999999999995</v>
      </c>
      <c r="I462" s="111">
        <v>0</v>
      </c>
      <c r="J462" s="295">
        <v>1</v>
      </c>
      <c r="K462" s="111">
        <f t="shared" si="23"/>
        <v>6.1542999999999992</v>
      </c>
      <c r="L462" s="29">
        <f t="shared" si="24"/>
        <v>33</v>
      </c>
    </row>
    <row r="463" spans="2:12">
      <c r="B463" s="111">
        <v>4</v>
      </c>
      <c r="C463" s="111">
        <v>21682</v>
      </c>
      <c r="D463" s="111" t="s">
        <v>758</v>
      </c>
      <c r="E463" s="111" t="s">
        <v>448</v>
      </c>
      <c r="F463" s="265">
        <v>42034</v>
      </c>
      <c r="G463" s="265">
        <v>42089</v>
      </c>
      <c r="H463" s="111">
        <v>5019.3599999999997</v>
      </c>
      <c r="I463" s="111">
        <v>0</v>
      </c>
      <c r="J463" s="295">
        <v>1</v>
      </c>
      <c r="K463" s="111">
        <f t="shared" si="23"/>
        <v>50.193599999999996</v>
      </c>
      <c r="L463" s="29">
        <f t="shared" si="24"/>
        <v>55</v>
      </c>
    </row>
    <row r="464" spans="2:12">
      <c r="B464" s="111">
        <v>4</v>
      </c>
      <c r="C464" s="111">
        <v>21732</v>
      </c>
      <c r="D464" s="111" t="s">
        <v>758</v>
      </c>
      <c r="E464" s="111" t="s">
        <v>448</v>
      </c>
      <c r="F464" s="265">
        <v>42035</v>
      </c>
      <c r="G464" s="265">
        <v>42089</v>
      </c>
      <c r="H464" s="111">
        <v>2106.6</v>
      </c>
      <c r="I464" s="111">
        <v>0</v>
      </c>
      <c r="J464" s="295">
        <v>1</v>
      </c>
      <c r="K464" s="111">
        <f t="shared" si="23"/>
        <v>21.065999999999999</v>
      </c>
      <c r="L464" s="29">
        <f t="shared" si="24"/>
        <v>54</v>
      </c>
    </row>
    <row r="465" spans="2:12">
      <c r="B465" s="111">
        <v>4</v>
      </c>
      <c r="C465" s="111">
        <v>21736</v>
      </c>
      <c r="D465" s="111" t="s">
        <v>758</v>
      </c>
      <c r="E465" s="111" t="s">
        <v>448</v>
      </c>
      <c r="F465" s="265">
        <v>42035</v>
      </c>
      <c r="G465" s="265">
        <v>42089</v>
      </c>
      <c r="H465" s="111">
        <v>1438.13</v>
      </c>
      <c r="I465" s="111">
        <v>0</v>
      </c>
      <c r="J465" s="295">
        <v>1</v>
      </c>
      <c r="K465" s="111">
        <f t="shared" si="23"/>
        <v>14.381300000000001</v>
      </c>
      <c r="L465" s="29">
        <f t="shared" si="24"/>
        <v>54</v>
      </c>
    </row>
    <row r="466" spans="2:12">
      <c r="B466" s="111">
        <v>4</v>
      </c>
      <c r="C466" s="111">
        <v>21741</v>
      </c>
      <c r="D466" s="111" t="s">
        <v>759</v>
      </c>
      <c r="E466" s="111" t="s">
        <v>448</v>
      </c>
      <c r="F466" s="265">
        <v>42035</v>
      </c>
      <c r="G466" s="265">
        <v>42084</v>
      </c>
      <c r="H466" s="111">
        <v>2751.84</v>
      </c>
      <c r="I466" s="111">
        <v>0</v>
      </c>
      <c r="J466" s="295">
        <v>1</v>
      </c>
      <c r="K466" s="111">
        <f t="shared" si="23"/>
        <v>27.518400000000003</v>
      </c>
      <c r="L466" s="29">
        <f t="shared" si="24"/>
        <v>49</v>
      </c>
    </row>
    <row r="467" spans="2:12">
      <c r="B467" s="111">
        <v>4</v>
      </c>
      <c r="C467" s="111">
        <v>21737</v>
      </c>
      <c r="D467" s="111" t="s">
        <v>759</v>
      </c>
      <c r="E467" s="111" t="s">
        <v>448</v>
      </c>
      <c r="F467" s="265">
        <v>42035</v>
      </c>
      <c r="G467" s="265">
        <v>42084</v>
      </c>
      <c r="H467" s="111">
        <v>1491.37</v>
      </c>
      <c r="I467" s="111">
        <v>0</v>
      </c>
      <c r="J467" s="295">
        <v>1</v>
      </c>
      <c r="K467" s="111">
        <f t="shared" si="23"/>
        <v>14.913699999999999</v>
      </c>
      <c r="L467" s="29">
        <f t="shared" si="24"/>
        <v>49</v>
      </c>
    </row>
    <row r="468" spans="2:12">
      <c r="B468" s="111">
        <v>4</v>
      </c>
      <c r="C468" s="111">
        <v>21740</v>
      </c>
      <c r="D468" s="111" t="s">
        <v>759</v>
      </c>
      <c r="E468" s="111" t="s">
        <v>448</v>
      </c>
      <c r="F468" s="265">
        <v>42035</v>
      </c>
      <c r="G468" s="265">
        <v>42090</v>
      </c>
      <c r="H468" s="111">
        <v>2065.52</v>
      </c>
      <c r="I468" s="111">
        <v>0</v>
      </c>
      <c r="J468" s="295">
        <v>1</v>
      </c>
      <c r="K468" s="111">
        <f t="shared" si="23"/>
        <v>20.655200000000001</v>
      </c>
      <c r="L468" s="29">
        <f t="shared" si="24"/>
        <v>55</v>
      </c>
    </row>
    <row r="469" spans="2:12">
      <c r="B469" s="111">
        <v>4</v>
      </c>
      <c r="C469" s="111">
        <v>21829</v>
      </c>
      <c r="D469" s="111" t="s">
        <v>760</v>
      </c>
      <c r="E469" s="111" t="s">
        <v>448</v>
      </c>
      <c r="F469" s="265">
        <v>42038</v>
      </c>
      <c r="G469" s="265">
        <v>42090</v>
      </c>
      <c r="H469" s="111">
        <v>55.57</v>
      </c>
      <c r="I469" s="111">
        <v>0</v>
      </c>
      <c r="J469" s="295">
        <v>1</v>
      </c>
      <c r="K469" s="111">
        <f t="shared" si="23"/>
        <v>0.55569999999999997</v>
      </c>
      <c r="L469" s="29">
        <f t="shared" si="24"/>
        <v>52</v>
      </c>
    </row>
    <row r="470" spans="2:12">
      <c r="B470" s="111">
        <v>4</v>
      </c>
      <c r="C470" s="111">
        <v>21935</v>
      </c>
      <c r="D470" s="111" t="s">
        <v>759</v>
      </c>
      <c r="E470" s="111" t="s">
        <v>448</v>
      </c>
      <c r="F470" s="265">
        <v>42040</v>
      </c>
      <c r="G470" s="265">
        <v>42090</v>
      </c>
      <c r="H470" s="111">
        <v>235.74</v>
      </c>
      <c r="I470" s="111">
        <v>0</v>
      </c>
      <c r="J470" s="295">
        <v>1</v>
      </c>
      <c r="K470" s="111">
        <f t="shared" ref="K470:K501" si="25">(H470-I470)*J470%</f>
        <v>2.3574000000000002</v>
      </c>
      <c r="L470" s="29">
        <f t="shared" ref="L470:L501" si="26">G470-F470</f>
        <v>50</v>
      </c>
    </row>
    <row r="471" spans="2:12">
      <c r="B471" s="111">
        <v>4</v>
      </c>
      <c r="C471" s="111">
        <v>21936</v>
      </c>
      <c r="D471" s="111" t="s">
        <v>758</v>
      </c>
      <c r="E471" s="111" t="s">
        <v>448</v>
      </c>
      <c r="F471" s="265">
        <v>42040</v>
      </c>
      <c r="G471" s="265">
        <v>42089</v>
      </c>
      <c r="H471" s="111">
        <v>659.38</v>
      </c>
      <c r="I471" s="111">
        <v>0</v>
      </c>
      <c r="J471" s="295">
        <v>1</v>
      </c>
      <c r="K471" s="111">
        <f t="shared" si="25"/>
        <v>6.5937999999999999</v>
      </c>
      <c r="L471" s="29">
        <f t="shared" si="26"/>
        <v>49</v>
      </c>
    </row>
    <row r="472" spans="2:12">
      <c r="B472" s="111">
        <v>4</v>
      </c>
      <c r="C472" s="111">
        <v>22096</v>
      </c>
      <c r="D472" s="111" t="s">
        <v>757</v>
      </c>
      <c r="E472" s="111" t="s">
        <v>448</v>
      </c>
      <c r="F472" s="265">
        <v>42041</v>
      </c>
      <c r="G472" s="265">
        <v>42080</v>
      </c>
      <c r="H472" s="111">
        <v>288.48</v>
      </c>
      <c r="I472" s="111">
        <v>0</v>
      </c>
      <c r="J472" s="295">
        <v>1</v>
      </c>
      <c r="K472" s="111">
        <f t="shared" si="25"/>
        <v>2.8848000000000003</v>
      </c>
      <c r="L472" s="29">
        <f t="shared" si="26"/>
        <v>39</v>
      </c>
    </row>
    <row r="473" spans="2:12">
      <c r="B473" s="111">
        <v>4</v>
      </c>
      <c r="C473" s="111">
        <v>22139</v>
      </c>
      <c r="D473" s="111" t="s">
        <v>759</v>
      </c>
      <c r="E473" s="111" t="s">
        <v>448</v>
      </c>
      <c r="F473" s="265">
        <v>42041</v>
      </c>
      <c r="G473" s="265">
        <v>42083</v>
      </c>
      <c r="H473" s="111">
        <v>1711.3</v>
      </c>
      <c r="I473" s="111">
        <v>0</v>
      </c>
      <c r="J473" s="295">
        <v>1</v>
      </c>
      <c r="K473" s="111">
        <f t="shared" si="25"/>
        <v>17.113</v>
      </c>
      <c r="L473" s="29">
        <f t="shared" si="26"/>
        <v>42</v>
      </c>
    </row>
    <row r="474" spans="2:12">
      <c r="B474" s="111">
        <v>4</v>
      </c>
      <c r="C474" s="111">
        <v>22119</v>
      </c>
      <c r="D474" s="111" t="s">
        <v>758</v>
      </c>
      <c r="E474" s="111" t="s">
        <v>448</v>
      </c>
      <c r="F474" s="265">
        <v>42041</v>
      </c>
      <c r="G474" s="265">
        <v>42089</v>
      </c>
      <c r="H474" s="111">
        <v>2454.9499999999998</v>
      </c>
      <c r="I474" s="111">
        <v>0</v>
      </c>
      <c r="J474" s="295">
        <v>1</v>
      </c>
      <c r="K474" s="111">
        <f t="shared" si="25"/>
        <v>24.549499999999998</v>
      </c>
      <c r="L474" s="29">
        <f t="shared" si="26"/>
        <v>48</v>
      </c>
    </row>
    <row r="475" spans="2:12">
      <c r="B475" s="111">
        <v>4</v>
      </c>
      <c r="C475" s="111">
        <v>21931</v>
      </c>
      <c r="D475" s="111" t="s">
        <v>758</v>
      </c>
      <c r="E475" s="111" t="s">
        <v>448</v>
      </c>
      <c r="F475" s="265">
        <v>42040</v>
      </c>
      <c r="G475" s="265">
        <v>42089</v>
      </c>
      <c r="H475" s="111">
        <v>505.41</v>
      </c>
      <c r="I475" s="111">
        <v>0</v>
      </c>
      <c r="J475" s="295">
        <v>1</v>
      </c>
      <c r="K475" s="111">
        <f t="shared" si="25"/>
        <v>5.0541</v>
      </c>
      <c r="L475" s="29">
        <f t="shared" si="26"/>
        <v>49</v>
      </c>
    </row>
    <row r="476" spans="2:12">
      <c r="B476" s="111">
        <v>4</v>
      </c>
      <c r="C476" s="111">
        <v>22171</v>
      </c>
      <c r="D476" s="111" t="s">
        <v>758</v>
      </c>
      <c r="E476" s="111" t="s">
        <v>448</v>
      </c>
      <c r="F476" s="265">
        <v>42042</v>
      </c>
      <c r="G476" s="265">
        <v>42089</v>
      </c>
      <c r="H476" s="111">
        <v>3414.42</v>
      </c>
      <c r="I476" s="111">
        <v>0</v>
      </c>
      <c r="J476" s="295">
        <v>1</v>
      </c>
      <c r="K476" s="111">
        <f t="shared" si="25"/>
        <v>34.144199999999998</v>
      </c>
      <c r="L476" s="29">
        <f t="shared" si="26"/>
        <v>47</v>
      </c>
    </row>
    <row r="477" spans="2:12">
      <c r="B477" s="111">
        <v>4</v>
      </c>
      <c r="C477" s="111">
        <v>22166</v>
      </c>
      <c r="D477" s="111" t="s">
        <v>758</v>
      </c>
      <c r="E477" s="111" t="s">
        <v>448</v>
      </c>
      <c r="F477" s="265">
        <v>42042</v>
      </c>
      <c r="G477" s="265">
        <v>42089</v>
      </c>
      <c r="H477" s="111">
        <v>3110.42</v>
      </c>
      <c r="I477" s="111">
        <v>0</v>
      </c>
      <c r="J477" s="295">
        <v>1</v>
      </c>
      <c r="K477" s="111">
        <f t="shared" si="25"/>
        <v>31.104200000000002</v>
      </c>
      <c r="L477" s="29">
        <f t="shared" si="26"/>
        <v>47</v>
      </c>
    </row>
    <row r="478" spans="2:12">
      <c r="B478" s="111">
        <v>4</v>
      </c>
      <c r="C478" s="111">
        <v>22165</v>
      </c>
      <c r="D478" s="111" t="s">
        <v>758</v>
      </c>
      <c r="E478" s="111" t="s">
        <v>448</v>
      </c>
      <c r="F478" s="265">
        <v>42042</v>
      </c>
      <c r="G478" s="265">
        <v>42089</v>
      </c>
      <c r="H478" s="111">
        <v>6891.91</v>
      </c>
      <c r="I478" s="111">
        <v>0</v>
      </c>
      <c r="J478" s="295">
        <v>1</v>
      </c>
      <c r="K478" s="111">
        <f t="shared" si="25"/>
        <v>68.9191</v>
      </c>
      <c r="L478" s="29">
        <f t="shared" si="26"/>
        <v>47</v>
      </c>
    </row>
    <row r="479" spans="2:12">
      <c r="B479" s="111">
        <v>4</v>
      </c>
      <c r="C479" s="111">
        <v>22153</v>
      </c>
      <c r="D479" s="111" t="s">
        <v>759</v>
      </c>
      <c r="E479" s="111" t="s">
        <v>448</v>
      </c>
      <c r="F479" s="265">
        <v>42042</v>
      </c>
      <c r="G479" s="265">
        <v>42090</v>
      </c>
      <c r="H479" s="111">
        <v>10622.06</v>
      </c>
      <c r="I479" s="111">
        <v>0</v>
      </c>
      <c r="J479" s="295">
        <v>1</v>
      </c>
      <c r="K479" s="111">
        <f t="shared" si="25"/>
        <v>106.22059999999999</v>
      </c>
      <c r="L479" s="29">
        <f t="shared" si="26"/>
        <v>48</v>
      </c>
    </row>
    <row r="480" spans="2:12">
      <c r="B480" s="111">
        <v>4</v>
      </c>
      <c r="C480" s="111">
        <v>22182</v>
      </c>
      <c r="D480" s="111" t="s">
        <v>758</v>
      </c>
      <c r="E480" s="111" t="s">
        <v>448</v>
      </c>
      <c r="F480" s="265">
        <v>42042</v>
      </c>
      <c r="G480" s="265">
        <v>42089</v>
      </c>
      <c r="H480" s="111">
        <v>122.65</v>
      </c>
      <c r="I480" s="111">
        <v>0</v>
      </c>
      <c r="J480" s="295">
        <v>1</v>
      </c>
      <c r="K480" s="111">
        <f t="shared" si="25"/>
        <v>1.2265000000000001</v>
      </c>
      <c r="L480" s="29">
        <f t="shared" si="26"/>
        <v>47</v>
      </c>
    </row>
    <row r="481" spans="2:12">
      <c r="B481" s="111">
        <v>4</v>
      </c>
      <c r="C481" s="111">
        <v>22257</v>
      </c>
      <c r="D481" s="111" t="s">
        <v>759</v>
      </c>
      <c r="E481" s="111" t="s">
        <v>448</v>
      </c>
      <c r="F481" s="265">
        <v>42044</v>
      </c>
      <c r="G481" s="265">
        <v>42083</v>
      </c>
      <c r="H481" s="111">
        <v>2236.54</v>
      </c>
      <c r="I481" s="111">
        <v>0</v>
      </c>
      <c r="J481" s="295">
        <v>1</v>
      </c>
      <c r="K481" s="111">
        <f t="shared" si="25"/>
        <v>22.365400000000001</v>
      </c>
      <c r="L481" s="29">
        <f t="shared" si="26"/>
        <v>39</v>
      </c>
    </row>
    <row r="482" spans="2:12">
      <c r="B482" s="111">
        <v>4</v>
      </c>
      <c r="C482" s="111">
        <v>22237</v>
      </c>
      <c r="D482" s="111" t="s">
        <v>759</v>
      </c>
      <c r="E482" s="111" t="s">
        <v>448</v>
      </c>
      <c r="F482" s="265">
        <v>42044</v>
      </c>
      <c r="G482" s="265">
        <v>42077</v>
      </c>
      <c r="H482" s="111">
        <v>60.57</v>
      </c>
      <c r="I482" s="111">
        <v>0</v>
      </c>
      <c r="J482" s="295">
        <v>1</v>
      </c>
      <c r="K482" s="111">
        <f t="shared" si="25"/>
        <v>0.60570000000000002</v>
      </c>
      <c r="L482" s="29">
        <f t="shared" si="26"/>
        <v>33</v>
      </c>
    </row>
    <row r="483" spans="2:12">
      <c r="B483" s="111">
        <v>4</v>
      </c>
      <c r="C483" s="111">
        <v>22241</v>
      </c>
      <c r="D483" s="111" t="s">
        <v>760</v>
      </c>
      <c r="E483" s="111" t="s">
        <v>448</v>
      </c>
      <c r="F483" s="265">
        <v>42044</v>
      </c>
      <c r="G483" s="265">
        <v>42090</v>
      </c>
      <c r="H483" s="111">
        <v>1090.1400000000001</v>
      </c>
      <c r="I483" s="111">
        <v>0</v>
      </c>
      <c r="J483" s="295">
        <v>1</v>
      </c>
      <c r="K483" s="111">
        <f t="shared" si="25"/>
        <v>10.901400000000001</v>
      </c>
      <c r="L483" s="29">
        <f t="shared" si="26"/>
        <v>46</v>
      </c>
    </row>
    <row r="484" spans="2:12">
      <c r="B484" s="111">
        <v>4</v>
      </c>
      <c r="C484" s="111">
        <v>22240</v>
      </c>
      <c r="D484" s="111" t="s">
        <v>759</v>
      </c>
      <c r="E484" s="111" t="s">
        <v>448</v>
      </c>
      <c r="F484" s="265">
        <v>42044</v>
      </c>
      <c r="G484" s="265">
        <v>42083</v>
      </c>
      <c r="H484" s="111">
        <v>382.87</v>
      </c>
      <c r="I484" s="111">
        <v>0</v>
      </c>
      <c r="J484" s="295">
        <v>1</v>
      </c>
      <c r="K484" s="111">
        <f t="shared" si="25"/>
        <v>3.8287</v>
      </c>
      <c r="L484" s="29">
        <f t="shared" si="26"/>
        <v>39</v>
      </c>
    </row>
    <row r="485" spans="2:12">
      <c r="B485" s="111">
        <v>4</v>
      </c>
      <c r="C485" s="111">
        <v>22239</v>
      </c>
      <c r="D485" s="111" t="s">
        <v>759</v>
      </c>
      <c r="E485" s="111" t="s">
        <v>448</v>
      </c>
      <c r="F485" s="265">
        <v>42044</v>
      </c>
      <c r="G485" s="265">
        <v>42084</v>
      </c>
      <c r="H485" s="111">
        <v>520.19000000000005</v>
      </c>
      <c r="I485" s="111">
        <v>0</v>
      </c>
      <c r="J485" s="295">
        <v>1</v>
      </c>
      <c r="K485" s="111">
        <f t="shared" si="25"/>
        <v>5.2019000000000011</v>
      </c>
      <c r="L485" s="29">
        <f t="shared" si="26"/>
        <v>40</v>
      </c>
    </row>
    <row r="486" spans="2:12">
      <c r="B486" s="111">
        <v>4</v>
      </c>
      <c r="C486" s="111">
        <v>22383</v>
      </c>
      <c r="D486" s="111" t="s">
        <v>758</v>
      </c>
      <c r="E486" s="111" t="s">
        <v>448</v>
      </c>
      <c r="F486" s="265">
        <v>42046</v>
      </c>
      <c r="G486" s="265">
        <v>42089</v>
      </c>
      <c r="H486" s="111">
        <v>1080.43</v>
      </c>
      <c r="I486" s="111">
        <v>0</v>
      </c>
      <c r="J486" s="295">
        <v>1</v>
      </c>
      <c r="K486" s="111">
        <f t="shared" si="25"/>
        <v>10.804300000000001</v>
      </c>
      <c r="L486" s="29">
        <f t="shared" si="26"/>
        <v>43</v>
      </c>
    </row>
    <row r="487" spans="2:12">
      <c r="B487" s="111">
        <v>4</v>
      </c>
      <c r="C487" s="111">
        <v>22453</v>
      </c>
      <c r="D487" s="111" t="s">
        <v>758</v>
      </c>
      <c r="E487" s="111" t="s">
        <v>448</v>
      </c>
      <c r="F487" s="265">
        <v>42047</v>
      </c>
      <c r="G487" s="265">
        <v>42089</v>
      </c>
      <c r="H487" s="111">
        <v>509.16</v>
      </c>
      <c r="I487" s="111">
        <v>0</v>
      </c>
      <c r="J487" s="295">
        <v>1</v>
      </c>
      <c r="K487" s="111">
        <f t="shared" si="25"/>
        <v>5.0916000000000006</v>
      </c>
      <c r="L487" s="29">
        <f t="shared" si="26"/>
        <v>42</v>
      </c>
    </row>
    <row r="488" spans="2:12">
      <c r="B488" s="111">
        <v>4</v>
      </c>
      <c r="C488" s="111">
        <v>22485</v>
      </c>
      <c r="D488" s="111" t="s">
        <v>759</v>
      </c>
      <c r="E488" s="111" t="s">
        <v>448</v>
      </c>
      <c r="F488" s="265">
        <v>42047</v>
      </c>
      <c r="G488" s="265">
        <v>42090</v>
      </c>
      <c r="H488" s="111">
        <v>1711.3</v>
      </c>
      <c r="I488" s="111">
        <v>0</v>
      </c>
      <c r="J488" s="295">
        <v>1</v>
      </c>
      <c r="K488" s="111">
        <f t="shared" si="25"/>
        <v>17.113</v>
      </c>
      <c r="L488" s="29">
        <f t="shared" si="26"/>
        <v>43</v>
      </c>
    </row>
    <row r="489" spans="2:12">
      <c r="B489" s="111">
        <v>4</v>
      </c>
      <c r="C489" s="111">
        <v>22520</v>
      </c>
      <c r="D489" s="111" t="s">
        <v>758</v>
      </c>
      <c r="E489" s="111" t="s">
        <v>448</v>
      </c>
      <c r="F489" s="265">
        <v>42048</v>
      </c>
      <c r="G489" s="265">
        <v>42089</v>
      </c>
      <c r="H489" s="111">
        <v>530.65</v>
      </c>
      <c r="I489" s="111">
        <v>0</v>
      </c>
      <c r="J489" s="295">
        <v>1</v>
      </c>
      <c r="K489" s="111">
        <f t="shared" si="25"/>
        <v>5.3064999999999998</v>
      </c>
      <c r="L489" s="29">
        <f t="shared" si="26"/>
        <v>41</v>
      </c>
    </row>
    <row r="490" spans="2:12">
      <c r="B490" s="111">
        <v>4</v>
      </c>
      <c r="C490" s="111">
        <v>22522</v>
      </c>
      <c r="D490" s="111" t="s">
        <v>758</v>
      </c>
      <c r="E490" s="111" t="s">
        <v>448</v>
      </c>
      <c r="F490" s="265">
        <v>42048</v>
      </c>
      <c r="G490" s="265">
        <v>42089</v>
      </c>
      <c r="H490" s="111">
        <v>1510.43</v>
      </c>
      <c r="I490" s="111">
        <v>0</v>
      </c>
      <c r="J490" s="295">
        <v>1</v>
      </c>
      <c r="K490" s="111">
        <f t="shared" si="25"/>
        <v>15.1043</v>
      </c>
      <c r="L490" s="29">
        <f t="shared" si="26"/>
        <v>41</v>
      </c>
    </row>
    <row r="491" spans="2:12">
      <c r="B491" s="111">
        <v>4</v>
      </c>
      <c r="C491" s="111">
        <v>22537</v>
      </c>
      <c r="D491" s="111" t="s">
        <v>757</v>
      </c>
      <c r="E491" s="111" t="s">
        <v>448</v>
      </c>
      <c r="F491" s="265">
        <v>42048</v>
      </c>
      <c r="G491" s="265">
        <v>42080</v>
      </c>
      <c r="H491" s="111">
        <v>161.19999999999999</v>
      </c>
      <c r="I491" s="111">
        <v>0</v>
      </c>
      <c r="J491" s="295">
        <v>1</v>
      </c>
      <c r="K491" s="111">
        <f t="shared" si="25"/>
        <v>1.6119999999999999</v>
      </c>
      <c r="L491" s="29">
        <f t="shared" si="26"/>
        <v>32</v>
      </c>
    </row>
    <row r="492" spans="2:12">
      <c r="B492" s="111">
        <v>4</v>
      </c>
      <c r="C492" s="111">
        <v>22536</v>
      </c>
      <c r="D492" s="111" t="s">
        <v>758</v>
      </c>
      <c r="E492" s="111" t="s">
        <v>448</v>
      </c>
      <c r="F492" s="265">
        <v>42048</v>
      </c>
      <c r="G492" s="265">
        <v>42093</v>
      </c>
      <c r="H492" s="111">
        <v>1376.55</v>
      </c>
      <c r="I492" s="111">
        <v>96.32</v>
      </c>
      <c r="J492" s="295">
        <v>1</v>
      </c>
      <c r="K492" s="111">
        <f t="shared" si="25"/>
        <v>12.802300000000001</v>
      </c>
      <c r="L492" s="29">
        <f t="shared" si="26"/>
        <v>45</v>
      </c>
    </row>
    <row r="493" spans="2:12">
      <c r="B493" s="111">
        <v>4</v>
      </c>
      <c r="C493" s="111">
        <v>22591</v>
      </c>
      <c r="D493" s="111" t="s">
        <v>758</v>
      </c>
      <c r="E493" s="111" t="s">
        <v>448</v>
      </c>
      <c r="F493" s="265">
        <v>42049</v>
      </c>
      <c r="G493" s="265">
        <v>42094</v>
      </c>
      <c r="H493" s="111">
        <v>4766</v>
      </c>
      <c r="I493" s="111">
        <v>0</v>
      </c>
      <c r="J493" s="295">
        <v>1</v>
      </c>
      <c r="K493" s="111">
        <f t="shared" si="25"/>
        <v>47.660000000000004</v>
      </c>
      <c r="L493" s="29">
        <f t="shared" si="26"/>
        <v>45</v>
      </c>
    </row>
    <row r="494" spans="2:12">
      <c r="B494" s="111">
        <v>4</v>
      </c>
      <c r="C494" s="111">
        <v>22597</v>
      </c>
      <c r="D494" s="111" t="s">
        <v>758</v>
      </c>
      <c r="E494" s="111" t="s">
        <v>448</v>
      </c>
      <c r="F494" s="265">
        <v>42049</v>
      </c>
      <c r="G494" s="265">
        <v>42094</v>
      </c>
      <c r="H494" s="111">
        <v>8568.2000000000007</v>
      </c>
      <c r="I494" s="111">
        <v>0</v>
      </c>
      <c r="J494" s="295">
        <v>1</v>
      </c>
      <c r="K494" s="111">
        <f t="shared" si="25"/>
        <v>85.682000000000002</v>
      </c>
      <c r="L494" s="29">
        <f t="shared" si="26"/>
        <v>45</v>
      </c>
    </row>
    <row r="495" spans="2:12">
      <c r="B495" s="111">
        <v>4</v>
      </c>
      <c r="C495" s="111">
        <v>22598</v>
      </c>
      <c r="D495" s="111" t="s">
        <v>758</v>
      </c>
      <c r="E495" s="111" t="s">
        <v>448</v>
      </c>
      <c r="F495" s="265">
        <v>42049</v>
      </c>
      <c r="G495" s="265">
        <v>42094</v>
      </c>
      <c r="H495" s="111">
        <v>4308.01</v>
      </c>
      <c r="I495" s="111">
        <v>0</v>
      </c>
      <c r="J495" s="295">
        <v>1</v>
      </c>
      <c r="K495" s="111">
        <f t="shared" si="25"/>
        <v>43.080100000000002</v>
      </c>
      <c r="L495" s="29">
        <f t="shared" si="26"/>
        <v>45</v>
      </c>
    </row>
    <row r="496" spans="2:12">
      <c r="B496" s="111">
        <v>4</v>
      </c>
      <c r="C496" s="111">
        <v>22595</v>
      </c>
      <c r="D496" s="111" t="s">
        <v>758</v>
      </c>
      <c r="E496" s="111" t="s">
        <v>448</v>
      </c>
      <c r="F496" s="265">
        <v>42049</v>
      </c>
      <c r="G496" s="265">
        <v>42094</v>
      </c>
      <c r="H496" s="111">
        <v>3394.86</v>
      </c>
      <c r="I496" s="111">
        <v>0</v>
      </c>
      <c r="J496" s="295">
        <v>1</v>
      </c>
      <c r="K496" s="111">
        <f t="shared" si="25"/>
        <v>33.948599999999999</v>
      </c>
      <c r="L496" s="29">
        <f t="shared" si="26"/>
        <v>45</v>
      </c>
    </row>
    <row r="497" spans="2:12">
      <c r="B497" s="111">
        <v>4</v>
      </c>
      <c r="C497" s="111">
        <v>22647</v>
      </c>
      <c r="D497" s="111" t="s">
        <v>757</v>
      </c>
      <c r="E497" s="111" t="s">
        <v>448</v>
      </c>
      <c r="F497" s="265">
        <v>42051</v>
      </c>
      <c r="G497" s="265">
        <v>42094</v>
      </c>
      <c r="H497" s="111">
        <v>434.02</v>
      </c>
      <c r="I497" s="111">
        <v>0</v>
      </c>
      <c r="J497" s="295">
        <v>1</v>
      </c>
      <c r="K497" s="111">
        <f t="shared" si="25"/>
        <v>4.3402000000000003</v>
      </c>
      <c r="L497" s="29">
        <f t="shared" si="26"/>
        <v>43</v>
      </c>
    </row>
    <row r="498" spans="2:12">
      <c r="B498" s="111">
        <v>4</v>
      </c>
      <c r="C498" s="111">
        <v>22699</v>
      </c>
      <c r="D498" s="111" t="s">
        <v>760</v>
      </c>
      <c r="E498" s="111" t="s">
        <v>448</v>
      </c>
      <c r="F498" s="265">
        <v>42052</v>
      </c>
      <c r="G498" s="265">
        <v>42090</v>
      </c>
      <c r="H498" s="111">
        <v>283.61</v>
      </c>
      <c r="I498" s="111">
        <v>0</v>
      </c>
      <c r="J498" s="295">
        <v>1</v>
      </c>
      <c r="K498" s="111">
        <f t="shared" si="25"/>
        <v>2.8361000000000001</v>
      </c>
      <c r="L498" s="29">
        <f t="shared" si="26"/>
        <v>38</v>
      </c>
    </row>
    <row r="499" spans="2:12">
      <c r="B499" s="111">
        <v>4</v>
      </c>
      <c r="C499" s="111">
        <v>22752</v>
      </c>
      <c r="D499" s="111" t="s">
        <v>759</v>
      </c>
      <c r="E499" s="111" t="s">
        <v>448</v>
      </c>
      <c r="F499" s="265">
        <v>42052</v>
      </c>
      <c r="G499" s="265">
        <v>42090</v>
      </c>
      <c r="H499" s="111">
        <v>2322.5700000000002</v>
      </c>
      <c r="I499" s="111">
        <v>0</v>
      </c>
      <c r="J499" s="295">
        <v>1</v>
      </c>
      <c r="K499" s="111">
        <f t="shared" si="25"/>
        <v>23.225700000000003</v>
      </c>
      <c r="L499" s="29">
        <f t="shared" si="26"/>
        <v>38</v>
      </c>
    </row>
    <row r="500" spans="2:12">
      <c r="B500" s="111">
        <v>4</v>
      </c>
      <c r="C500" s="111">
        <v>22891</v>
      </c>
      <c r="D500" s="111" t="s">
        <v>759</v>
      </c>
      <c r="E500" s="111" t="s">
        <v>448</v>
      </c>
      <c r="F500" s="265">
        <v>42054</v>
      </c>
      <c r="G500" s="265">
        <v>42090</v>
      </c>
      <c r="H500" s="111">
        <v>3315.44</v>
      </c>
      <c r="I500" s="111">
        <v>0</v>
      </c>
      <c r="J500" s="295">
        <v>1</v>
      </c>
      <c r="K500" s="111">
        <f t="shared" si="25"/>
        <v>33.154400000000003</v>
      </c>
      <c r="L500" s="29">
        <f t="shared" si="26"/>
        <v>36</v>
      </c>
    </row>
    <row r="501" spans="2:12">
      <c r="B501" s="111">
        <v>4</v>
      </c>
      <c r="C501" s="111">
        <v>22841</v>
      </c>
      <c r="D501" s="111" t="s">
        <v>758</v>
      </c>
      <c r="E501" s="111" t="s">
        <v>448</v>
      </c>
      <c r="F501" s="265">
        <v>42054</v>
      </c>
      <c r="G501" s="265">
        <v>42094</v>
      </c>
      <c r="H501" s="111">
        <v>2414.92</v>
      </c>
      <c r="I501" s="111">
        <v>0</v>
      </c>
      <c r="J501" s="295">
        <v>1</v>
      </c>
      <c r="K501" s="111">
        <f t="shared" si="25"/>
        <v>24.1492</v>
      </c>
      <c r="L501" s="29">
        <f t="shared" si="26"/>
        <v>40</v>
      </c>
    </row>
    <row r="502" spans="2:12">
      <c r="B502" s="111">
        <v>4</v>
      </c>
      <c r="C502" s="111">
        <v>22854</v>
      </c>
      <c r="D502" s="111" t="s">
        <v>757</v>
      </c>
      <c r="E502" s="111" t="s">
        <v>448</v>
      </c>
      <c r="F502" s="265">
        <v>42054</v>
      </c>
      <c r="G502" s="265">
        <v>42094</v>
      </c>
      <c r="H502" s="111">
        <v>250.43</v>
      </c>
      <c r="I502" s="111">
        <v>0</v>
      </c>
      <c r="J502" s="295">
        <v>1</v>
      </c>
      <c r="K502" s="111">
        <f t="shared" ref="K502:K533" si="27">(H502-I502)*J502%</f>
        <v>2.5043000000000002</v>
      </c>
      <c r="L502" s="29">
        <f t="shared" ref="L502:L533" si="28">G502-F502</f>
        <v>40</v>
      </c>
    </row>
    <row r="503" spans="2:12">
      <c r="B503" s="111">
        <v>4</v>
      </c>
      <c r="C503" s="111">
        <v>22893</v>
      </c>
      <c r="D503" s="111" t="s">
        <v>759</v>
      </c>
      <c r="E503" s="111" t="s">
        <v>448</v>
      </c>
      <c r="F503" s="265">
        <v>42054</v>
      </c>
      <c r="G503" s="265">
        <v>42090</v>
      </c>
      <c r="H503" s="111">
        <v>2792.01</v>
      </c>
      <c r="I503" s="111">
        <v>0</v>
      </c>
      <c r="J503" s="295">
        <v>1</v>
      </c>
      <c r="K503" s="111">
        <f t="shared" si="27"/>
        <v>27.920100000000001</v>
      </c>
      <c r="L503" s="29">
        <f t="shared" si="28"/>
        <v>36</v>
      </c>
    </row>
    <row r="504" spans="2:12">
      <c r="B504" s="111">
        <v>4</v>
      </c>
      <c r="C504" s="111">
        <v>22894</v>
      </c>
      <c r="D504" s="111" t="s">
        <v>759</v>
      </c>
      <c r="E504" s="111" t="s">
        <v>448</v>
      </c>
      <c r="F504" s="265">
        <v>42054</v>
      </c>
      <c r="G504" s="265">
        <v>42090</v>
      </c>
      <c r="H504" s="111">
        <v>3384.78</v>
      </c>
      <c r="I504" s="111">
        <v>0</v>
      </c>
      <c r="J504" s="295">
        <v>1</v>
      </c>
      <c r="K504" s="111">
        <f t="shared" si="27"/>
        <v>33.847799999999999</v>
      </c>
      <c r="L504" s="29">
        <f t="shared" si="28"/>
        <v>36</v>
      </c>
    </row>
    <row r="505" spans="2:12">
      <c r="B505" s="111">
        <v>4</v>
      </c>
      <c r="C505" s="111">
        <v>22937</v>
      </c>
      <c r="D505" s="111" t="s">
        <v>757</v>
      </c>
      <c r="E505" s="111" t="s">
        <v>448</v>
      </c>
      <c r="F505" s="265">
        <v>42055</v>
      </c>
      <c r="G505" s="265">
        <v>42094</v>
      </c>
      <c r="H505" s="111">
        <v>433.83</v>
      </c>
      <c r="I505" s="111">
        <v>0</v>
      </c>
      <c r="J505" s="295">
        <v>1</v>
      </c>
      <c r="K505" s="111">
        <f t="shared" si="27"/>
        <v>4.3383000000000003</v>
      </c>
      <c r="L505" s="29">
        <f t="shared" si="28"/>
        <v>39</v>
      </c>
    </row>
    <row r="506" spans="2:12">
      <c r="B506" s="111">
        <v>4</v>
      </c>
      <c r="C506" s="111">
        <v>22959</v>
      </c>
      <c r="D506" s="111" t="s">
        <v>758</v>
      </c>
      <c r="E506" s="111" t="s">
        <v>448</v>
      </c>
      <c r="F506" s="265">
        <v>42055</v>
      </c>
      <c r="G506" s="265">
        <v>42094</v>
      </c>
      <c r="H506" s="111">
        <v>1164.42</v>
      </c>
      <c r="I506" s="111">
        <v>0</v>
      </c>
      <c r="J506" s="295">
        <v>1</v>
      </c>
      <c r="K506" s="111">
        <f t="shared" si="27"/>
        <v>11.644200000000001</v>
      </c>
      <c r="L506" s="29">
        <f t="shared" si="28"/>
        <v>39</v>
      </c>
    </row>
    <row r="507" spans="2:12">
      <c r="B507" s="111">
        <v>4</v>
      </c>
      <c r="C507" s="111">
        <v>23003</v>
      </c>
      <c r="D507" s="111" t="s">
        <v>758</v>
      </c>
      <c r="E507" s="111" t="s">
        <v>448</v>
      </c>
      <c r="F507" s="265">
        <v>42056</v>
      </c>
      <c r="G507" s="265">
        <v>42094</v>
      </c>
      <c r="H507" s="111">
        <v>863.53</v>
      </c>
      <c r="I507" s="111">
        <v>0</v>
      </c>
      <c r="J507" s="295">
        <v>1</v>
      </c>
      <c r="K507" s="111">
        <f t="shared" si="27"/>
        <v>8.6352999999999991</v>
      </c>
      <c r="L507" s="29">
        <f t="shared" si="28"/>
        <v>38</v>
      </c>
    </row>
    <row r="508" spans="2:12">
      <c r="B508" s="111">
        <v>4</v>
      </c>
      <c r="C508" s="111">
        <v>23002</v>
      </c>
      <c r="D508" s="111" t="s">
        <v>758</v>
      </c>
      <c r="E508" s="111" t="s">
        <v>448</v>
      </c>
      <c r="F508" s="265">
        <v>42056</v>
      </c>
      <c r="G508" s="265">
        <v>42094</v>
      </c>
      <c r="H508" s="111">
        <v>177.73</v>
      </c>
      <c r="I508" s="111">
        <v>0</v>
      </c>
      <c r="J508" s="295">
        <v>1</v>
      </c>
      <c r="K508" s="111">
        <f t="shared" si="27"/>
        <v>1.7772999999999999</v>
      </c>
      <c r="L508" s="29">
        <f t="shared" si="28"/>
        <v>38</v>
      </c>
    </row>
    <row r="509" spans="2:12">
      <c r="B509" s="111">
        <v>4</v>
      </c>
      <c r="C509" s="111">
        <v>23011</v>
      </c>
      <c r="D509" s="111" t="s">
        <v>758</v>
      </c>
      <c r="E509" s="111" t="s">
        <v>448</v>
      </c>
      <c r="F509" s="265">
        <v>42056</v>
      </c>
      <c r="G509" s="265">
        <v>42094</v>
      </c>
      <c r="H509" s="111">
        <v>2376.08</v>
      </c>
      <c r="I509" s="111">
        <v>0</v>
      </c>
      <c r="J509" s="295">
        <v>1</v>
      </c>
      <c r="K509" s="111">
        <f t="shared" si="27"/>
        <v>23.7608</v>
      </c>
      <c r="L509" s="29">
        <f t="shared" si="28"/>
        <v>38</v>
      </c>
    </row>
    <row r="510" spans="2:12">
      <c r="B510" s="111">
        <v>4</v>
      </c>
      <c r="C510" s="111">
        <v>23057</v>
      </c>
      <c r="D510" s="111" t="s">
        <v>757</v>
      </c>
      <c r="E510" s="111" t="s">
        <v>448</v>
      </c>
      <c r="F510" s="265">
        <v>42058</v>
      </c>
      <c r="G510" s="265">
        <v>42094</v>
      </c>
      <c r="H510" s="111">
        <v>203.46</v>
      </c>
      <c r="I510" s="111">
        <v>0</v>
      </c>
      <c r="J510" s="295">
        <v>1</v>
      </c>
      <c r="K510" s="111">
        <f t="shared" si="27"/>
        <v>2.0346000000000002</v>
      </c>
      <c r="L510" s="29">
        <f t="shared" si="28"/>
        <v>36</v>
      </c>
    </row>
    <row r="511" spans="2:12">
      <c r="B511" s="111">
        <v>4</v>
      </c>
      <c r="C511" s="111">
        <v>23013</v>
      </c>
      <c r="D511" s="111" t="s">
        <v>767</v>
      </c>
      <c r="E511" s="111" t="s">
        <v>448</v>
      </c>
      <c r="F511" s="265">
        <v>42056</v>
      </c>
      <c r="G511" s="265">
        <v>42077</v>
      </c>
      <c r="H511" s="111">
        <v>419.43</v>
      </c>
      <c r="I511" s="111">
        <v>0</v>
      </c>
      <c r="J511" s="295">
        <v>1</v>
      </c>
      <c r="K511" s="111">
        <f t="shared" si="27"/>
        <v>4.1943000000000001</v>
      </c>
      <c r="L511" s="29">
        <f t="shared" si="28"/>
        <v>21</v>
      </c>
    </row>
    <row r="512" spans="2:12">
      <c r="B512" s="111">
        <v>4</v>
      </c>
      <c r="C512" s="111">
        <v>23049</v>
      </c>
      <c r="D512" s="111" t="s">
        <v>758</v>
      </c>
      <c r="E512" s="111" t="s">
        <v>448</v>
      </c>
      <c r="F512" s="265">
        <v>42058</v>
      </c>
      <c r="G512" s="265">
        <v>42094</v>
      </c>
      <c r="H512" s="111">
        <v>870.27</v>
      </c>
      <c r="I512" s="111">
        <v>0</v>
      </c>
      <c r="J512" s="295">
        <v>1</v>
      </c>
      <c r="K512" s="111">
        <f t="shared" si="27"/>
        <v>8.7027000000000001</v>
      </c>
      <c r="L512" s="29">
        <f t="shared" si="28"/>
        <v>36</v>
      </c>
    </row>
    <row r="513" spans="2:12">
      <c r="B513" s="111">
        <v>4</v>
      </c>
      <c r="C513" s="111">
        <v>23052</v>
      </c>
      <c r="D513" s="111" t="s">
        <v>758</v>
      </c>
      <c r="E513" s="111" t="s">
        <v>448</v>
      </c>
      <c r="F513" s="265">
        <v>42058</v>
      </c>
      <c r="G513" s="265">
        <v>42094</v>
      </c>
      <c r="H513" s="111">
        <v>7401.56</v>
      </c>
      <c r="I513" s="111">
        <v>0</v>
      </c>
      <c r="J513" s="295">
        <v>1</v>
      </c>
      <c r="K513" s="111">
        <f t="shared" si="27"/>
        <v>74.015600000000006</v>
      </c>
      <c r="L513" s="29">
        <f t="shared" si="28"/>
        <v>36</v>
      </c>
    </row>
    <row r="514" spans="2:12">
      <c r="B514" s="111">
        <v>4</v>
      </c>
      <c r="C514" s="111">
        <v>23051</v>
      </c>
      <c r="D514" s="111" t="s">
        <v>758</v>
      </c>
      <c r="E514" s="111" t="s">
        <v>448</v>
      </c>
      <c r="F514" s="265">
        <v>42058</v>
      </c>
      <c r="G514" s="265">
        <v>42094</v>
      </c>
      <c r="H514" s="111">
        <v>6541.93</v>
      </c>
      <c r="I514" s="111">
        <v>0</v>
      </c>
      <c r="J514" s="295">
        <v>1</v>
      </c>
      <c r="K514" s="111">
        <f t="shared" si="27"/>
        <v>65.419300000000007</v>
      </c>
      <c r="L514" s="29">
        <f t="shared" si="28"/>
        <v>36</v>
      </c>
    </row>
    <row r="515" spans="2:12">
      <c r="B515" s="111">
        <v>4</v>
      </c>
      <c r="C515" s="111">
        <v>23041</v>
      </c>
      <c r="D515" s="111" t="s">
        <v>767</v>
      </c>
      <c r="E515" s="111" t="s">
        <v>448</v>
      </c>
      <c r="F515" s="265">
        <v>42058</v>
      </c>
      <c r="G515" s="265">
        <v>42077</v>
      </c>
      <c r="H515" s="111">
        <v>293.48</v>
      </c>
      <c r="I515" s="111">
        <v>0</v>
      </c>
      <c r="J515" s="295">
        <v>1</v>
      </c>
      <c r="K515" s="111">
        <f t="shared" si="27"/>
        <v>2.9348000000000001</v>
      </c>
      <c r="L515" s="29">
        <f t="shared" si="28"/>
        <v>19</v>
      </c>
    </row>
    <row r="516" spans="2:12">
      <c r="B516" s="111">
        <v>4</v>
      </c>
      <c r="C516" s="111">
        <v>23126</v>
      </c>
      <c r="D516" s="111" t="s">
        <v>758</v>
      </c>
      <c r="E516" s="111" t="s">
        <v>448</v>
      </c>
      <c r="F516" s="265">
        <v>42059</v>
      </c>
      <c r="G516" s="265">
        <v>42094</v>
      </c>
      <c r="H516" s="111">
        <v>255.15</v>
      </c>
      <c r="I516" s="111">
        <v>0</v>
      </c>
      <c r="J516" s="295">
        <v>1</v>
      </c>
      <c r="K516" s="111">
        <f t="shared" si="27"/>
        <v>2.5515000000000003</v>
      </c>
      <c r="L516" s="29">
        <f t="shared" si="28"/>
        <v>35</v>
      </c>
    </row>
    <row r="517" spans="2:12">
      <c r="B517" s="111">
        <v>4</v>
      </c>
      <c r="C517" s="111">
        <v>23091</v>
      </c>
      <c r="D517" s="111" t="s">
        <v>760</v>
      </c>
      <c r="E517" s="111" t="s">
        <v>448</v>
      </c>
      <c r="F517" s="265">
        <v>42059</v>
      </c>
      <c r="G517" s="265">
        <v>42090</v>
      </c>
      <c r="H517" s="111">
        <v>616.33000000000004</v>
      </c>
      <c r="I517" s="111">
        <v>0</v>
      </c>
      <c r="J517" s="295">
        <v>1</v>
      </c>
      <c r="K517" s="111">
        <f t="shared" si="27"/>
        <v>6.1633000000000004</v>
      </c>
      <c r="L517" s="29">
        <f t="shared" si="28"/>
        <v>31</v>
      </c>
    </row>
    <row r="518" spans="2:12">
      <c r="B518" s="111">
        <v>4</v>
      </c>
      <c r="C518" s="111">
        <v>23192</v>
      </c>
      <c r="D518" s="111" t="s">
        <v>757</v>
      </c>
      <c r="E518" s="111" t="s">
        <v>448</v>
      </c>
      <c r="F518" s="265">
        <v>42060</v>
      </c>
      <c r="G518" s="265">
        <v>42094</v>
      </c>
      <c r="H518" s="111">
        <v>374.63</v>
      </c>
      <c r="I518" s="111">
        <v>0</v>
      </c>
      <c r="J518" s="295">
        <v>1</v>
      </c>
      <c r="K518" s="111">
        <f t="shared" si="27"/>
        <v>3.7463000000000002</v>
      </c>
      <c r="L518" s="29">
        <f t="shared" si="28"/>
        <v>34</v>
      </c>
    </row>
    <row r="519" spans="2:12">
      <c r="B519" s="111">
        <v>4</v>
      </c>
      <c r="C519" s="111">
        <v>23194</v>
      </c>
      <c r="D519" s="111" t="s">
        <v>758</v>
      </c>
      <c r="E519" s="111" t="s">
        <v>448</v>
      </c>
      <c r="F519" s="265">
        <v>42060</v>
      </c>
      <c r="G519" s="265">
        <v>42094</v>
      </c>
      <c r="H519" s="111">
        <v>222.02</v>
      </c>
      <c r="I519" s="111">
        <v>0</v>
      </c>
      <c r="J519" s="295">
        <v>1</v>
      </c>
      <c r="K519" s="111">
        <f t="shared" si="27"/>
        <v>2.2202000000000002</v>
      </c>
      <c r="L519" s="29">
        <f t="shared" si="28"/>
        <v>34</v>
      </c>
    </row>
    <row r="520" spans="2:12">
      <c r="B520" s="111">
        <v>4</v>
      </c>
      <c r="C520" s="111">
        <v>23184</v>
      </c>
      <c r="D520" s="111" t="s">
        <v>758</v>
      </c>
      <c r="E520" s="111" t="s">
        <v>448</v>
      </c>
      <c r="F520" s="265">
        <v>42060</v>
      </c>
      <c r="G520" s="265">
        <v>42094</v>
      </c>
      <c r="H520" s="111">
        <v>968.75</v>
      </c>
      <c r="I520" s="111">
        <v>0</v>
      </c>
      <c r="J520" s="295">
        <v>1</v>
      </c>
      <c r="K520" s="111">
        <f t="shared" si="27"/>
        <v>9.6875</v>
      </c>
      <c r="L520" s="29">
        <f t="shared" si="28"/>
        <v>34</v>
      </c>
    </row>
    <row r="521" spans="2:12">
      <c r="B521" s="111">
        <v>4</v>
      </c>
      <c r="C521" s="111">
        <v>23185</v>
      </c>
      <c r="D521" s="111" t="s">
        <v>767</v>
      </c>
      <c r="E521" s="111" t="s">
        <v>448</v>
      </c>
      <c r="F521" s="265">
        <v>42060</v>
      </c>
      <c r="G521" s="265">
        <v>42077</v>
      </c>
      <c r="H521" s="111">
        <v>125.39</v>
      </c>
      <c r="I521" s="111">
        <v>0</v>
      </c>
      <c r="J521" s="295">
        <v>1</v>
      </c>
      <c r="K521" s="111">
        <f t="shared" si="27"/>
        <v>1.2539</v>
      </c>
      <c r="L521" s="29">
        <f t="shared" si="28"/>
        <v>17</v>
      </c>
    </row>
    <row r="522" spans="2:12">
      <c r="B522" s="111">
        <v>4</v>
      </c>
      <c r="C522" s="111">
        <v>23269</v>
      </c>
      <c r="D522" s="111" t="s">
        <v>758</v>
      </c>
      <c r="E522" s="111" t="s">
        <v>448</v>
      </c>
      <c r="F522" s="265">
        <v>42061</v>
      </c>
      <c r="G522" s="265">
        <v>42094</v>
      </c>
      <c r="H522" s="111">
        <v>5406.33</v>
      </c>
      <c r="I522" s="111">
        <v>0</v>
      </c>
      <c r="J522" s="295">
        <v>1</v>
      </c>
      <c r="K522" s="111">
        <f t="shared" si="27"/>
        <v>54.063299999999998</v>
      </c>
      <c r="L522" s="29">
        <f t="shared" si="28"/>
        <v>33</v>
      </c>
    </row>
    <row r="523" spans="2:12">
      <c r="B523" s="111">
        <v>4</v>
      </c>
      <c r="C523" s="111">
        <v>23283</v>
      </c>
      <c r="D523" s="111" t="s">
        <v>758</v>
      </c>
      <c r="E523" s="111" t="s">
        <v>448</v>
      </c>
      <c r="F523" s="265">
        <v>42061</v>
      </c>
      <c r="G523" s="265">
        <v>42094</v>
      </c>
      <c r="H523" s="111">
        <v>5363.98</v>
      </c>
      <c r="I523" s="111">
        <v>0</v>
      </c>
      <c r="J523" s="295">
        <v>1</v>
      </c>
      <c r="K523" s="111">
        <f t="shared" si="27"/>
        <v>53.639799999999994</v>
      </c>
      <c r="L523" s="29">
        <f t="shared" si="28"/>
        <v>33</v>
      </c>
    </row>
    <row r="524" spans="2:12">
      <c r="B524" s="111">
        <v>4</v>
      </c>
      <c r="C524" s="111">
        <v>23327</v>
      </c>
      <c r="D524" s="111" t="s">
        <v>767</v>
      </c>
      <c r="E524" s="111" t="s">
        <v>448</v>
      </c>
      <c r="F524" s="265">
        <v>42061</v>
      </c>
      <c r="G524" s="265">
        <v>42077</v>
      </c>
      <c r="H524" s="111">
        <v>817.32</v>
      </c>
      <c r="I524" s="111">
        <v>0</v>
      </c>
      <c r="J524" s="295">
        <v>1</v>
      </c>
      <c r="K524" s="111">
        <f t="shared" si="27"/>
        <v>8.1732000000000014</v>
      </c>
      <c r="L524" s="29">
        <f t="shared" si="28"/>
        <v>16</v>
      </c>
    </row>
    <row r="525" spans="2:12">
      <c r="B525" s="111">
        <v>4</v>
      </c>
      <c r="C525" s="111">
        <v>23350</v>
      </c>
      <c r="D525" s="111" t="s">
        <v>758</v>
      </c>
      <c r="E525" s="111" t="s">
        <v>448</v>
      </c>
      <c r="F525" s="265">
        <v>42062</v>
      </c>
      <c r="G525" s="265">
        <v>42094</v>
      </c>
      <c r="H525" s="111">
        <v>57.14</v>
      </c>
      <c r="I525" s="111">
        <v>0</v>
      </c>
      <c r="J525" s="295">
        <v>1</v>
      </c>
      <c r="K525" s="111">
        <f t="shared" si="27"/>
        <v>0.57140000000000002</v>
      </c>
      <c r="L525" s="29">
        <f t="shared" si="28"/>
        <v>32</v>
      </c>
    </row>
    <row r="526" spans="2:12">
      <c r="B526" s="111">
        <v>4</v>
      </c>
      <c r="C526" s="111">
        <v>23348</v>
      </c>
      <c r="D526" s="111" t="s">
        <v>758</v>
      </c>
      <c r="E526" s="111" t="s">
        <v>448</v>
      </c>
      <c r="F526" s="265">
        <v>42062</v>
      </c>
      <c r="G526" s="265">
        <v>42094</v>
      </c>
      <c r="H526" s="111">
        <v>11649.38</v>
      </c>
      <c r="I526" s="111">
        <v>0</v>
      </c>
      <c r="J526" s="295">
        <v>1</v>
      </c>
      <c r="K526" s="111">
        <f t="shared" si="27"/>
        <v>116.49379999999999</v>
      </c>
      <c r="L526" s="29">
        <f t="shared" si="28"/>
        <v>32</v>
      </c>
    </row>
    <row r="527" spans="2:12">
      <c r="B527" s="111">
        <v>4</v>
      </c>
      <c r="C527" s="111">
        <v>23379</v>
      </c>
      <c r="D527" s="111" t="s">
        <v>758</v>
      </c>
      <c r="E527" s="111" t="s">
        <v>448</v>
      </c>
      <c r="F527" s="265">
        <v>42062</v>
      </c>
      <c r="G527" s="265">
        <v>42094</v>
      </c>
      <c r="H527" s="111">
        <v>346.42</v>
      </c>
      <c r="I527" s="111">
        <v>0</v>
      </c>
      <c r="J527" s="295">
        <v>1</v>
      </c>
      <c r="K527" s="111">
        <f t="shared" si="27"/>
        <v>3.4642000000000004</v>
      </c>
      <c r="L527" s="29">
        <f t="shared" si="28"/>
        <v>32</v>
      </c>
    </row>
    <row r="528" spans="2:12">
      <c r="B528" s="111">
        <v>4</v>
      </c>
      <c r="C528" s="111">
        <v>23365</v>
      </c>
      <c r="D528" s="111" t="s">
        <v>758</v>
      </c>
      <c r="E528" s="111" t="s">
        <v>448</v>
      </c>
      <c r="F528" s="265">
        <v>42062</v>
      </c>
      <c r="G528" s="265">
        <v>42094</v>
      </c>
      <c r="H528" s="111">
        <v>1224.97</v>
      </c>
      <c r="I528" s="111">
        <v>0</v>
      </c>
      <c r="J528" s="295">
        <v>1</v>
      </c>
      <c r="K528" s="111">
        <f t="shared" si="27"/>
        <v>12.249700000000001</v>
      </c>
      <c r="L528" s="29">
        <f t="shared" si="28"/>
        <v>32</v>
      </c>
    </row>
    <row r="529" spans="2:12">
      <c r="B529" s="111">
        <v>4</v>
      </c>
      <c r="C529" s="111">
        <v>23495</v>
      </c>
      <c r="D529" s="111" t="s">
        <v>758</v>
      </c>
      <c r="E529" s="111" t="s">
        <v>448</v>
      </c>
      <c r="F529" s="265">
        <v>42063</v>
      </c>
      <c r="G529" s="265">
        <v>42094</v>
      </c>
      <c r="H529" s="111">
        <v>590.63</v>
      </c>
      <c r="I529" s="111">
        <v>0</v>
      </c>
      <c r="J529" s="295">
        <v>1</v>
      </c>
      <c r="K529" s="111">
        <f t="shared" si="27"/>
        <v>5.9062999999999999</v>
      </c>
      <c r="L529" s="29">
        <f t="shared" si="28"/>
        <v>31</v>
      </c>
    </row>
    <row r="530" spans="2:12">
      <c r="B530" s="111">
        <v>4</v>
      </c>
      <c r="C530" s="111">
        <v>23598</v>
      </c>
      <c r="D530" s="111" t="s">
        <v>761</v>
      </c>
      <c r="E530" s="111" t="s">
        <v>448</v>
      </c>
      <c r="F530" s="265">
        <v>42065</v>
      </c>
      <c r="G530" s="265">
        <v>42068</v>
      </c>
      <c r="H530" s="111">
        <v>21696</v>
      </c>
      <c r="I530" s="111">
        <v>0</v>
      </c>
      <c r="J530" s="295">
        <v>0.5</v>
      </c>
      <c r="K530" s="111">
        <f t="shared" si="27"/>
        <v>108.48</v>
      </c>
      <c r="L530" s="29">
        <f t="shared" si="28"/>
        <v>3</v>
      </c>
    </row>
    <row r="531" spans="2:12">
      <c r="B531" s="111">
        <v>4</v>
      </c>
      <c r="C531" s="111">
        <v>23597</v>
      </c>
      <c r="D531" s="111" t="s">
        <v>767</v>
      </c>
      <c r="E531" s="111" t="s">
        <v>448</v>
      </c>
      <c r="F531" s="265">
        <v>42065</v>
      </c>
      <c r="G531" s="265">
        <v>42077</v>
      </c>
      <c r="H531" s="111">
        <v>222.26</v>
      </c>
      <c r="I531" s="111">
        <v>0</v>
      </c>
      <c r="J531" s="295">
        <v>1</v>
      </c>
      <c r="K531" s="111">
        <f t="shared" si="27"/>
        <v>2.2225999999999999</v>
      </c>
      <c r="L531" s="29">
        <f t="shared" si="28"/>
        <v>12</v>
      </c>
    </row>
    <row r="532" spans="2:12">
      <c r="B532" s="111">
        <v>4</v>
      </c>
      <c r="C532" s="111">
        <v>813</v>
      </c>
      <c r="D532" s="111" t="s">
        <v>762</v>
      </c>
      <c r="E532" s="111" t="s">
        <v>448</v>
      </c>
      <c r="F532" s="265">
        <v>42067</v>
      </c>
      <c r="G532" s="265">
        <v>42068</v>
      </c>
      <c r="H532" s="111">
        <v>421.36</v>
      </c>
      <c r="I532" s="111">
        <v>0</v>
      </c>
      <c r="J532" s="295">
        <v>1</v>
      </c>
      <c r="K532" s="111">
        <f t="shared" si="27"/>
        <v>4.2136000000000005</v>
      </c>
      <c r="L532" s="29">
        <f t="shared" si="28"/>
        <v>1</v>
      </c>
    </row>
    <row r="533" spans="2:12">
      <c r="B533" s="111">
        <v>4</v>
      </c>
      <c r="C533" s="111">
        <v>23872</v>
      </c>
      <c r="D533" s="111" t="s">
        <v>761</v>
      </c>
      <c r="E533" s="111" t="s">
        <v>448</v>
      </c>
      <c r="F533" s="265">
        <v>42068</v>
      </c>
      <c r="G533" s="265">
        <v>42068</v>
      </c>
      <c r="H533" s="111">
        <v>2247.1799999999998</v>
      </c>
      <c r="I533" s="111">
        <v>0</v>
      </c>
      <c r="J533" s="295">
        <v>1</v>
      </c>
      <c r="K533" s="111">
        <f t="shared" si="27"/>
        <v>22.471799999999998</v>
      </c>
      <c r="L533" s="29">
        <f t="shared" si="28"/>
        <v>0</v>
      </c>
    </row>
    <row r="534" spans="2:12">
      <c r="B534" s="111">
        <v>4</v>
      </c>
      <c r="C534" s="111">
        <v>23887</v>
      </c>
      <c r="D534" s="111" t="s">
        <v>767</v>
      </c>
      <c r="E534" s="111" t="s">
        <v>448</v>
      </c>
      <c r="F534" s="265">
        <v>42072</v>
      </c>
      <c r="G534" s="265">
        <v>42077</v>
      </c>
      <c r="H534" s="111">
        <v>199.89</v>
      </c>
      <c r="I534" s="111">
        <v>0</v>
      </c>
      <c r="J534" s="295">
        <v>1</v>
      </c>
      <c r="K534" s="111">
        <f t="shared" ref="K534" si="29">(H534-I534)*J534%</f>
        <v>1.9988999999999999</v>
      </c>
      <c r="L534" s="29">
        <f t="shared" ref="L534:L546" si="30">G534-F534</f>
        <v>5</v>
      </c>
    </row>
    <row r="535" spans="2:12">
      <c r="B535" s="111">
        <v>4</v>
      </c>
      <c r="C535" s="111">
        <v>23481</v>
      </c>
      <c r="D535" s="111" t="s">
        <v>764</v>
      </c>
      <c r="E535" s="111" t="s">
        <v>448</v>
      </c>
      <c r="F535" s="265">
        <v>42063</v>
      </c>
      <c r="G535" s="265">
        <v>42072</v>
      </c>
      <c r="H535" s="111">
        <v>45289.59</v>
      </c>
      <c r="I535" s="111">
        <v>0</v>
      </c>
      <c r="J535" s="295">
        <v>0.5</v>
      </c>
      <c r="K535" s="111">
        <v>249.49600000000001</v>
      </c>
      <c r="L535" s="29">
        <f t="shared" si="30"/>
        <v>9</v>
      </c>
    </row>
    <row r="536" spans="2:12">
      <c r="B536" s="111">
        <v>4</v>
      </c>
      <c r="C536" s="111">
        <v>24224</v>
      </c>
      <c r="D536" s="111" t="s">
        <v>767</v>
      </c>
      <c r="E536" s="111" t="s">
        <v>448</v>
      </c>
      <c r="F536" s="265">
        <v>42075</v>
      </c>
      <c r="G536" s="265">
        <v>42077</v>
      </c>
      <c r="H536" s="111">
        <v>80.599999999999994</v>
      </c>
      <c r="I536" s="111">
        <v>0</v>
      </c>
      <c r="J536" s="295">
        <v>1</v>
      </c>
      <c r="K536" s="111">
        <f t="shared" ref="K536:K546" si="31">(H536-I536)*J536%</f>
        <v>0.80599999999999994</v>
      </c>
      <c r="L536" s="29">
        <f t="shared" si="30"/>
        <v>2</v>
      </c>
    </row>
    <row r="537" spans="2:12">
      <c r="B537" s="111">
        <v>4</v>
      </c>
      <c r="C537" s="111">
        <v>822</v>
      </c>
      <c r="D537" s="111" t="s">
        <v>762</v>
      </c>
      <c r="E537" s="111" t="s">
        <v>448</v>
      </c>
      <c r="F537" s="265">
        <v>42076</v>
      </c>
      <c r="G537" s="265">
        <v>42076</v>
      </c>
      <c r="H537" s="111">
        <v>220.87</v>
      </c>
      <c r="I537" s="111">
        <v>0</v>
      </c>
      <c r="J537" s="295">
        <v>1</v>
      </c>
      <c r="K537" s="111">
        <f t="shared" si="31"/>
        <v>2.2086999999999999</v>
      </c>
      <c r="L537" s="29">
        <f t="shared" si="30"/>
        <v>0</v>
      </c>
    </row>
    <row r="538" spans="2:12">
      <c r="B538" s="111">
        <v>4</v>
      </c>
      <c r="C538" s="111">
        <v>823</v>
      </c>
      <c r="D538" s="111" t="s">
        <v>762</v>
      </c>
      <c r="E538" s="111" t="s">
        <v>448</v>
      </c>
      <c r="F538" s="265">
        <v>42076</v>
      </c>
      <c r="G538" s="265">
        <v>42076</v>
      </c>
      <c r="H538" s="111">
        <v>408.66</v>
      </c>
      <c r="I538" s="111">
        <v>0</v>
      </c>
      <c r="J538" s="295">
        <v>1</v>
      </c>
      <c r="K538" s="111">
        <f t="shared" si="31"/>
        <v>4.0866000000000007</v>
      </c>
      <c r="L538" s="29">
        <f t="shared" si="30"/>
        <v>0</v>
      </c>
    </row>
    <row r="539" spans="2:12">
      <c r="B539" s="111">
        <v>4</v>
      </c>
      <c r="C539" s="111">
        <v>23889</v>
      </c>
      <c r="D539" s="111" t="s">
        <v>767</v>
      </c>
      <c r="E539" s="111" t="s">
        <v>448</v>
      </c>
      <c r="F539" s="265">
        <v>42072</v>
      </c>
      <c r="G539" s="265">
        <v>42077</v>
      </c>
      <c r="H539" s="111">
        <v>1378.18</v>
      </c>
      <c r="I539" s="111">
        <v>0</v>
      </c>
      <c r="J539" s="295">
        <v>1</v>
      </c>
      <c r="K539" s="111">
        <f t="shared" si="31"/>
        <v>13.7818</v>
      </c>
      <c r="L539" s="29">
        <f t="shared" si="30"/>
        <v>5</v>
      </c>
    </row>
    <row r="540" spans="2:12">
      <c r="B540" s="111">
        <v>4</v>
      </c>
      <c r="C540" s="111">
        <v>24383</v>
      </c>
      <c r="D540" s="111" t="s">
        <v>767</v>
      </c>
      <c r="E540" s="111" t="s">
        <v>448</v>
      </c>
      <c r="F540" s="265">
        <v>42077</v>
      </c>
      <c r="G540" s="265">
        <v>42077</v>
      </c>
      <c r="H540" s="111">
        <v>148.1</v>
      </c>
      <c r="I540" s="111">
        <v>0</v>
      </c>
      <c r="J540" s="295">
        <v>1</v>
      </c>
      <c r="K540" s="111">
        <f t="shared" si="31"/>
        <v>1.4809999999999999</v>
      </c>
      <c r="L540" s="29">
        <f t="shared" si="30"/>
        <v>0</v>
      </c>
    </row>
    <row r="541" spans="2:12">
      <c r="B541" s="111">
        <v>4</v>
      </c>
      <c r="C541" s="111">
        <v>24833</v>
      </c>
      <c r="D541" s="111" t="s">
        <v>758</v>
      </c>
      <c r="E541" s="111" t="s">
        <v>448</v>
      </c>
      <c r="F541" s="265">
        <v>42083</v>
      </c>
      <c r="G541" s="265">
        <v>42089</v>
      </c>
      <c r="H541" s="111">
        <v>1219.05</v>
      </c>
      <c r="I541" s="111">
        <v>0</v>
      </c>
      <c r="J541" s="295">
        <v>1</v>
      </c>
      <c r="K541" s="111">
        <f t="shared" si="31"/>
        <v>12.1905</v>
      </c>
      <c r="L541" s="29">
        <f t="shared" si="30"/>
        <v>6</v>
      </c>
    </row>
    <row r="542" spans="2:12">
      <c r="B542" s="111">
        <v>4</v>
      </c>
      <c r="C542" s="111">
        <v>829</v>
      </c>
      <c r="D542" s="111" t="s">
        <v>762</v>
      </c>
      <c r="E542" s="111" t="s">
        <v>448</v>
      </c>
      <c r="F542" s="265">
        <v>42087</v>
      </c>
      <c r="G542" s="265">
        <v>42088</v>
      </c>
      <c r="H542" s="111">
        <v>399.01</v>
      </c>
      <c r="I542" s="111">
        <v>0</v>
      </c>
      <c r="J542" s="295">
        <v>1</v>
      </c>
      <c r="K542" s="111">
        <f t="shared" si="31"/>
        <v>3.9901</v>
      </c>
      <c r="L542" s="29">
        <f t="shared" si="30"/>
        <v>1</v>
      </c>
    </row>
    <row r="543" spans="2:12">
      <c r="B543" s="111">
        <v>4</v>
      </c>
      <c r="C543" s="111">
        <v>831</v>
      </c>
      <c r="D543" s="111" t="s">
        <v>762</v>
      </c>
      <c r="E543" s="111" t="s">
        <v>448</v>
      </c>
      <c r="F543" s="265">
        <v>42090</v>
      </c>
      <c r="G543" s="265">
        <v>42091</v>
      </c>
      <c r="H543" s="111">
        <v>52.94</v>
      </c>
      <c r="I543" s="111">
        <v>0</v>
      </c>
      <c r="J543" s="295">
        <v>1</v>
      </c>
      <c r="K543" s="111">
        <f t="shared" si="31"/>
        <v>0.52939999999999998</v>
      </c>
      <c r="L543" s="29">
        <f t="shared" si="30"/>
        <v>1</v>
      </c>
    </row>
    <row r="544" spans="2:12">
      <c r="B544" s="111">
        <v>4</v>
      </c>
      <c r="C544" s="111">
        <v>25582</v>
      </c>
      <c r="D544" s="111" t="s">
        <v>763</v>
      </c>
      <c r="E544" s="111" t="s">
        <v>448</v>
      </c>
      <c r="F544" s="265">
        <v>42094</v>
      </c>
      <c r="G544" s="265">
        <v>42094</v>
      </c>
      <c r="H544" s="111">
        <v>170.5</v>
      </c>
      <c r="I544" s="111">
        <v>0</v>
      </c>
      <c r="J544" s="295">
        <v>1</v>
      </c>
      <c r="K544" s="111">
        <f t="shared" si="31"/>
        <v>1.7050000000000001</v>
      </c>
      <c r="L544" s="29">
        <f t="shared" si="30"/>
        <v>0</v>
      </c>
    </row>
    <row r="545" spans="2:21">
      <c r="B545" s="111">
        <v>4</v>
      </c>
      <c r="C545" s="111">
        <v>835</v>
      </c>
      <c r="D545" s="111" t="s">
        <v>762</v>
      </c>
      <c r="E545" s="111" t="s">
        <v>448</v>
      </c>
      <c r="F545" s="265">
        <v>42094</v>
      </c>
      <c r="G545" s="265">
        <v>42094</v>
      </c>
      <c r="H545" s="111">
        <v>303.16000000000003</v>
      </c>
      <c r="I545" s="111">
        <v>0</v>
      </c>
      <c r="J545" s="295">
        <v>1</v>
      </c>
      <c r="K545" s="111">
        <f t="shared" si="31"/>
        <v>3.0316000000000005</v>
      </c>
      <c r="L545" s="29">
        <f t="shared" si="30"/>
        <v>0</v>
      </c>
    </row>
    <row r="546" spans="2:21">
      <c r="B546" s="111">
        <v>4</v>
      </c>
      <c r="C546" s="111">
        <v>836</v>
      </c>
      <c r="D546" s="111" t="s">
        <v>762</v>
      </c>
      <c r="E546" s="111" t="s">
        <v>448</v>
      </c>
      <c r="F546" s="265">
        <v>42094</v>
      </c>
      <c r="G546" s="265">
        <v>42094</v>
      </c>
      <c r="H546" s="111">
        <v>399.01</v>
      </c>
      <c r="I546" s="111">
        <v>0</v>
      </c>
      <c r="J546" s="295">
        <v>1</v>
      </c>
      <c r="K546" s="111">
        <f t="shared" si="31"/>
        <v>3.9901</v>
      </c>
      <c r="L546" s="29">
        <f t="shared" si="30"/>
        <v>0</v>
      </c>
    </row>
    <row r="547" spans="2:21">
      <c r="G547" s="111" t="s">
        <v>765</v>
      </c>
      <c r="H547" s="270">
        <f>SUM(H438:H546)</f>
        <v>243613.74000000002</v>
      </c>
      <c r="J547" s="295" t="s">
        <v>383</v>
      </c>
      <c r="K547" s="272">
        <f>SUM(K438:K546)</f>
        <v>2060.5442999999996</v>
      </c>
    </row>
    <row r="550" spans="2:21">
      <c r="B550" s="29">
        <v>4</v>
      </c>
      <c r="C550" s="29">
        <v>9415</v>
      </c>
      <c r="D550" s="29" t="s">
        <v>772</v>
      </c>
      <c r="E550" s="29" t="s">
        <v>448</v>
      </c>
      <c r="F550" s="263">
        <v>41843</v>
      </c>
      <c r="G550" s="263">
        <v>42087</v>
      </c>
      <c r="H550" s="29">
        <v>2034</v>
      </c>
      <c r="I550" s="29">
        <v>0</v>
      </c>
      <c r="J550" s="292">
        <v>366.12</v>
      </c>
      <c r="K550" s="29">
        <v>2400.12</v>
      </c>
      <c r="L550" s="29">
        <v>0</v>
      </c>
      <c r="M550" s="29">
        <v>1</v>
      </c>
      <c r="N550" s="29">
        <v>24.001200000000001</v>
      </c>
      <c r="O550" s="29">
        <v>12519</v>
      </c>
      <c r="P550" s="29">
        <v>932585</v>
      </c>
    </row>
    <row r="551" spans="2:21">
      <c r="B551" s="29">
        <v>4</v>
      </c>
      <c r="C551" s="29">
        <v>10907</v>
      </c>
      <c r="D551" s="29" t="s">
        <v>772</v>
      </c>
      <c r="E551" s="29" t="s">
        <v>448</v>
      </c>
      <c r="F551" s="263">
        <v>41865</v>
      </c>
      <c r="G551" s="263">
        <v>42087</v>
      </c>
      <c r="H551" s="29">
        <v>2712</v>
      </c>
      <c r="I551" s="29">
        <v>0</v>
      </c>
      <c r="J551" s="292">
        <v>488.16</v>
      </c>
      <c r="K551" s="29">
        <v>3200.16</v>
      </c>
      <c r="L551" s="29">
        <v>0</v>
      </c>
      <c r="M551" s="29">
        <v>1</v>
      </c>
      <c r="N551" s="29">
        <v>32.001600000000003</v>
      </c>
      <c r="O551" s="29">
        <v>12520</v>
      </c>
      <c r="P551" s="29">
        <v>935208</v>
      </c>
    </row>
    <row r="552" spans="2:21">
      <c r="B552" s="29">
        <v>4</v>
      </c>
      <c r="C552" s="274">
        <v>23481</v>
      </c>
      <c r="D552" s="274" t="s">
        <v>764</v>
      </c>
      <c r="E552" s="274" t="s">
        <v>448</v>
      </c>
      <c r="F552" s="302">
        <v>42063</v>
      </c>
      <c r="G552" s="302">
        <v>42072</v>
      </c>
      <c r="H552" s="274">
        <v>45289.59</v>
      </c>
      <c r="I552" s="274">
        <v>0</v>
      </c>
      <c r="J552" s="303">
        <v>8152.13</v>
      </c>
      <c r="K552" s="274">
        <v>53441.72</v>
      </c>
      <c r="L552" s="274">
        <v>0</v>
      </c>
      <c r="M552" s="274">
        <v>1</v>
      </c>
      <c r="N552" s="274">
        <v>534.41719999999998</v>
      </c>
      <c r="O552" s="274">
        <v>12520</v>
      </c>
      <c r="P552" s="274">
        <v>956345</v>
      </c>
      <c r="S552" s="221">
        <v>265.05</v>
      </c>
    </row>
    <row r="553" spans="2:21">
      <c r="B553" s="29">
        <v>4</v>
      </c>
      <c r="C553" s="274">
        <v>23481</v>
      </c>
      <c r="D553" s="274" t="s">
        <v>764</v>
      </c>
      <c r="E553" s="274" t="s">
        <v>448</v>
      </c>
      <c r="F553" s="302">
        <v>42063</v>
      </c>
      <c r="G553" s="302">
        <v>42072</v>
      </c>
      <c r="H553" s="274">
        <v>45289.59</v>
      </c>
      <c r="I553" s="274">
        <v>0</v>
      </c>
      <c r="J553" s="303">
        <v>8152.13</v>
      </c>
      <c r="K553" s="274">
        <v>53441.72</v>
      </c>
      <c r="L553" s="274">
        <v>0</v>
      </c>
      <c r="M553" s="274">
        <v>1</v>
      </c>
      <c r="N553" s="274">
        <v>534.41719999999998</v>
      </c>
      <c r="O553" s="274">
        <v>12520</v>
      </c>
      <c r="P553" s="274">
        <v>956345</v>
      </c>
      <c r="S553" s="221">
        <v>3347.72</v>
      </c>
    </row>
    <row r="554" spans="2:21">
      <c r="B554" s="29">
        <v>4</v>
      </c>
      <c r="C554" s="274">
        <v>23481</v>
      </c>
      <c r="D554" s="274" t="s">
        <v>764</v>
      </c>
      <c r="E554" s="274" t="s">
        <v>448</v>
      </c>
      <c r="F554" s="302">
        <v>42063</v>
      </c>
      <c r="G554" s="302">
        <v>42072</v>
      </c>
      <c r="H554" s="274">
        <v>45289.59</v>
      </c>
      <c r="I554" s="274">
        <v>0</v>
      </c>
      <c r="J554" s="303">
        <v>8152.13</v>
      </c>
      <c r="K554" s="274">
        <v>53441.72</v>
      </c>
      <c r="L554" s="274">
        <v>0</v>
      </c>
      <c r="M554" s="274">
        <v>1</v>
      </c>
      <c r="N554" s="274">
        <v>534.41719999999998</v>
      </c>
      <c r="O554" s="274">
        <v>12520</v>
      </c>
      <c r="P554" s="274">
        <v>956345</v>
      </c>
      <c r="S554" s="221">
        <v>92.19</v>
      </c>
    </row>
    <row r="555" spans="2:21">
      <c r="B555" s="29">
        <v>4</v>
      </c>
      <c r="C555" s="274">
        <v>23481</v>
      </c>
      <c r="D555" s="274" t="s">
        <v>764</v>
      </c>
      <c r="E555" s="274" t="s">
        <v>448</v>
      </c>
      <c r="F555" s="302">
        <v>42063</v>
      </c>
      <c r="G555" s="302">
        <v>42072</v>
      </c>
      <c r="H555" s="274">
        <v>45289.59</v>
      </c>
      <c r="I555" s="274">
        <v>0</v>
      </c>
      <c r="J555" s="303">
        <v>8152.13</v>
      </c>
      <c r="K555" s="274">
        <v>53441.72</v>
      </c>
      <c r="L555" s="274">
        <v>0</v>
      </c>
      <c r="M555" s="274">
        <v>1</v>
      </c>
      <c r="N555" s="274">
        <v>534.41719999999998</v>
      </c>
      <c r="O555" s="274">
        <v>12520</v>
      </c>
      <c r="P555" s="274">
        <v>956345</v>
      </c>
      <c r="S555" s="221">
        <v>904.63</v>
      </c>
    </row>
    <row r="556" spans="2:21">
      <c r="B556" s="29">
        <v>4</v>
      </c>
      <c r="C556" s="274">
        <v>23481</v>
      </c>
      <c r="D556" s="274" t="s">
        <v>764</v>
      </c>
      <c r="E556" s="274" t="s">
        <v>448</v>
      </c>
      <c r="F556" s="302">
        <v>42063</v>
      </c>
      <c r="G556" s="302">
        <v>42072</v>
      </c>
      <c r="H556" s="274">
        <v>45289.59</v>
      </c>
      <c r="I556" s="274">
        <v>0</v>
      </c>
      <c r="J556" s="303">
        <v>8152.13</v>
      </c>
      <c r="K556" s="274">
        <v>53441.72</v>
      </c>
      <c r="L556" s="274">
        <v>0</v>
      </c>
      <c r="M556" s="274">
        <v>1</v>
      </c>
      <c r="N556" s="274">
        <v>534.41719999999998</v>
      </c>
      <c r="O556" s="274">
        <v>12519</v>
      </c>
      <c r="P556" s="274">
        <v>956345</v>
      </c>
      <c r="R556" s="29">
        <f>H556</f>
        <v>45289.59</v>
      </c>
      <c r="S556" s="29">
        <f>SUM(S552:S555)</f>
        <v>4609.59</v>
      </c>
      <c r="T556" s="29">
        <f>R556-S556</f>
        <v>40680</v>
      </c>
    </row>
    <row r="557" spans="2:21">
      <c r="B557" s="29">
        <v>4</v>
      </c>
      <c r="C557" s="274">
        <v>23481</v>
      </c>
      <c r="D557" s="274" t="s">
        <v>764</v>
      </c>
      <c r="E557" s="274" t="s">
        <v>448</v>
      </c>
      <c r="F557" s="302">
        <v>42063</v>
      </c>
      <c r="G557" s="302">
        <v>42072</v>
      </c>
      <c r="H557" s="274">
        <v>45289.59</v>
      </c>
      <c r="I557" s="274">
        <v>0</v>
      </c>
      <c r="J557" s="303">
        <v>8152.13</v>
      </c>
      <c r="K557" s="274">
        <v>53441.72</v>
      </c>
      <c r="L557" s="274">
        <v>0</v>
      </c>
      <c r="M557" s="274">
        <v>1</v>
      </c>
      <c r="N557" s="274">
        <v>534.41719999999998</v>
      </c>
      <c r="O557" s="274">
        <v>12519</v>
      </c>
      <c r="P557" s="274">
        <v>956345</v>
      </c>
      <c r="S557" s="29">
        <f>S556*1%</f>
        <v>46.0959</v>
      </c>
      <c r="T557" s="29">
        <f>T556*0.5%</f>
        <v>203.4</v>
      </c>
      <c r="U557" s="29">
        <f>T557+S557</f>
        <v>249.49590000000001</v>
      </c>
    </row>
    <row r="558" spans="2:21">
      <c r="B558" s="29">
        <v>4</v>
      </c>
      <c r="C558" s="29">
        <v>23598</v>
      </c>
      <c r="D558" s="29" t="s">
        <v>761</v>
      </c>
      <c r="E558" s="29" t="s">
        <v>448</v>
      </c>
      <c r="F558" s="263">
        <v>42065</v>
      </c>
      <c r="G558" s="263">
        <v>42068</v>
      </c>
      <c r="H558" s="29">
        <v>21696</v>
      </c>
      <c r="I558" s="29">
        <v>0</v>
      </c>
      <c r="J558" s="292">
        <v>3905.28</v>
      </c>
      <c r="K558" s="29">
        <v>25601.279999999999</v>
      </c>
      <c r="L558" s="29">
        <v>0</v>
      </c>
      <c r="M558" s="29">
        <v>1</v>
      </c>
      <c r="N558" s="29">
        <v>256.01280000000003</v>
      </c>
      <c r="O558" s="29">
        <v>12520</v>
      </c>
      <c r="P558" s="29">
        <v>956484</v>
      </c>
    </row>
    <row r="559" spans="2:21">
      <c r="B559" s="29">
        <v>4</v>
      </c>
      <c r="C559" s="29">
        <v>23598</v>
      </c>
      <c r="D559" s="29" t="s">
        <v>761</v>
      </c>
      <c r="E559" s="29" t="s">
        <v>448</v>
      </c>
      <c r="F559" s="263">
        <v>42065</v>
      </c>
      <c r="G559" s="263">
        <v>42068</v>
      </c>
      <c r="H559" s="29">
        <v>21696</v>
      </c>
      <c r="I559" s="29">
        <v>0</v>
      </c>
      <c r="J559" s="292">
        <v>3905.28</v>
      </c>
      <c r="K559" s="29">
        <v>25601.279999999999</v>
      </c>
      <c r="L559" s="29">
        <v>0</v>
      </c>
      <c r="M559" s="29">
        <v>1</v>
      </c>
      <c r="N559" s="29">
        <v>256.01280000000003</v>
      </c>
      <c r="O559" s="29">
        <v>12520</v>
      </c>
      <c r="P559" s="29">
        <v>956484</v>
      </c>
    </row>
    <row r="560" spans="2:21">
      <c r="B560" s="29">
        <v>4</v>
      </c>
      <c r="C560" s="29">
        <v>23598</v>
      </c>
      <c r="D560" s="29" t="s">
        <v>761</v>
      </c>
      <c r="E560" s="29" t="s">
        <v>448</v>
      </c>
      <c r="F560" s="263">
        <v>42065</v>
      </c>
      <c r="G560" s="263">
        <v>42068</v>
      </c>
      <c r="H560" s="29">
        <v>21696</v>
      </c>
      <c r="I560" s="29">
        <v>0</v>
      </c>
      <c r="J560" s="292">
        <v>3905.28</v>
      </c>
      <c r="K560" s="29">
        <v>25601.279999999999</v>
      </c>
      <c r="L560" s="29">
        <v>0</v>
      </c>
      <c r="M560" s="29">
        <v>1</v>
      </c>
      <c r="N560" s="29">
        <v>256.01280000000003</v>
      </c>
      <c r="O560" s="29">
        <v>12519</v>
      </c>
      <c r="P560" s="29">
        <v>956484</v>
      </c>
    </row>
    <row r="561" spans="2:21">
      <c r="B561" s="29">
        <v>4</v>
      </c>
      <c r="C561" s="29">
        <v>23598</v>
      </c>
      <c r="D561" s="29" t="s">
        <v>761</v>
      </c>
      <c r="E561" s="29" t="s">
        <v>448</v>
      </c>
      <c r="F561" s="263">
        <v>42065</v>
      </c>
      <c r="G561" s="263">
        <v>42068</v>
      </c>
      <c r="H561" s="29">
        <v>21696</v>
      </c>
      <c r="I561" s="29">
        <v>0</v>
      </c>
      <c r="J561" s="292">
        <v>3905.28</v>
      </c>
      <c r="K561" s="29">
        <v>25601.279999999999</v>
      </c>
      <c r="L561" s="29">
        <v>0</v>
      </c>
      <c r="M561" s="29">
        <v>1</v>
      </c>
      <c r="N561" s="29">
        <v>256.01280000000003</v>
      </c>
      <c r="O561" s="29">
        <v>12519</v>
      </c>
      <c r="P561" s="29">
        <v>956484</v>
      </c>
    </row>
    <row r="562" spans="2:21">
      <c r="B562" s="29">
        <v>4</v>
      </c>
      <c r="C562" s="29">
        <v>23598</v>
      </c>
      <c r="D562" s="29" t="s">
        <v>761</v>
      </c>
      <c r="E562" s="29" t="s">
        <v>448</v>
      </c>
      <c r="F562" s="263">
        <v>42065</v>
      </c>
      <c r="G562" s="263">
        <v>42068</v>
      </c>
      <c r="H562" s="29">
        <v>21696</v>
      </c>
      <c r="I562" s="29">
        <v>0</v>
      </c>
      <c r="J562" s="292">
        <v>3905.28</v>
      </c>
      <c r="K562" s="29">
        <v>25601.279999999999</v>
      </c>
      <c r="L562" s="29">
        <v>0</v>
      </c>
      <c r="M562" s="29">
        <v>1</v>
      </c>
      <c r="N562" s="29">
        <v>256.01280000000003</v>
      </c>
      <c r="O562" s="29">
        <v>12519</v>
      </c>
      <c r="P562" s="29">
        <v>956484</v>
      </c>
    </row>
    <row r="565" spans="2:21">
      <c r="B565" s="59"/>
      <c r="C565" s="59"/>
      <c r="D565" s="59" t="s">
        <v>781</v>
      </c>
      <c r="E565" s="59"/>
      <c r="F565" s="59"/>
      <c r="G565" s="59"/>
      <c r="H565" s="59"/>
      <c r="I565" s="59"/>
      <c r="J565" s="293"/>
      <c r="K565" s="59"/>
    </row>
    <row r="566" spans="2:21">
      <c r="B566" s="59"/>
      <c r="C566" s="59"/>
      <c r="D566" s="59"/>
      <c r="E566" s="59"/>
      <c r="F566" s="59"/>
      <c r="G566" s="59"/>
      <c r="H566" s="59"/>
      <c r="I566" s="59"/>
      <c r="J566" s="293"/>
      <c r="K566" s="59"/>
    </row>
    <row r="567" spans="2:21">
      <c r="B567" s="264" t="s">
        <v>369</v>
      </c>
      <c r="C567" s="264" t="s">
        <v>370</v>
      </c>
      <c r="D567" s="264" t="s">
        <v>371</v>
      </c>
      <c r="E567" s="264" t="s">
        <v>372</v>
      </c>
      <c r="F567" s="264" t="s">
        <v>373</v>
      </c>
      <c r="G567" s="264" t="s">
        <v>393</v>
      </c>
      <c r="H567" s="264" t="s">
        <v>375</v>
      </c>
      <c r="I567" s="264" t="s">
        <v>376</v>
      </c>
      <c r="J567" s="294" t="s">
        <v>377</v>
      </c>
      <c r="K567" s="264" t="s">
        <v>378</v>
      </c>
    </row>
    <row r="568" spans="2:21">
      <c r="B568" s="111">
        <v>6</v>
      </c>
      <c r="C568" s="111">
        <v>732</v>
      </c>
      <c r="D568" s="111" t="s">
        <v>381</v>
      </c>
      <c r="E568" s="111" t="s">
        <v>382</v>
      </c>
      <c r="F568" s="265">
        <v>42021</v>
      </c>
      <c r="G568" s="265">
        <v>42073</v>
      </c>
      <c r="H568" s="111">
        <v>9635.59</v>
      </c>
      <c r="I568" s="111">
        <f t="shared" ref="I568:I599" si="32">S568/1.18</f>
        <v>0</v>
      </c>
      <c r="J568" s="295">
        <v>1</v>
      </c>
      <c r="K568" s="266">
        <f t="shared" ref="K568:K599" si="33">(H568-I568)*J568%</f>
        <v>96.355900000000005</v>
      </c>
    </row>
    <row r="569" spans="2:21">
      <c r="B569" s="111">
        <v>6</v>
      </c>
      <c r="C569" s="111">
        <v>735</v>
      </c>
      <c r="D569" s="111" t="s">
        <v>381</v>
      </c>
      <c r="E569" s="111" t="s">
        <v>382</v>
      </c>
      <c r="F569" s="265">
        <v>42025</v>
      </c>
      <c r="G569" s="265">
        <v>42073</v>
      </c>
      <c r="H569" s="111">
        <v>9152.5400000000009</v>
      </c>
      <c r="I569" s="111">
        <f t="shared" si="32"/>
        <v>0</v>
      </c>
      <c r="J569" s="295">
        <v>1</v>
      </c>
      <c r="K569" s="266">
        <f t="shared" si="33"/>
        <v>91.525400000000005</v>
      </c>
    </row>
    <row r="570" spans="2:21">
      <c r="B570" s="111">
        <v>6</v>
      </c>
      <c r="C570" s="111">
        <v>734</v>
      </c>
      <c r="D570" s="111" t="s">
        <v>381</v>
      </c>
      <c r="E570" s="111" t="s">
        <v>382</v>
      </c>
      <c r="F570" s="265">
        <v>42025</v>
      </c>
      <c r="G570" s="265">
        <v>42090</v>
      </c>
      <c r="H570" s="111">
        <v>9152.5400000000009</v>
      </c>
      <c r="I570" s="111">
        <f t="shared" si="32"/>
        <v>0</v>
      </c>
      <c r="J570" s="295">
        <v>1</v>
      </c>
      <c r="K570" s="266">
        <f t="shared" si="33"/>
        <v>91.525400000000005</v>
      </c>
    </row>
    <row r="571" spans="2:21">
      <c r="B571" s="111">
        <v>6</v>
      </c>
      <c r="C571" s="111">
        <v>775</v>
      </c>
      <c r="D571" s="111" t="s">
        <v>381</v>
      </c>
      <c r="E571" s="111" t="s">
        <v>382</v>
      </c>
      <c r="F571" s="265">
        <v>42054</v>
      </c>
      <c r="G571" s="265">
        <v>42073</v>
      </c>
      <c r="H571" s="111">
        <v>7014.41</v>
      </c>
      <c r="I571" s="111">
        <f t="shared" si="32"/>
        <v>0</v>
      </c>
      <c r="J571" s="295">
        <v>1</v>
      </c>
      <c r="K571" s="266">
        <f t="shared" si="33"/>
        <v>70.144099999999995</v>
      </c>
    </row>
    <row r="572" spans="2:21">
      <c r="B572" s="111">
        <v>6</v>
      </c>
      <c r="C572" s="111">
        <v>776</v>
      </c>
      <c r="D572" s="111" t="s">
        <v>381</v>
      </c>
      <c r="E572" s="111" t="s">
        <v>382</v>
      </c>
      <c r="F572" s="265">
        <v>42055</v>
      </c>
      <c r="G572" s="265">
        <v>42090</v>
      </c>
      <c r="H572" s="111">
        <v>7355.93</v>
      </c>
      <c r="I572" s="111">
        <f t="shared" si="32"/>
        <v>0</v>
      </c>
      <c r="J572" s="295">
        <v>1</v>
      </c>
      <c r="K572" s="266">
        <f t="shared" si="33"/>
        <v>73.559300000000007</v>
      </c>
    </row>
    <row r="573" spans="2:21">
      <c r="B573" s="111">
        <v>6</v>
      </c>
      <c r="C573" s="111">
        <v>786</v>
      </c>
      <c r="D573" s="111" t="s">
        <v>381</v>
      </c>
      <c r="E573" s="111" t="s">
        <v>382</v>
      </c>
      <c r="F573" s="265">
        <v>42061</v>
      </c>
      <c r="G573" s="265">
        <v>42082</v>
      </c>
      <c r="H573" s="111">
        <v>2117.37</v>
      </c>
      <c r="I573" s="111">
        <f t="shared" si="32"/>
        <v>0</v>
      </c>
      <c r="J573" s="295">
        <v>1</v>
      </c>
      <c r="K573" s="266">
        <f t="shared" si="33"/>
        <v>21.1737</v>
      </c>
    </row>
    <row r="574" spans="2:21">
      <c r="B574" s="111">
        <v>4</v>
      </c>
      <c r="C574" s="111">
        <v>21488</v>
      </c>
      <c r="D574" s="111" t="s">
        <v>768</v>
      </c>
      <c r="E574" s="111" t="s">
        <v>448</v>
      </c>
      <c r="F574" s="265">
        <v>42031</v>
      </c>
      <c r="G574" s="265">
        <v>42101</v>
      </c>
      <c r="H574" s="111">
        <v>245.62</v>
      </c>
      <c r="I574" s="111">
        <f t="shared" si="32"/>
        <v>0</v>
      </c>
      <c r="J574" s="295">
        <v>1</v>
      </c>
      <c r="K574" s="266">
        <f t="shared" si="33"/>
        <v>2.4561999999999999</v>
      </c>
      <c r="P574" s="29">
        <v>0</v>
      </c>
      <c r="Q574" s="29">
        <v>44.21</v>
      </c>
      <c r="R574" s="29">
        <v>289.83</v>
      </c>
      <c r="S574" s="29">
        <v>0</v>
      </c>
      <c r="T574" s="29">
        <v>1</v>
      </c>
      <c r="U574" s="29">
        <v>2.8982999999999999</v>
      </c>
    </row>
    <row r="575" spans="2:21">
      <c r="B575" s="111">
        <v>4</v>
      </c>
      <c r="C575" s="111">
        <v>21596</v>
      </c>
      <c r="D575" s="111" t="s">
        <v>768</v>
      </c>
      <c r="E575" s="111" t="s">
        <v>448</v>
      </c>
      <c r="F575" s="265">
        <v>42033</v>
      </c>
      <c r="G575" s="265">
        <v>42101</v>
      </c>
      <c r="H575" s="111">
        <v>991.17</v>
      </c>
      <c r="I575" s="111">
        <f t="shared" si="32"/>
        <v>0</v>
      </c>
      <c r="J575" s="295">
        <v>1</v>
      </c>
      <c r="K575" s="266">
        <f t="shared" si="33"/>
        <v>9.9116999999999997</v>
      </c>
      <c r="P575" s="29">
        <v>0</v>
      </c>
      <c r="Q575" s="29">
        <v>178.41</v>
      </c>
      <c r="R575" s="29">
        <v>1169.58</v>
      </c>
      <c r="S575" s="29">
        <v>0</v>
      </c>
      <c r="T575" s="29">
        <v>1</v>
      </c>
      <c r="U575" s="29">
        <v>11.6958</v>
      </c>
    </row>
    <row r="576" spans="2:21">
      <c r="B576" s="111">
        <v>4</v>
      </c>
      <c r="C576" s="111">
        <v>22095</v>
      </c>
      <c r="D576" s="111" t="s">
        <v>758</v>
      </c>
      <c r="E576" s="111" t="s">
        <v>448</v>
      </c>
      <c r="F576" s="265">
        <v>42041</v>
      </c>
      <c r="G576" s="265">
        <v>42110</v>
      </c>
      <c r="H576" s="111">
        <v>1052.4000000000001</v>
      </c>
      <c r="I576" s="266">
        <f t="shared" si="32"/>
        <v>623.4406779661017</v>
      </c>
      <c r="J576" s="295">
        <v>1</v>
      </c>
      <c r="K576" s="266">
        <f t="shared" si="33"/>
        <v>4.2895932203389844</v>
      </c>
      <c r="P576" s="29">
        <v>0</v>
      </c>
      <c r="Q576" s="29">
        <v>189.43</v>
      </c>
      <c r="R576" s="29">
        <v>1241.83</v>
      </c>
      <c r="S576" s="29">
        <v>735.66</v>
      </c>
      <c r="T576" s="29">
        <v>1</v>
      </c>
      <c r="U576" s="29">
        <v>5.0617000000000001</v>
      </c>
    </row>
    <row r="577" spans="2:21">
      <c r="B577" s="111">
        <v>4</v>
      </c>
      <c r="C577" s="111">
        <v>22079</v>
      </c>
      <c r="D577" s="111" t="s">
        <v>768</v>
      </c>
      <c r="E577" s="111" t="s">
        <v>448</v>
      </c>
      <c r="F577" s="265">
        <v>42041</v>
      </c>
      <c r="G577" s="265">
        <v>42105</v>
      </c>
      <c r="H577" s="111">
        <v>159.16</v>
      </c>
      <c r="I577" s="111">
        <f t="shared" si="32"/>
        <v>0</v>
      </c>
      <c r="J577" s="295">
        <v>1</v>
      </c>
      <c r="K577" s="266">
        <f t="shared" si="33"/>
        <v>1.5915999999999999</v>
      </c>
      <c r="P577" s="29">
        <v>0</v>
      </c>
      <c r="Q577" s="29">
        <v>28.65</v>
      </c>
      <c r="R577" s="29">
        <v>187.81</v>
      </c>
      <c r="S577" s="29">
        <v>0</v>
      </c>
      <c r="T577" s="29">
        <v>1</v>
      </c>
      <c r="U577" s="29">
        <v>1.8781000000000001</v>
      </c>
    </row>
    <row r="578" spans="2:21">
      <c r="B578" s="111">
        <v>6</v>
      </c>
      <c r="C578" s="111">
        <v>766</v>
      </c>
      <c r="D578" s="111" t="s">
        <v>381</v>
      </c>
      <c r="E578" s="111" t="s">
        <v>382</v>
      </c>
      <c r="F578" s="265">
        <v>42042</v>
      </c>
      <c r="G578" s="265">
        <v>42102</v>
      </c>
      <c r="H578" s="111">
        <v>3050.85</v>
      </c>
      <c r="I578" s="111">
        <f t="shared" si="32"/>
        <v>0</v>
      </c>
      <c r="J578" s="295">
        <v>1</v>
      </c>
      <c r="K578" s="266">
        <f t="shared" si="33"/>
        <v>30.508499999999998</v>
      </c>
      <c r="P578" s="29">
        <v>0</v>
      </c>
      <c r="Q578" s="29">
        <v>549.15</v>
      </c>
      <c r="R578" s="29">
        <v>3600</v>
      </c>
      <c r="S578" s="29">
        <v>0</v>
      </c>
      <c r="T578" s="29">
        <v>1</v>
      </c>
      <c r="U578" s="29">
        <v>36</v>
      </c>
    </row>
    <row r="579" spans="2:21">
      <c r="B579" s="111">
        <v>4</v>
      </c>
      <c r="C579" s="111">
        <v>22154</v>
      </c>
      <c r="D579" s="111" t="s">
        <v>759</v>
      </c>
      <c r="E579" s="111" t="s">
        <v>448</v>
      </c>
      <c r="F579" s="265">
        <v>42042</v>
      </c>
      <c r="G579" s="265">
        <v>42104</v>
      </c>
      <c r="H579" s="111">
        <v>4561.55</v>
      </c>
      <c r="I579" s="111">
        <f t="shared" si="32"/>
        <v>0</v>
      </c>
      <c r="J579" s="295">
        <v>1</v>
      </c>
      <c r="K579" s="266">
        <f t="shared" si="33"/>
        <v>45.615500000000004</v>
      </c>
      <c r="P579" s="29">
        <v>0</v>
      </c>
      <c r="Q579" s="29">
        <v>821.08</v>
      </c>
      <c r="R579" s="29">
        <v>5382.63</v>
      </c>
      <c r="S579" s="29">
        <v>0</v>
      </c>
      <c r="T579" s="29">
        <v>1</v>
      </c>
      <c r="U579" s="29">
        <v>53.826300000000003</v>
      </c>
    </row>
    <row r="580" spans="2:21">
      <c r="B580" s="111">
        <v>6</v>
      </c>
      <c r="C580" s="111">
        <v>768</v>
      </c>
      <c r="D580" s="111" t="s">
        <v>381</v>
      </c>
      <c r="E580" s="111" t="s">
        <v>382</v>
      </c>
      <c r="F580" s="265">
        <v>42046</v>
      </c>
      <c r="G580" s="265">
        <v>42102</v>
      </c>
      <c r="H580" s="111">
        <v>5898.3</v>
      </c>
      <c r="I580" s="111">
        <f t="shared" si="32"/>
        <v>0</v>
      </c>
      <c r="J580" s="295">
        <v>0.5</v>
      </c>
      <c r="K580" s="266">
        <f t="shared" si="33"/>
        <v>29.491500000000002</v>
      </c>
      <c r="P580" s="29">
        <v>0</v>
      </c>
      <c r="Q580" s="29">
        <v>1061.7</v>
      </c>
      <c r="R580" s="29">
        <v>6960</v>
      </c>
      <c r="S580" s="29">
        <v>0</v>
      </c>
      <c r="T580" s="29">
        <v>1</v>
      </c>
      <c r="U580" s="29">
        <v>69.599999999999994</v>
      </c>
    </row>
    <row r="581" spans="2:21">
      <c r="B581" s="111">
        <v>4</v>
      </c>
      <c r="C581" s="111">
        <v>22359</v>
      </c>
      <c r="D581" s="111" t="s">
        <v>759</v>
      </c>
      <c r="E581" s="111" t="s">
        <v>448</v>
      </c>
      <c r="F581" s="265">
        <v>42046</v>
      </c>
      <c r="G581" s="265">
        <v>42104</v>
      </c>
      <c r="H581" s="111">
        <v>2853.1</v>
      </c>
      <c r="I581" s="111">
        <f t="shared" si="32"/>
        <v>0</v>
      </c>
      <c r="J581" s="295">
        <v>1</v>
      </c>
      <c r="K581" s="266">
        <f t="shared" si="33"/>
        <v>28.530999999999999</v>
      </c>
      <c r="P581" s="29">
        <v>0</v>
      </c>
      <c r="Q581" s="29">
        <v>513.55999999999995</v>
      </c>
      <c r="R581" s="29">
        <v>3366.66</v>
      </c>
      <c r="S581" s="29">
        <v>0</v>
      </c>
      <c r="T581" s="29">
        <v>1</v>
      </c>
      <c r="U581" s="29">
        <v>33.666600000000003</v>
      </c>
    </row>
    <row r="582" spans="2:21">
      <c r="B582" s="111">
        <v>4</v>
      </c>
      <c r="C582" s="111">
        <v>22385</v>
      </c>
      <c r="D582" s="111" t="s">
        <v>759</v>
      </c>
      <c r="E582" s="111" t="s">
        <v>448</v>
      </c>
      <c r="F582" s="265">
        <v>42046</v>
      </c>
      <c r="G582" s="265">
        <v>42104</v>
      </c>
      <c r="H582" s="111">
        <v>707.98</v>
      </c>
      <c r="I582" s="111">
        <f t="shared" si="32"/>
        <v>0</v>
      </c>
      <c r="J582" s="295">
        <v>1</v>
      </c>
      <c r="K582" s="266">
        <f t="shared" si="33"/>
        <v>7.0798000000000005</v>
      </c>
      <c r="P582" s="29">
        <v>0</v>
      </c>
      <c r="Q582" s="29">
        <v>127.44</v>
      </c>
      <c r="R582" s="29">
        <v>835.42</v>
      </c>
      <c r="S582" s="29">
        <v>0</v>
      </c>
      <c r="T582" s="29">
        <v>1</v>
      </c>
      <c r="U582" s="29">
        <v>8.3542000000000005</v>
      </c>
    </row>
    <row r="583" spans="2:21">
      <c r="B583" s="111">
        <v>4</v>
      </c>
      <c r="C583" s="111">
        <v>22731</v>
      </c>
      <c r="D583" s="111" t="s">
        <v>759</v>
      </c>
      <c r="E583" s="111" t="s">
        <v>448</v>
      </c>
      <c r="F583" s="265">
        <v>42052</v>
      </c>
      <c r="G583" s="265">
        <v>42104</v>
      </c>
      <c r="H583" s="111">
        <v>1514.89</v>
      </c>
      <c r="I583" s="111">
        <f t="shared" si="32"/>
        <v>0</v>
      </c>
      <c r="J583" s="295">
        <v>1</v>
      </c>
      <c r="K583" s="266">
        <f t="shared" si="33"/>
        <v>15.148900000000001</v>
      </c>
      <c r="P583" s="29">
        <v>0</v>
      </c>
      <c r="Q583" s="29">
        <v>272.68</v>
      </c>
      <c r="R583" s="29">
        <v>1787.57</v>
      </c>
      <c r="S583" s="29">
        <v>0</v>
      </c>
      <c r="T583" s="29">
        <v>1</v>
      </c>
      <c r="U583" s="29">
        <v>17.875699999999998</v>
      </c>
    </row>
    <row r="584" spans="2:21">
      <c r="B584" s="111">
        <v>4</v>
      </c>
      <c r="C584" s="111">
        <v>23012</v>
      </c>
      <c r="D584" s="111" t="s">
        <v>759</v>
      </c>
      <c r="E584" s="111" t="s">
        <v>448</v>
      </c>
      <c r="F584" s="265">
        <v>42056</v>
      </c>
      <c r="G584" s="265">
        <v>42104</v>
      </c>
      <c r="H584" s="111">
        <v>1711.3</v>
      </c>
      <c r="I584" s="111">
        <f t="shared" si="32"/>
        <v>0</v>
      </c>
      <c r="J584" s="295">
        <v>1</v>
      </c>
      <c r="K584" s="266">
        <f t="shared" si="33"/>
        <v>17.113</v>
      </c>
      <c r="P584" s="29">
        <v>0</v>
      </c>
      <c r="Q584" s="29">
        <v>308.02999999999997</v>
      </c>
      <c r="R584" s="29">
        <v>2019.33</v>
      </c>
      <c r="S584" s="29">
        <v>0</v>
      </c>
      <c r="T584" s="29">
        <v>1</v>
      </c>
      <c r="U584" s="29">
        <v>20.193300000000001</v>
      </c>
    </row>
    <row r="585" spans="2:21">
      <c r="B585" s="111">
        <v>4</v>
      </c>
      <c r="C585" s="111">
        <v>23177</v>
      </c>
      <c r="D585" s="111" t="s">
        <v>768</v>
      </c>
      <c r="E585" s="111" t="s">
        <v>448</v>
      </c>
      <c r="F585" s="265">
        <v>42060</v>
      </c>
      <c r="G585" s="265">
        <v>42124</v>
      </c>
      <c r="H585" s="111">
        <v>216.01</v>
      </c>
      <c r="I585" s="111">
        <f t="shared" si="32"/>
        <v>0</v>
      </c>
      <c r="J585" s="295">
        <v>1</v>
      </c>
      <c r="K585" s="266">
        <f t="shared" si="33"/>
        <v>2.1600999999999999</v>
      </c>
      <c r="P585" s="29">
        <v>0</v>
      </c>
      <c r="Q585" s="29">
        <v>38.880000000000003</v>
      </c>
      <c r="R585" s="29">
        <v>254.89</v>
      </c>
      <c r="S585" s="29">
        <v>0</v>
      </c>
      <c r="T585" s="29">
        <v>1</v>
      </c>
      <c r="U585" s="29">
        <v>2.5489000000000002</v>
      </c>
    </row>
    <row r="586" spans="2:21">
      <c r="B586" s="111">
        <v>4</v>
      </c>
      <c r="C586" s="111">
        <v>23121</v>
      </c>
      <c r="D586" s="111" t="s">
        <v>759</v>
      </c>
      <c r="E586" s="111" t="s">
        <v>448</v>
      </c>
      <c r="F586" s="265">
        <v>42059</v>
      </c>
      <c r="G586" s="265">
        <v>42104</v>
      </c>
      <c r="H586" s="111">
        <v>561.38</v>
      </c>
      <c r="I586" s="111">
        <f t="shared" si="32"/>
        <v>0</v>
      </c>
      <c r="J586" s="295">
        <v>1</v>
      </c>
      <c r="K586" s="266">
        <f t="shared" si="33"/>
        <v>5.6138000000000003</v>
      </c>
      <c r="P586" s="29">
        <v>0</v>
      </c>
      <c r="Q586" s="29">
        <v>101.05</v>
      </c>
      <c r="R586" s="29">
        <v>662.43</v>
      </c>
      <c r="S586" s="29">
        <v>0</v>
      </c>
      <c r="T586" s="29">
        <v>1</v>
      </c>
      <c r="U586" s="29">
        <v>6.6242999999999999</v>
      </c>
    </row>
    <row r="587" spans="2:21">
      <c r="B587" s="111">
        <v>4</v>
      </c>
      <c r="C587" s="111">
        <v>23115</v>
      </c>
      <c r="D587" s="111" t="s">
        <v>759</v>
      </c>
      <c r="E587" s="111" t="s">
        <v>448</v>
      </c>
      <c r="F587" s="265">
        <v>42059</v>
      </c>
      <c r="G587" s="265">
        <v>42104</v>
      </c>
      <c r="H587" s="111">
        <v>806.46</v>
      </c>
      <c r="I587" s="111">
        <f t="shared" si="32"/>
        <v>0</v>
      </c>
      <c r="J587" s="295">
        <v>1</v>
      </c>
      <c r="K587" s="266">
        <f t="shared" si="33"/>
        <v>8.0646000000000004</v>
      </c>
      <c r="P587" s="29">
        <v>0</v>
      </c>
      <c r="Q587" s="29">
        <v>145.16</v>
      </c>
      <c r="R587" s="29">
        <v>951.62</v>
      </c>
      <c r="S587" s="29">
        <v>0</v>
      </c>
      <c r="T587" s="29">
        <v>1</v>
      </c>
      <c r="U587" s="29">
        <v>9.5161999999999995</v>
      </c>
    </row>
    <row r="588" spans="2:21">
      <c r="B588" s="111">
        <v>4</v>
      </c>
      <c r="C588" s="111">
        <v>23278</v>
      </c>
      <c r="D588" s="111" t="s">
        <v>759</v>
      </c>
      <c r="E588" s="111" t="s">
        <v>448</v>
      </c>
      <c r="F588" s="265">
        <v>42061</v>
      </c>
      <c r="G588" s="265">
        <v>42104</v>
      </c>
      <c r="H588" s="111">
        <v>2114.25</v>
      </c>
      <c r="I588" s="111">
        <f t="shared" si="32"/>
        <v>0</v>
      </c>
      <c r="J588" s="295">
        <v>1</v>
      </c>
      <c r="K588" s="266">
        <f t="shared" si="33"/>
        <v>21.142500000000002</v>
      </c>
      <c r="P588" s="29">
        <v>0</v>
      </c>
      <c r="Q588" s="29">
        <v>380.57</v>
      </c>
      <c r="R588" s="29">
        <v>2494.8200000000002</v>
      </c>
      <c r="S588" s="29">
        <v>0</v>
      </c>
      <c r="T588" s="29">
        <v>1</v>
      </c>
      <c r="U588" s="29">
        <v>24.9482</v>
      </c>
    </row>
    <row r="589" spans="2:21">
      <c r="B589" s="111">
        <v>4</v>
      </c>
      <c r="C589" s="111">
        <v>23282</v>
      </c>
      <c r="D589" s="111" t="s">
        <v>759</v>
      </c>
      <c r="E589" s="111" t="s">
        <v>448</v>
      </c>
      <c r="F589" s="265">
        <v>42061</v>
      </c>
      <c r="G589" s="265">
        <v>42104</v>
      </c>
      <c r="H589" s="111">
        <v>3783.07</v>
      </c>
      <c r="I589" s="111">
        <f t="shared" si="32"/>
        <v>0</v>
      </c>
      <c r="J589" s="295">
        <v>1</v>
      </c>
      <c r="K589" s="266">
        <f t="shared" si="33"/>
        <v>37.8307</v>
      </c>
      <c r="P589" s="29">
        <v>0</v>
      </c>
      <c r="Q589" s="29">
        <v>680.95</v>
      </c>
      <c r="R589" s="29">
        <v>4464.0200000000004</v>
      </c>
      <c r="S589" s="29">
        <v>0</v>
      </c>
      <c r="T589" s="29">
        <v>1</v>
      </c>
      <c r="U589" s="29">
        <v>44.6402</v>
      </c>
    </row>
    <row r="590" spans="2:21">
      <c r="B590" s="111">
        <v>4</v>
      </c>
      <c r="C590" s="111">
        <v>23326</v>
      </c>
      <c r="D590" s="111" t="s">
        <v>768</v>
      </c>
      <c r="E590" s="111" t="s">
        <v>448</v>
      </c>
      <c r="F590" s="265">
        <v>42061</v>
      </c>
      <c r="G590" s="265">
        <v>42124</v>
      </c>
      <c r="H590" s="111">
        <v>931.4</v>
      </c>
      <c r="I590" s="111">
        <f t="shared" si="32"/>
        <v>0</v>
      </c>
      <c r="J590" s="295">
        <v>1</v>
      </c>
      <c r="K590" s="266">
        <f t="shared" si="33"/>
        <v>9.3140000000000001</v>
      </c>
      <c r="P590" s="29">
        <v>0</v>
      </c>
      <c r="Q590" s="29">
        <v>167.65</v>
      </c>
      <c r="R590" s="29">
        <v>1099.05</v>
      </c>
      <c r="S590" s="29">
        <v>0</v>
      </c>
      <c r="T590" s="29">
        <v>1</v>
      </c>
      <c r="U590" s="29">
        <v>10.990500000000001</v>
      </c>
    </row>
    <row r="591" spans="2:21">
      <c r="B591" s="111">
        <v>4</v>
      </c>
      <c r="C591" s="111">
        <v>23408</v>
      </c>
      <c r="D591" s="111" t="s">
        <v>759</v>
      </c>
      <c r="E591" s="111" t="s">
        <v>448</v>
      </c>
      <c r="F591" s="265">
        <v>42062</v>
      </c>
      <c r="G591" s="265">
        <v>42104</v>
      </c>
      <c r="H591" s="111">
        <v>2322.5700000000002</v>
      </c>
      <c r="I591" s="111">
        <f t="shared" si="32"/>
        <v>0</v>
      </c>
      <c r="J591" s="295">
        <v>1</v>
      </c>
      <c r="K591" s="266">
        <f t="shared" si="33"/>
        <v>23.225700000000003</v>
      </c>
      <c r="P591" s="29">
        <v>0</v>
      </c>
      <c r="Q591" s="29">
        <v>418.06</v>
      </c>
      <c r="R591" s="29">
        <v>2740.63</v>
      </c>
      <c r="S591" s="29">
        <v>0</v>
      </c>
      <c r="T591" s="29">
        <v>1</v>
      </c>
      <c r="U591" s="29">
        <v>27.406300000000002</v>
      </c>
    </row>
    <row r="592" spans="2:21">
      <c r="B592" s="111">
        <v>4</v>
      </c>
      <c r="C592" s="111">
        <v>23613</v>
      </c>
      <c r="D592" s="111" t="s">
        <v>757</v>
      </c>
      <c r="E592" s="111" t="s">
        <v>448</v>
      </c>
      <c r="F592" s="265">
        <v>42065</v>
      </c>
      <c r="G592" s="265">
        <v>42111</v>
      </c>
      <c r="H592" s="111">
        <v>255.27</v>
      </c>
      <c r="I592" s="111">
        <f t="shared" si="32"/>
        <v>0</v>
      </c>
      <c r="J592" s="295">
        <v>1</v>
      </c>
      <c r="K592" s="266">
        <f t="shared" si="33"/>
        <v>2.5527000000000002</v>
      </c>
      <c r="P592" s="29">
        <v>0</v>
      </c>
      <c r="Q592" s="29">
        <v>45.95</v>
      </c>
      <c r="R592" s="29">
        <v>301.22000000000003</v>
      </c>
      <c r="S592" s="29">
        <v>0</v>
      </c>
      <c r="T592" s="29">
        <v>1</v>
      </c>
      <c r="U592" s="29">
        <v>3.0122</v>
      </c>
    </row>
    <row r="593" spans="2:21">
      <c r="B593" s="111">
        <v>4</v>
      </c>
      <c r="C593" s="111">
        <v>23710</v>
      </c>
      <c r="D593" s="111" t="s">
        <v>757</v>
      </c>
      <c r="E593" s="111" t="s">
        <v>448</v>
      </c>
      <c r="F593" s="265">
        <v>42067</v>
      </c>
      <c r="G593" s="265">
        <v>42111</v>
      </c>
      <c r="H593" s="111">
        <v>199.89</v>
      </c>
      <c r="I593" s="111">
        <f t="shared" si="32"/>
        <v>0</v>
      </c>
      <c r="J593" s="295">
        <v>1</v>
      </c>
      <c r="K593" s="266">
        <f t="shared" si="33"/>
        <v>1.9988999999999999</v>
      </c>
      <c r="P593" s="29">
        <v>0</v>
      </c>
      <c r="Q593" s="29">
        <v>35.979999999999997</v>
      </c>
      <c r="R593" s="29">
        <v>235.87</v>
      </c>
      <c r="S593" s="29">
        <v>0</v>
      </c>
      <c r="T593" s="29">
        <v>1</v>
      </c>
      <c r="U593" s="29">
        <v>2.3586999999999998</v>
      </c>
    </row>
    <row r="594" spans="2:21">
      <c r="B594" s="111">
        <v>4</v>
      </c>
      <c r="C594" s="111">
        <v>23711</v>
      </c>
      <c r="D594" s="111" t="s">
        <v>758</v>
      </c>
      <c r="E594" s="111" t="s">
        <v>448</v>
      </c>
      <c r="F594" s="265">
        <v>42067</v>
      </c>
      <c r="G594" s="265">
        <v>42110</v>
      </c>
      <c r="H594" s="111">
        <v>1141.73</v>
      </c>
      <c r="I594" s="111">
        <f t="shared" si="32"/>
        <v>0</v>
      </c>
      <c r="J594" s="295">
        <v>1</v>
      </c>
      <c r="K594" s="266">
        <f t="shared" si="33"/>
        <v>11.417300000000001</v>
      </c>
      <c r="P594" s="29">
        <v>0</v>
      </c>
      <c r="Q594" s="29">
        <v>205.51</v>
      </c>
      <c r="R594" s="29">
        <v>1347.24</v>
      </c>
      <c r="S594" s="29">
        <v>0</v>
      </c>
      <c r="T594" s="29">
        <v>1</v>
      </c>
      <c r="U594" s="29">
        <v>13.4724</v>
      </c>
    </row>
    <row r="595" spans="2:21">
      <c r="B595" s="111">
        <v>4</v>
      </c>
      <c r="C595" s="111">
        <v>23747</v>
      </c>
      <c r="D595" s="111" t="s">
        <v>757</v>
      </c>
      <c r="E595" s="111" t="s">
        <v>448</v>
      </c>
      <c r="F595" s="265">
        <v>42067</v>
      </c>
      <c r="G595" s="265">
        <v>42111</v>
      </c>
      <c r="H595" s="111">
        <v>125.75</v>
      </c>
      <c r="I595" s="111">
        <f t="shared" si="32"/>
        <v>0</v>
      </c>
      <c r="J595" s="295">
        <v>1</v>
      </c>
      <c r="K595" s="266">
        <f t="shared" si="33"/>
        <v>1.2575000000000001</v>
      </c>
      <c r="P595" s="29">
        <v>22.68</v>
      </c>
      <c r="Q595" s="29">
        <v>18.55</v>
      </c>
      <c r="R595" s="29">
        <v>144.30000000000001</v>
      </c>
      <c r="S595" s="29">
        <v>0</v>
      </c>
      <c r="T595" s="29">
        <v>1</v>
      </c>
      <c r="U595" s="29">
        <v>1.4430000000000001</v>
      </c>
    </row>
    <row r="596" spans="2:21">
      <c r="B596" s="111">
        <v>4</v>
      </c>
      <c r="C596" s="111">
        <v>23817</v>
      </c>
      <c r="D596" s="111" t="s">
        <v>758</v>
      </c>
      <c r="E596" s="111" t="s">
        <v>448</v>
      </c>
      <c r="F596" s="265">
        <v>42068</v>
      </c>
      <c r="G596" s="265">
        <v>42110</v>
      </c>
      <c r="H596" s="111">
        <v>3054.56</v>
      </c>
      <c r="I596" s="111">
        <f t="shared" si="32"/>
        <v>0</v>
      </c>
      <c r="J596" s="295">
        <v>1</v>
      </c>
      <c r="K596" s="266">
        <f t="shared" si="33"/>
        <v>30.5456</v>
      </c>
      <c r="P596" s="29">
        <v>0</v>
      </c>
      <c r="Q596" s="29">
        <v>549.82000000000005</v>
      </c>
      <c r="R596" s="29">
        <v>3604.38</v>
      </c>
      <c r="S596" s="29">
        <v>0</v>
      </c>
      <c r="T596" s="29">
        <v>1</v>
      </c>
      <c r="U596" s="29">
        <v>36.043799999999997</v>
      </c>
    </row>
    <row r="597" spans="2:21">
      <c r="B597" s="111">
        <v>4</v>
      </c>
      <c r="C597" s="111">
        <v>23818</v>
      </c>
      <c r="D597" s="111" t="s">
        <v>759</v>
      </c>
      <c r="E597" s="111" t="s">
        <v>448</v>
      </c>
      <c r="F597" s="265">
        <v>42068</v>
      </c>
      <c r="G597" s="265">
        <v>42119</v>
      </c>
      <c r="H597" s="111">
        <v>555.95000000000005</v>
      </c>
      <c r="I597" s="111">
        <f t="shared" si="32"/>
        <v>0</v>
      </c>
      <c r="J597" s="295">
        <v>1</v>
      </c>
      <c r="K597" s="266">
        <f t="shared" si="33"/>
        <v>5.5595000000000008</v>
      </c>
      <c r="P597" s="29">
        <v>0</v>
      </c>
      <c r="Q597" s="29">
        <v>100.07</v>
      </c>
      <c r="R597" s="29">
        <v>656.02</v>
      </c>
      <c r="S597" s="29">
        <v>0</v>
      </c>
      <c r="T597" s="29">
        <v>1</v>
      </c>
      <c r="U597" s="29">
        <v>6.5602</v>
      </c>
    </row>
    <row r="598" spans="2:21">
      <c r="B598" s="111">
        <v>4</v>
      </c>
      <c r="C598" s="111">
        <v>23845</v>
      </c>
      <c r="D598" s="111" t="s">
        <v>758</v>
      </c>
      <c r="E598" s="111" t="s">
        <v>448</v>
      </c>
      <c r="F598" s="265">
        <v>42068</v>
      </c>
      <c r="G598" s="265">
        <v>42110</v>
      </c>
      <c r="H598" s="111">
        <v>272.08999999999997</v>
      </c>
      <c r="I598" s="111">
        <f t="shared" si="32"/>
        <v>0</v>
      </c>
      <c r="J598" s="295">
        <v>1</v>
      </c>
      <c r="K598" s="266">
        <f t="shared" si="33"/>
        <v>2.7208999999999999</v>
      </c>
      <c r="P598" s="29">
        <v>0</v>
      </c>
      <c r="Q598" s="29">
        <v>48.98</v>
      </c>
      <c r="R598" s="29">
        <v>321.07</v>
      </c>
      <c r="S598" s="29">
        <v>0</v>
      </c>
      <c r="T598" s="29">
        <v>1</v>
      </c>
      <c r="U598" s="29">
        <v>3.2107000000000001</v>
      </c>
    </row>
    <row r="599" spans="2:21">
      <c r="B599" s="111">
        <v>4</v>
      </c>
      <c r="C599" s="111">
        <v>23888</v>
      </c>
      <c r="D599" s="111" t="s">
        <v>757</v>
      </c>
      <c r="E599" s="111" t="s">
        <v>448</v>
      </c>
      <c r="F599" s="265">
        <v>42072</v>
      </c>
      <c r="G599" s="265">
        <v>42111</v>
      </c>
      <c r="H599" s="111">
        <v>595.95000000000005</v>
      </c>
      <c r="I599" s="111">
        <f t="shared" si="32"/>
        <v>0</v>
      </c>
      <c r="J599" s="295">
        <v>1</v>
      </c>
      <c r="K599" s="266">
        <f t="shared" si="33"/>
        <v>5.9595000000000002</v>
      </c>
      <c r="P599" s="29">
        <v>0</v>
      </c>
      <c r="Q599" s="29">
        <v>107.27</v>
      </c>
      <c r="R599" s="29">
        <v>703.22</v>
      </c>
      <c r="S599" s="29">
        <v>0</v>
      </c>
      <c r="T599" s="29">
        <v>1</v>
      </c>
      <c r="U599" s="29">
        <v>7.0321999999999996</v>
      </c>
    </row>
    <row r="600" spans="2:21">
      <c r="B600" s="111">
        <v>4</v>
      </c>
      <c r="C600" s="111">
        <v>23896</v>
      </c>
      <c r="D600" s="111" t="s">
        <v>757</v>
      </c>
      <c r="E600" s="111" t="s">
        <v>448</v>
      </c>
      <c r="F600" s="265">
        <v>42072</v>
      </c>
      <c r="G600" s="265">
        <v>42111</v>
      </c>
      <c r="H600" s="111">
        <v>99.95</v>
      </c>
      <c r="I600" s="111">
        <f t="shared" ref="I600:I631" si="34">S600/1.18</f>
        <v>0</v>
      </c>
      <c r="J600" s="295">
        <v>1</v>
      </c>
      <c r="K600" s="266">
        <f t="shared" ref="K600:K631" si="35">(H600-I600)*J600%</f>
        <v>0.99950000000000006</v>
      </c>
      <c r="P600" s="29">
        <v>0</v>
      </c>
      <c r="Q600" s="29">
        <v>17.989999999999998</v>
      </c>
      <c r="R600" s="29">
        <v>117.94</v>
      </c>
      <c r="S600" s="29">
        <v>0</v>
      </c>
      <c r="T600" s="29">
        <v>1</v>
      </c>
      <c r="U600" s="29">
        <v>1.1794</v>
      </c>
    </row>
    <row r="601" spans="2:21">
      <c r="B601" s="111">
        <v>4</v>
      </c>
      <c r="C601" s="111">
        <v>24027</v>
      </c>
      <c r="D601" s="111" t="s">
        <v>757</v>
      </c>
      <c r="E601" s="111" t="s">
        <v>448</v>
      </c>
      <c r="F601" s="265">
        <v>42073</v>
      </c>
      <c r="G601" s="265">
        <v>42111</v>
      </c>
      <c r="H601" s="111">
        <v>159.44999999999999</v>
      </c>
      <c r="I601" s="111">
        <f t="shared" si="34"/>
        <v>0</v>
      </c>
      <c r="J601" s="295">
        <v>1</v>
      </c>
      <c r="K601" s="266">
        <f t="shared" si="35"/>
        <v>1.5945</v>
      </c>
      <c r="P601" s="29">
        <v>0</v>
      </c>
      <c r="Q601" s="29">
        <v>28.7</v>
      </c>
      <c r="R601" s="29">
        <v>188.15</v>
      </c>
      <c r="S601" s="29">
        <v>0</v>
      </c>
      <c r="T601" s="29">
        <v>1</v>
      </c>
      <c r="U601" s="29">
        <v>1.8815</v>
      </c>
    </row>
    <row r="602" spans="2:21">
      <c r="B602" s="111">
        <v>4</v>
      </c>
      <c r="C602" s="111">
        <v>24060</v>
      </c>
      <c r="D602" s="111" t="s">
        <v>757</v>
      </c>
      <c r="E602" s="111" t="s">
        <v>448</v>
      </c>
      <c r="F602" s="265">
        <v>42073</v>
      </c>
      <c r="G602" s="265">
        <v>42111</v>
      </c>
      <c r="H602" s="111">
        <v>620.1</v>
      </c>
      <c r="I602" s="111">
        <f t="shared" si="34"/>
        <v>0</v>
      </c>
      <c r="J602" s="295">
        <v>1</v>
      </c>
      <c r="K602" s="266">
        <f t="shared" si="35"/>
        <v>6.2010000000000005</v>
      </c>
      <c r="P602" s="29">
        <v>0</v>
      </c>
      <c r="Q602" s="29">
        <v>111.62</v>
      </c>
      <c r="R602" s="29">
        <v>731.72</v>
      </c>
      <c r="S602" s="29">
        <v>0</v>
      </c>
      <c r="T602" s="29">
        <v>1</v>
      </c>
      <c r="U602" s="29">
        <v>7.3171999999999997</v>
      </c>
    </row>
    <row r="603" spans="2:21">
      <c r="B603" s="111">
        <v>4</v>
      </c>
      <c r="C603" s="111">
        <v>24081</v>
      </c>
      <c r="D603" s="111" t="s">
        <v>759</v>
      </c>
      <c r="E603" s="111" t="s">
        <v>448</v>
      </c>
      <c r="F603" s="265">
        <v>42073</v>
      </c>
      <c r="G603" s="265">
        <v>42119</v>
      </c>
      <c r="H603" s="111">
        <v>2297.69</v>
      </c>
      <c r="I603" s="111">
        <f t="shared" si="34"/>
        <v>0</v>
      </c>
      <c r="J603" s="295">
        <v>1</v>
      </c>
      <c r="K603" s="266">
        <f t="shared" si="35"/>
        <v>22.976900000000001</v>
      </c>
      <c r="P603" s="29">
        <v>0</v>
      </c>
      <c r="Q603" s="29">
        <v>413.58</v>
      </c>
      <c r="R603" s="29">
        <v>2711.27</v>
      </c>
      <c r="S603" s="29">
        <v>0</v>
      </c>
      <c r="T603" s="29">
        <v>1</v>
      </c>
      <c r="U603" s="29">
        <v>27.1127</v>
      </c>
    </row>
    <row r="604" spans="2:21">
      <c r="B604" s="111">
        <v>4</v>
      </c>
      <c r="C604" s="111">
        <v>24108</v>
      </c>
      <c r="D604" s="111" t="s">
        <v>758</v>
      </c>
      <c r="E604" s="111" t="s">
        <v>448</v>
      </c>
      <c r="F604" s="265">
        <v>42074</v>
      </c>
      <c r="G604" s="265">
        <v>42110</v>
      </c>
      <c r="H604" s="111">
        <v>2802.38</v>
      </c>
      <c r="I604" s="111">
        <f t="shared" si="34"/>
        <v>0</v>
      </c>
      <c r="J604" s="295">
        <v>1</v>
      </c>
      <c r="K604" s="266">
        <f t="shared" si="35"/>
        <v>28.023800000000001</v>
      </c>
      <c r="P604" s="29">
        <v>0</v>
      </c>
      <c r="Q604" s="29">
        <v>504.43</v>
      </c>
      <c r="R604" s="29">
        <v>3306.81</v>
      </c>
      <c r="S604" s="29">
        <v>0</v>
      </c>
      <c r="T604" s="29">
        <v>1</v>
      </c>
      <c r="U604" s="29">
        <v>33.068100000000001</v>
      </c>
    </row>
    <row r="605" spans="2:21">
      <c r="B605" s="111">
        <v>4</v>
      </c>
      <c r="C605" s="111">
        <v>24149</v>
      </c>
      <c r="D605" s="111" t="s">
        <v>758</v>
      </c>
      <c r="E605" s="111" t="s">
        <v>448</v>
      </c>
      <c r="F605" s="265">
        <v>42074</v>
      </c>
      <c r="G605" s="265">
        <v>42110</v>
      </c>
      <c r="H605" s="111">
        <v>378</v>
      </c>
      <c r="I605" s="111">
        <f t="shared" si="34"/>
        <v>0</v>
      </c>
      <c r="J605" s="295">
        <v>1</v>
      </c>
      <c r="K605" s="266">
        <f t="shared" si="35"/>
        <v>3.7800000000000002</v>
      </c>
      <c r="P605" s="29">
        <v>0</v>
      </c>
      <c r="Q605" s="29">
        <v>68.040000000000006</v>
      </c>
      <c r="R605" s="29">
        <v>446.04</v>
      </c>
      <c r="S605" s="29">
        <v>0</v>
      </c>
      <c r="T605" s="29">
        <v>1</v>
      </c>
      <c r="U605" s="29">
        <v>4.4603999999999999</v>
      </c>
    </row>
    <row r="606" spans="2:21">
      <c r="B606" s="111">
        <v>4</v>
      </c>
      <c r="C606" s="111">
        <v>24140</v>
      </c>
      <c r="D606" s="111" t="s">
        <v>759</v>
      </c>
      <c r="E606" s="111" t="s">
        <v>448</v>
      </c>
      <c r="F606" s="265">
        <v>42074</v>
      </c>
      <c r="G606" s="265">
        <v>42119</v>
      </c>
      <c r="H606" s="111">
        <v>2423.8200000000002</v>
      </c>
      <c r="I606" s="111">
        <f t="shared" si="34"/>
        <v>0</v>
      </c>
      <c r="J606" s="295">
        <v>1</v>
      </c>
      <c r="K606" s="266">
        <f t="shared" si="35"/>
        <v>24.238200000000003</v>
      </c>
      <c r="P606" s="29">
        <v>0</v>
      </c>
      <c r="Q606" s="29">
        <v>436.29</v>
      </c>
      <c r="R606" s="29">
        <v>2860.11</v>
      </c>
      <c r="S606" s="29">
        <v>0</v>
      </c>
      <c r="T606" s="29">
        <v>1</v>
      </c>
      <c r="U606" s="29">
        <v>28.601099999999999</v>
      </c>
    </row>
    <row r="607" spans="2:21">
      <c r="B607" s="111">
        <v>6</v>
      </c>
      <c r="C607" s="111">
        <v>797</v>
      </c>
      <c r="D607" s="111" t="s">
        <v>467</v>
      </c>
      <c r="E607" s="111" t="s">
        <v>448</v>
      </c>
      <c r="F607" s="265">
        <v>42072</v>
      </c>
      <c r="G607" s="265">
        <v>42101</v>
      </c>
      <c r="H607" s="111">
        <v>2869.49</v>
      </c>
      <c r="I607" s="111">
        <f t="shared" si="34"/>
        <v>0</v>
      </c>
      <c r="J607" s="295">
        <v>1</v>
      </c>
      <c r="K607" s="266">
        <f t="shared" si="35"/>
        <v>28.694899999999997</v>
      </c>
      <c r="P607" s="29">
        <v>0</v>
      </c>
      <c r="Q607" s="29">
        <v>516.51</v>
      </c>
      <c r="R607" s="29">
        <v>3386</v>
      </c>
      <c r="S607" s="29">
        <v>0</v>
      </c>
      <c r="T607" s="29">
        <v>1</v>
      </c>
      <c r="U607" s="29">
        <v>33.86</v>
      </c>
    </row>
    <row r="608" spans="2:21">
      <c r="B608" s="111">
        <v>4</v>
      </c>
      <c r="C608" s="111">
        <v>24132</v>
      </c>
      <c r="D608" s="111" t="s">
        <v>758</v>
      </c>
      <c r="E608" s="111" t="s">
        <v>448</v>
      </c>
      <c r="F608" s="265">
        <v>42074</v>
      </c>
      <c r="G608" s="265">
        <v>42110</v>
      </c>
      <c r="H608" s="111">
        <v>4060.11</v>
      </c>
      <c r="I608" s="111">
        <f t="shared" si="34"/>
        <v>0</v>
      </c>
      <c r="J608" s="295">
        <v>1</v>
      </c>
      <c r="K608" s="266">
        <f t="shared" si="35"/>
        <v>40.601100000000002</v>
      </c>
      <c r="P608" s="29">
        <v>0</v>
      </c>
      <c r="Q608" s="29">
        <v>730.82</v>
      </c>
      <c r="R608" s="29">
        <v>4790.93</v>
      </c>
      <c r="S608" s="29">
        <v>0</v>
      </c>
      <c r="T608" s="29">
        <v>1</v>
      </c>
      <c r="U608" s="29">
        <v>47.909300000000002</v>
      </c>
    </row>
    <row r="609" spans="2:21">
      <c r="B609" s="111">
        <v>4</v>
      </c>
      <c r="C609" s="111">
        <v>24133</v>
      </c>
      <c r="D609" s="111" t="s">
        <v>758</v>
      </c>
      <c r="E609" s="111" t="s">
        <v>448</v>
      </c>
      <c r="F609" s="265">
        <v>42074</v>
      </c>
      <c r="G609" s="265">
        <v>42110</v>
      </c>
      <c r="H609" s="111">
        <v>1740.55</v>
      </c>
      <c r="I609" s="111">
        <f t="shared" si="34"/>
        <v>0</v>
      </c>
      <c r="J609" s="295">
        <v>1</v>
      </c>
      <c r="K609" s="266">
        <f t="shared" si="35"/>
        <v>17.4055</v>
      </c>
      <c r="P609" s="29">
        <v>0</v>
      </c>
      <c r="Q609" s="29">
        <v>313.3</v>
      </c>
      <c r="R609" s="29">
        <v>2053.85</v>
      </c>
      <c r="S609" s="29">
        <v>0</v>
      </c>
      <c r="T609" s="29">
        <v>1</v>
      </c>
      <c r="U609" s="29">
        <v>20.538499999999999</v>
      </c>
    </row>
    <row r="610" spans="2:21">
      <c r="B610" s="111">
        <v>4</v>
      </c>
      <c r="C610" s="111">
        <v>24117</v>
      </c>
      <c r="D610" s="111" t="s">
        <v>758</v>
      </c>
      <c r="E610" s="111" t="s">
        <v>448</v>
      </c>
      <c r="F610" s="265">
        <v>42074</v>
      </c>
      <c r="G610" s="265">
        <v>42110</v>
      </c>
      <c r="H610" s="111">
        <v>474.67</v>
      </c>
      <c r="I610" s="111">
        <f t="shared" si="34"/>
        <v>0</v>
      </c>
      <c r="J610" s="295">
        <v>1</v>
      </c>
      <c r="K610" s="266">
        <f t="shared" si="35"/>
        <v>4.7467000000000006</v>
      </c>
      <c r="P610" s="29">
        <v>0</v>
      </c>
      <c r="Q610" s="29">
        <v>85.44</v>
      </c>
      <c r="R610" s="29">
        <v>560.11</v>
      </c>
      <c r="S610" s="29">
        <v>0</v>
      </c>
      <c r="T610" s="29">
        <v>1</v>
      </c>
      <c r="U610" s="29">
        <v>5.6010999999999997</v>
      </c>
    </row>
    <row r="611" spans="2:21">
      <c r="B611" s="111">
        <v>4</v>
      </c>
      <c r="C611" s="111">
        <v>24134</v>
      </c>
      <c r="D611" s="111" t="s">
        <v>758</v>
      </c>
      <c r="E611" s="111" t="s">
        <v>448</v>
      </c>
      <c r="F611" s="265">
        <v>42074</v>
      </c>
      <c r="G611" s="265">
        <v>42110</v>
      </c>
      <c r="H611" s="111">
        <v>4256.4799999999996</v>
      </c>
      <c r="I611" s="111">
        <f t="shared" si="34"/>
        <v>0</v>
      </c>
      <c r="J611" s="295">
        <v>1</v>
      </c>
      <c r="K611" s="266">
        <f t="shared" si="35"/>
        <v>42.564799999999998</v>
      </c>
      <c r="P611" s="29">
        <v>0</v>
      </c>
      <c r="Q611" s="29">
        <v>766.17</v>
      </c>
      <c r="R611" s="29">
        <v>5022.6499999999996</v>
      </c>
      <c r="S611" s="29">
        <v>0</v>
      </c>
      <c r="T611" s="29">
        <v>1</v>
      </c>
      <c r="U611" s="29">
        <v>50.226500000000001</v>
      </c>
    </row>
    <row r="612" spans="2:21">
      <c r="B612" s="111">
        <v>4</v>
      </c>
      <c r="C612" s="111">
        <v>24150</v>
      </c>
      <c r="D612" s="111" t="s">
        <v>772</v>
      </c>
      <c r="E612" s="111" t="s">
        <v>448</v>
      </c>
      <c r="F612" s="265">
        <v>42074</v>
      </c>
      <c r="G612" s="265">
        <v>42101</v>
      </c>
      <c r="H612" s="111">
        <v>4746</v>
      </c>
      <c r="I612" s="111">
        <f t="shared" si="34"/>
        <v>0</v>
      </c>
      <c r="J612" s="295">
        <v>0.5</v>
      </c>
      <c r="K612" s="266">
        <f t="shared" si="35"/>
        <v>23.73</v>
      </c>
      <c r="P612" s="29">
        <v>0</v>
      </c>
      <c r="Q612" s="29">
        <v>854.28</v>
      </c>
      <c r="R612" s="29">
        <v>5600.28</v>
      </c>
      <c r="S612" s="29">
        <v>0</v>
      </c>
      <c r="T612" s="29">
        <v>1</v>
      </c>
      <c r="U612" s="29">
        <v>56.002800000000001</v>
      </c>
    </row>
    <row r="613" spans="2:21">
      <c r="B613" s="111">
        <v>4</v>
      </c>
      <c r="C613" s="111">
        <v>24146</v>
      </c>
      <c r="D613" s="111" t="s">
        <v>759</v>
      </c>
      <c r="E613" s="111" t="s">
        <v>448</v>
      </c>
      <c r="F613" s="265">
        <v>42074</v>
      </c>
      <c r="G613" s="265">
        <v>42119</v>
      </c>
      <c r="H613" s="111">
        <v>3237.26</v>
      </c>
      <c r="I613" s="111">
        <f t="shared" si="34"/>
        <v>0</v>
      </c>
      <c r="J613" s="295">
        <v>1</v>
      </c>
      <c r="K613" s="266">
        <f t="shared" si="35"/>
        <v>32.372600000000006</v>
      </c>
      <c r="P613" s="29">
        <v>0</v>
      </c>
      <c r="Q613" s="29">
        <v>582.71</v>
      </c>
      <c r="R613" s="29">
        <v>3819.97</v>
      </c>
      <c r="S613" s="29">
        <v>0</v>
      </c>
      <c r="T613" s="29">
        <v>1</v>
      </c>
      <c r="U613" s="29">
        <v>38.1997</v>
      </c>
    </row>
    <row r="614" spans="2:21">
      <c r="B614" s="111">
        <v>4</v>
      </c>
      <c r="C614" s="111">
        <v>24232</v>
      </c>
      <c r="D614" s="111" t="s">
        <v>759</v>
      </c>
      <c r="E614" s="111" t="s">
        <v>448</v>
      </c>
      <c r="F614" s="265">
        <v>42075</v>
      </c>
      <c r="G614" s="265">
        <v>42119</v>
      </c>
      <c r="H614" s="111">
        <v>1095.6199999999999</v>
      </c>
      <c r="I614" s="111">
        <f t="shared" si="34"/>
        <v>0</v>
      </c>
      <c r="J614" s="295">
        <v>1</v>
      </c>
      <c r="K614" s="266">
        <f t="shared" si="35"/>
        <v>10.956199999999999</v>
      </c>
      <c r="P614" s="29">
        <v>0</v>
      </c>
      <c r="Q614" s="29">
        <v>197.21</v>
      </c>
      <c r="R614" s="29">
        <v>1292.83</v>
      </c>
      <c r="S614" s="29">
        <v>0</v>
      </c>
      <c r="T614" s="29">
        <v>1</v>
      </c>
      <c r="U614" s="29">
        <v>12.9283</v>
      </c>
    </row>
    <row r="615" spans="2:21">
      <c r="B615" s="111">
        <v>4</v>
      </c>
      <c r="C615" s="111">
        <v>24230</v>
      </c>
      <c r="D615" s="111" t="s">
        <v>757</v>
      </c>
      <c r="E615" s="111" t="s">
        <v>448</v>
      </c>
      <c r="F615" s="265">
        <v>42075</v>
      </c>
      <c r="G615" s="265">
        <v>42111</v>
      </c>
      <c r="H615" s="111">
        <v>228.92</v>
      </c>
      <c r="I615" s="111">
        <f t="shared" si="34"/>
        <v>0</v>
      </c>
      <c r="J615" s="295">
        <v>1</v>
      </c>
      <c r="K615" s="266">
        <f t="shared" si="35"/>
        <v>2.2892000000000001</v>
      </c>
      <c r="P615" s="29">
        <v>0</v>
      </c>
      <c r="Q615" s="29">
        <v>41.21</v>
      </c>
      <c r="R615" s="29">
        <v>270.13</v>
      </c>
      <c r="S615" s="29">
        <v>0</v>
      </c>
      <c r="T615" s="29">
        <v>1</v>
      </c>
      <c r="U615" s="29">
        <v>2.7012999999999998</v>
      </c>
    </row>
    <row r="616" spans="2:21">
      <c r="B616" s="111">
        <v>4</v>
      </c>
      <c r="C616" s="111">
        <v>24231</v>
      </c>
      <c r="D616" s="111" t="s">
        <v>759</v>
      </c>
      <c r="E616" s="111" t="s">
        <v>448</v>
      </c>
      <c r="F616" s="265">
        <v>42075</v>
      </c>
      <c r="G616" s="265">
        <v>42119</v>
      </c>
      <c r="H616" s="111">
        <v>1783.9</v>
      </c>
      <c r="I616" s="111">
        <f t="shared" si="34"/>
        <v>0</v>
      </c>
      <c r="J616" s="295">
        <v>1</v>
      </c>
      <c r="K616" s="266">
        <f t="shared" si="35"/>
        <v>17.839000000000002</v>
      </c>
      <c r="P616" s="29">
        <v>0</v>
      </c>
      <c r="Q616" s="29">
        <v>321.10000000000002</v>
      </c>
      <c r="R616" s="29">
        <v>2105</v>
      </c>
      <c r="S616" s="29">
        <v>0</v>
      </c>
      <c r="T616" s="29">
        <v>1</v>
      </c>
      <c r="U616" s="29">
        <v>21.05</v>
      </c>
    </row>
    <row r="617" spans="2:21">
      <c r="B617" s="111">
        <v>4</v>
      </c>
      <c r="C617" s="111">
        <v>24386</v>
      </c>
      <c r="D617" s="111" t="s">
        <v>758</v>
      </c>
      <c r="E617" s="111" t="s">
        <v>448</v>
      </c>
      <c r="F617" s="265">
        <v>42077</v>
      </c>
      <c r="G617" s="265">
        <v>42110</v>
      </c>
      <c r="H617" s="111">
        <v>930.18</v>
      </c>
      <c r="I617" s="111">
        <f t="shared" si="34"/>
        <v>0</v>
      </c>
      <c r="J617" s="295">
        <v>1</v>
      </c>
      <c r="K617" s="266">
        <f t="shared" si="35"/>
        <v>9.3018000000000001</v>
      </c>
      <c r="P617" s="29">
        <v>0</v>
      </c>
      <c r="Q617" s="29">
        <v>167.43</v>
      </c>
      <c r="R617" s="29">
        <v>1097.6099999999999</v>
      </c>
      <c r="S617" s="29">
        <v>0</v>
      </c>
      <c r="T617" s="29">
        <v>1</v>
      </c>
      <c r="U617" s="29">
        <v>10.976100000000001</v>
      </c>
    </row>
    <row r="618" spans="2:21">
      <c r="B618" s="111">
        <v>4</v>
      </c>
      <c r="C618" s="111">
        <v>24371</v>
      </c>
      <c r="D618" s="111" t="s">
        <v>758</v>
      </c>
      <c r="E618" s="111" t="s">
        <v>448</v>
      </c>
      <c r="F618" s="265">
        <v>42077</v>
      </c>
      <c r="G618" s="265">
        <v>42110</v>
      </c>
      <c r="H618" s="111">
        <v>5484.69</v>
      </c>
      <c r="I618" s="111">
        <f t="shared" si="34"/>
        <v>0</v>
      </c>
      <c r="J618" s="295">
        <v>1</v>
      </c>
      <c r="K618" s="266">
        <f t="shared" si="35"/>
        <v>54.846899999999998</v>
      </c>
      <c r="P618" s="29">
        <v>0</v>
      </c>
      <c r="Q618" s="29">
        <v>987.24</v>
      </c>
      <c r="R618" s="29">
        <v>6471.93</v>
      </c>
      <c r="S618" s="29">
        <v>0</v>
      </c>
      <c r="T618" s="29">
        <v>1</v>
      </c>
      <c r="U618" s="29">
        <v>64.719300000000004</v>
      </c>
    </row>
    <row r="619" spans="2:21">
      <c r="B619" s="111">
        <v>4</v>
      </c>
      <c r="C619" s="111">
        <v>24440</v>
      </c>
      <c r="D619" s="111" t="s">
        <v>760</v>
      </c>
      <c r="E619" s="111" t="s">
        <v>448</v>
      </c>
      <c r="F619" s="265">
        <v>42079</v>
      </c>
      <c r="G619" s="265">
        <v>42111</v>
      </c>
      <c r="H619" s="111">
        <v>253.19</v>
      </c>
      <c r="I619" s="111">
        <f t="shared" si="34"/>
        <v>0</v>
      </c>
      <c r="J619" s="295">
        <v>1</v>
      </c>
      <c r="K619" s="266">
        <f t="shared" si="35"/>
        <v>2.5318999999999998</v>
      </c>
      <c r="P619" s="29">
        <v>0</v>
      </c>
      <c r="Q619" s="29">
        <v>45.57</v>
      </c>
      <c r="R619" s="29">
        <v>298.76</v>
      </c>
      <c r="S619" s="29">
        <v>0</v>
      </c>
      <c r="T619" s="29">
        <v>1</v>
      </c>
      <c r="U619" s="29">
        <v>2.9876</v>
      </c>
    </row>
    <row r="620" spans="2:21">
      <c r="B620" s="111">
        <v>4</v>
      </c>
      <c r="C620" s="111">
        <v>24527</v>
      </c>
      <c r="D620" s="111" t="s">
        <v>758</v>
      </c>
      <c r="E620" s="111" t="s">
        <v>448</v>
      </c>
      <c r="F620" s="265">
        <v>42080</v>
      </c>
      <c r="G620" s="265">
        <v>42124</v>
      </c>
      <c r="H620" s="111">
        <v>9246.7199999999993</v>
      </c>
      <c r="I620" s="111">
        <f t="shared" si="34"/>
        <v>0</v>
      </c>
      <c r="J620" s="295">
        <v>1</v>
      </c>
      <c r="K620" s="266">
        <f t="shared" si="35"/>
        <v>92.467199999999991</v>
      </c>
      <c r="P620" s="29">
        <v>0</v>
      </c>
      <c r="Q620" s="29">
        <v>1664.41</v>
      </c>
      <c r="R620" s="29">
        <v>10911.13</v>
      </c>
      <c r="S620" s="29">
        <v>0</v>
      </c>
      <c r="T620" s="29">
        <v>1</v>
      </c>
      <c r="U620" s="29">
        <v>109.1113</v>
      </c>
    </row>
    <row r="621" spans="2:21">
      <c r="B621" s="111">
        <v>4</v>
      </c>
      <c r="C621" s="111">
        <v>24528</v>
      </c>
      <c r="D621" s="111" t="s">
        <v>758</v>
      </c>
      <c r="E621" s="111" t="s">
        <v>448</v>
      </c>
      <c r="F621" s="265">
        <v>42080</v>
      </c>
      <c r="G621" s="265">
        <v>42124</v>
      </c>
      <c r="H621" s="111">
        <v>4877.1000000000004</v>
      </c>
      <c r="I621" s="111">
        <f t="shared" si="34"/>
        <v>0</v>
      </c>
      <c r="J621" s="295">
        <v>1</v>
      </c>
      <c r="K621" s="266">
        <f t="shared" si="35"/>
        <v>48.771000000000008</v>
      </c>
      <c r="P621" s="29">
        <v>0</v>
      </c>
      <c r="Q621" s="29">
        <v>877.88</v>
      </c>
      <c r="R621" s="29">
        <v>5754.98</v>
      </c>
      <c r="S621" s="29">
        <v>0</v>
      </c>
      <c r="T621" s="29">
        <v>1</v>
      </c>
      <c r="U621" s="29">
        <v>57.549799999999998</v>
      </c>
    </row>
    <row r="622" spans="2:21">
      <c r="B622" s="111">
        <v>4</v>
      </c>
      <c r="C622" s="111">
        <v>24556</v>
      </c>
      <c r="D622" s="111" t="s">
        <v>758</v>
      </c>
      <c r="E622" s="111" t="s">
        <v>448</v>
      </c>
      <c r="F622" s="265">
        <v>42080</v>
      </c>
      <c r="G622" s="265">
        <v>42124</v>
      </c>
      <c r="H622" s="111">
        <v>11704.92</v>
      </c>
      <c r="I622" s="111">
        <f t="shared" si="34"/>
        <v>0</v>
      </c>
      <c r="J622" s="295">
        <v>1</v>
      </c>
      <c r="K622" s="266">
        <f t="shared" si="35"/>
        <v>117.0492</v>
      </c>
      <c r="P622" s="29">
        <v>0</v>
      </c>
      <c r="Q622" s="29">
        <v>2106.89</v>
      </c>
      <c r="R622" s="29">
        <v>13811.81</v>
      </c>
      <c r="S622" s="29">
        <v>0</v>
      </c>
      <c r="T622" s="29">
        <v>1</v>
      </c>
      <c r="U622" s="29">
        <v>138.1181</v>
      </c>
    </row>
    <row r="623" spans="2:21">
      <c r="B623" s="111">
        <v>4</v>
      </c>
      <c r="C623" s="111">
        <v>24672</v>
      </c>
      <c r="D623" s="111" t="s">
        <v>758</v>
      </c>
      <c r="E623" s="111" t="s">
        <v>448</v>
      </c>
      <c r="F623" s="265">
        <v>42081</v>
      </c>
      <c r="G623" s="265">
        <v>42124</v>
      </c>
      <c r="H623" s="111">
        <v>1936.77</v>
      </c>
      <c r="I623" s="111">
        <f t="shared" si="34"/>
        <v>0</v>
      </c>
      <c r="J623" s="295">
        <v>1</v>
      </c>
      <c r="K623" s="266">
        <f t="shared" si="35"/>
        <v>19.367699999999999</v>
      </c>
      <c r="P623" s="29">
        <v>0</v>
      </c>
      <c r="Q623" s="29">
        <v>348.62</v>
      </c>
      <c r="R623" s="29">
        <v>2285.39</v>
      </c>
      <c r="S623" s="29">
        <v>0</v>
      </c>
      <c r="T623" s="29">
        <v>1</v>
      </c>
      <c r="U623" s="29">
        <v>22.853899999999999</v>
      </c>
    </row>
    <row r="624" spans="2:21">
      <c r="B624" s="111">
        <v>4</v>
      </c>
      <c r="C624" s="111">
        <v>24648</v>
      </c>
      <c r="D624" s="111" t="s">
        <v>757</v>
      </c>
      <c r="E624" s="111" t="s">
        <v>448</v>
      </c>
      <c r="F624" s="265">
        <v>42081</v>
      </c>
      <c r="G624" s="265">
        <v>42118</v>
      </c>
      <c r="H624" s="111">
        <v>771.45</v>
      </c>
      <c r="I624" s="111">
        <f t="shared" si="34"/>
        <v>0</v>
      </c>
      <c r="J624" s="295">
        <v>1</v>
      </c>
      <c r="K624" s="266">
        <f t="shared" si="35"/>
        <v>7.714500000000001</v>
      </c>
      <c r="P624" s="29">
        <v>0</v>
      </c>
      <c r="Q624" s="29">
        <v>138.86000000000001</v>
      </c>
      <c r="R624" s="29">
        <v>910.31</v>
      </c>
      <c r="S624" s="29">
        <v>0</v>
      </c>
      <c r="T624" s="29">
        <v>1</v>
      </c>
      <c r="U624" s="29">
        <v>9.1030999999999995</v>
      </c>
    </row>
    <row r="625" spans="2:21">
      <c r="B625" s="111">
        <v>4</v>
      </c>
      <c r="C625" s="111">
        <v>24626</v>
      </c>
      <c r="D625" s="111" t="s">
        <v>758</v>
      </c>
      <c r="E625" s="111" t="s">
        <v>448</v>
      </c>
      <c r="F625" s="265">
        <v>42081</v>
      </c>
      <c r="G625" s="265">
        <v>42124</v>
      </c>
      <c r="H625" s="111">
        <v>1463.64</v>
      </c>
      <c r="I625" s="111">
        <f t="shared" si="34"/>
        <v>0</v>
      </c>
      <c r="J625" s="295">
        <v>1</v>
      </c>
      <c r="K625" s="266">
        <f t="shared" si="35"/>
        <v>14.636400000000002</v>
      </c>
      <c r="P625" s="29">
        <v>0</v>
      </c>
      <c r="Q625" s="29">
        <v>263.45999999999998</v>
      </c>
      <c r="R625" s="29">
        <v>1727.1</v>
      </c>
      <c r="S625" s="29">
        <v>0</v>
      </c>
      <c r="T625" s="29">
        <v>1</v>
      </c>
      <c r="U625" s="29">
        <v>17.271000000000001</v>
      </c>
    </row>
    <row r="626" spans="2:21">
      <c r="B626" s="111">
        <v>4</v>
      </c>
      <c r="C626" s="111">
        <v>24745</v>
      </c>
      <c r="D626" s="111" t="s">
        <v>759</v>
      </c>
      <c r="E626" s="111" t="s">
        <v>448</v>
      </c>
      <c r="F626" s="265">
        <v>42082</v>
      </c>
      <c r="G626" s="265">
        <v>42111</v>
      </c>
      <c r="H626" s="111">
        <v>1175.4000000000001</v>
      </c>
      <c r="I626" s="111">
        <f t="shared" si="34"/>
        <v>0</v>
      </c>
      <c r="J626" s="295">
        <v>1</v>
      </c>
      <c r="K626" s="266">
        <f t="shared" si="35"/>
        <v>11.754000000000001</v>
      </c>
      <c r="P626" s="29">
        <v>0</v>
      </c>
      <c r="Q626" s="29">
        <v>211.57</v>
      </c>
      <c r="R626" s="29">
        <v>1386.97</v>
      </c>
      <c r="S626" s="29">
        <v>0</v>
      </c>
      <c r="T626" s="29">
        <v>1</v>
      </c>
      <c r="U626" s="29">
        <v>13.8697</v>
      </c>
    </row>
    <row r="627" spans="2:21">
      <c r="B627" s="111">
        <v>4</v>
      </c>
      <c r="C627" s="111">
        <v>24709</v>
      </c>
      <c r="D627" s="111" t="s">
        <v>757</v>
      </c>
      <c r="E627" s="111" t="s">
        <v>448</v>
      </c>
      <c r="F627" s="265">
        <v>42082</v>
      </c>
      <c r="G627" s="265">
        <v>42118</v>
      </c>
      <c r="H627" s="111">
        <v>203.46</v>
      </c>
      <c r="I627" s="111">
        <f t="shared" si="34"/>
        <v>0</v>
      </c>
      <c r="J627" s="295">
        <v>1</v>
      </c>
      <c r="K627" s="266">
        <f t="shared" si="35"/>
        <v>2.0346000000000002</v>
      </c>
      <c r="P627" s="29">
        <v>0</v>
      </c>
      <c r="Q627" s="29">
        <v>36.619999999999997</v>
      </c>
      <c r="R627" s="29">
        <v>240.08</v>
      </c>
      <c r="S627" s="29">
        <v>0</v>
      </c>
      <c r="T627" s="29">
        <v>1</v>
      </c>
      <c r="U627" s="29">
        <v>2.4007999999999998</v>
      </c>
    </row>
    <row r="628" spans="2:21">
      <c r="B628" s="111">
        <v>4</v>
      </c>
      <c r="C628" s="111">
        <v>24870</v>
      </c>
      <c r="D628" s="111" t="s">
        <v>759</v>
      </c>
      <c r="E628" s="111" t="s">
        <v>448</v>
      </c>
      <c r="F628" s="265">
        <v>42083</v>
      </c>
      <c r="G628" s="265">
        <v>42111</v>
      </c>
      <c r="H628" s="111">
        <v>116.99</v>
      </c>
      <c r="I628" s="111">
        <f t="shared" si="34"/>
        <v>0</v>
      </c>
      <c r="J628" s="295">
        <v>1</v>
      </c>
      <c r="K628" s="266">
        <f t="shared" si="35"/>
        <v>1.1698999999999999</v>
      </c>
      <c r="P628" s="29">
        <v>0</v>
      </c>
      <c r="Q628" s="29">
        <v>21.06</v>
      </c>
      <c r="R628" s="29">
        <v>138.05000000000001</v>
      </c>
      <c r="S628" s="29">
        <v>0</v>
      </c>
      <c r="T628" s="29">
        <v>1</v>
      </c>
      <c r="U628" s="29">
        <v>1.3805000000000001</v>
      </c>
    </row>
    <row r="629" spans="2:21">
      <c r="B629" s="111">
        <v>4</v>
      </c>
      <c r="C629" s="111">
        <v>24757</v>
      </c>
      <c r="D629" s="111" t="s">
        <v>759</v>
      </c>
      <c r="E629" s="111" t="s">
        <v>448</v>
      </c>
      <c r="F629" s="265">
        <v>42082</v>
      </c>
      <c r="G629" s="265">
        <v>42111</v>
      </c>
      <c r="H629" s="111">
        <v>4245.5200000000004</v>
      </c>
      <c r="I629" s="111">
        <f t="shared" si="34"/>
        <v>0</v>
      </c>
      <c r="J629" s="295">
        <v>1</v>
      </c>
      <c r="K629" s="266">
        <f t="shared" si="35"/>
        <v>42.455200000000005</v>
      </c>
      <c r="P629" s="29">
        <v>0</v>
      </c>
      <c r="Q629" s="29">
        <v>764.19</v>
      </c>
      <c r="R629" s="29">
        <v>5009.71</v>
      </c>
      <c r="S629" s="29">
        <v>0</v>
      </c>
      <c r="T629" s="29">
        <v>1</v>
      </c>
      <c r="U629" s="29">
        <v>50.097099999999998</v>
      </c>
    </row>
    <row r="630" spans="2:21">
      <c r="B630" s="111">
        <v>4</v>
      </c>
      <c r="C630" s="111">
        <v>24760</v>
      </c>
      <c r="D630" s="111" t="s">
        <v>759</v>
      </c>
      <c r="E630" s="111" t="s">
        <v>448</v>
      </c>
      <c r="F630" s="265">
        <v>42082</v>
      </c>
      <c r="G630" s="265">
        <v>42111</v>
      </c>
      <c r="H630" s="111">
        <v>116.49</v>
      </c>
      <c r="I630" s="111">
        <f t="shared" si="34"/>
        <v>0</v>
      </c>
      <c r="J630" s="295">
        <v>1</v>
      </c>
      <c r="K630" s="266">
        <f t="shared" si="35"/>
        <v>1.1649</v>
      </c>
      <c r="P630" s="29">
        <v>0</v>
      </c>
      <c r="Q630" s="29">
        <v>20.97</v>
      </c>
      <c r="R630" s="29">
        <v>137.46</v>
      </c>
      <c r="S630" s="29">
        <v>0</v>
      </c>
      <c r="T630" s="29">
        <v>1</v>
      </c>
      <c r="U630" s="29">
        <v>1.3746</v>
      </c>
    </row>
    <row r="631" spans="2:21">
      <c r="B631" s="111">
        <v>4</v>
      </c>
      <c r="C631" s="111">
        <v>24759</v>
      </c>
      <c r="D631" s="111" t="s">
        <v>759</v>
      </c>
      <c r="E631" s="111" t="s">
        <v>448</v>
      </c>
      <c r="F631" s="265">
        <v>42082</v>
      </c>
      <c r="G631" s="265">
        <v>42111</v>
      </c>
      <c r="H631" s="111">
        <v>13928.08</v>
      </c>
      <c r="I631" s="111">
        <f t="shared" si="34"/>
        <v>0</v>
      </c>
      <c r="J631" s="295">
        <v>1</v>
      </c>
      <c r="K631" s="266">
        <f t="shared" si="35"/>
        <v>139.2808</v>
      </c>
      <c r="P631" s="29">
        <v>0</v>
      </c>
      <c r="Q631" s="29">
        <v>2507.0500000000002</v>
      </c>
      <c r="R631" s="29">
        <v>16435.13</v>
      </c>
      <c r="S631" s="29">
        <v>0</v>
      </c>
      <c r="T631" s="29">
        <v>1</v>
      </c>
      <c r="U631" s="29">
        <v>164.35130000000001</v>
      </c>
    </row>
    <row r="632" spans="2:21">
      <c r="B632" s="111">
        <v>4</v>
      </c>
      <c r="C632" s="111">
        <v>24778</v>
      </c>
      <c r="D632" s="111" t="s">
        <v>758</v>
      </c>
      <c r="E632" s="111" t="s">
        <v>448</v>
      </c>
      <c r="F632" s="265">
        <v>42083</v>
      </c>
      <c r="G632" s="265">
        <v>42124</v>
      </c>
      <c r="H632" s="111">
        <v>5184.03</v>
      </c>
      <c r="I632" s="111">
        <f t="shared" ref="I632:I662" si="36">S632/1.18</f>
        <v>0</v>
      </c>
      <c r="J632" s="295">
        <v>1</v>
      </c>
      <c r="K632" s="266">
        <f t="shared" ref="K632:K651" si="37">(H632-I632)*J632%</f>
        <v>51.840299999999999</v>
      </c>
      <c r="P632" s="29">
        <v>0</v>
      </c>
      <c r="Q632" s="29">
        <v>933.13</v>
      </c>
      <c r="R632" s="29">
        <v>6117.16</v>
      </c>
      <c r="S632" s="29">
        <v>0</v>
      </c>
      <c r="T632" s="29">
        <v>1</v>
      </c>
      <c r="U632" s="29">
        <v>61.171599999999998</v>
      </c>
    </row>
    <row r="633" spans="2:21">
      <c r="B633" s="111">
        <v>4</v>
      </c>
      <c r="C633" s="111">
        <v>24873</v>
      </c>
      <c r="D633" s="111" t="s">
        <v>757</v>
      </c>
      <c r="E633" s="111" t="s">
        <v>448</v>
      </c>
      <c r="F633" s="265">
        <v>42083</v>
      </c>
      <c r="G633" s="265">
        <v>42118</v>
      </c>
      <c r="H633" s="111">
        <v>330.22</v>
      </c>
      <c r="I633" s="111">
        <f t="shared" si="36"/>
        <v>0</v>
      </c>
      <c r="J633" s="295">
        <v>1</v>
      </c>
      <c r="K633" s="266">
        <f t="shared" si="37"/>
        <v>3.3022000000000005</v>
      </c>
      <c r="P633" s="29">
        <v>0</v>
      </c>
      <c r="Q633" s="29">
        <v>59.44</v>
      </c>
      <c r="R633" s="29">
        <v>389.66</v>
      </c>
      <c r="S633" s="29">
        <v>0</v>
      </c>
      <c r="T633" s="29">
        <v>1</v>
      </c>
      <c r="U633" s="29">
        <v>3.8965999999999998</v>
      </c>
    </row>
    <row r="634" spans="2:21">
      <c r="B634" s="111">
        <v>4</v>
      </c>
      <c r="C634" s="111">
        <v>24918</v>
      </c>
      <c r="D634" s="111" t="s">
        <v>758</v>
      </c>
      <c r="E634" s="111" t="s">
        <v>448</v>
      </c>
      <c r="F634" s="265">
        <v>42086</v>
      </c>
      <c r="G634" s="265">
        <v>42124</v>
      </c>
      <c r="H634" s="111">
        <v>418.89</v>
      </c>
      <c r="I634" s="111">
        <f t="shared" si="36"/>
        <v>0</v>
      </c>
      <c r="J634" s="295">
        <v>1</v>
      </c>
      <c r="K634" s="266">
        <f t="shared" si="37"/>
        <v>4.1889000000000003</v>
      </c>
      <c r="P634" s="29">
        <v>0</v>
      </c>
      <c r="Q634" s="29">
        <v>75.400000000000006</v>
      </c>
      <c r="R634" s="29">
        <v>494.29</v>
      </c>
      <c r="S634" s="29">
        <v>0</v>
      </c>
      <c r="T634" s="29">
        <v>1</v>
      </c>
      <c r="U634" s="29">
        <v>4.9428999999999998</v>
      </c>
    </row>
    <row r="635" spans="2:21">
      <c r="B635" s="111">
        <v>4</v>
      </c>
      <c r="C635" s="111">
        <v>25004</v>
      </c>
      <c r="D635" s="111" t="s">
        <v>757</v>
      </c>
      <c r="E635" s="111" t="s">
        <v>448</v>
      </c>
      <c r="F635" s="265">
        <v>42087</v>
      </c>
      <c r="G635" s="265">
        <v>42118</v>
      </c>
      <c r="H635" s="111">
        <v>249.9</v>
      </c>
      <c r="I635" s="111">
        <f t="shared" si="36"/>
        <v>0</v>
      </c>
      <c r="J635" s="295">
        <v>1</v>
      </c>
      <c r="K635" s="266">
        <f t="shared" si="37"/>
        <v>2.4990000000000001</v>
      </c>
      <c r="P635" s="29">
        <v>0</v>
      </c>
      <c r="Q635" s="29">
        <v>44.98</v>
      </c>
      <c r="R635" s="29">
        <v>294.88</v>
      </c>
      <c r="S635" s="29">
        <v>0</v>
      </c>
      <c r="T635" s="29">
        <v>1</v>
      </c>
      <c r="U635" s="29">
        <v>2.9487999999999999</v>
      </c>
    </row>
    <row r="636" spans="2:21">
      <c r="B636" s="111">
        <v>4</v>
      </c>
      <c r="C636" s="111">
        <v>25005</v>
      </c>
      <c r="D636" s="111" t="s">
        <v>758</v>
      </c>
      <c r="E636" s="111" t="s">
        <v>448</v>
      </c>
      <c r="F636" s="265">
        <v>42087</v>
      </c>
      <c r="G636" s="265">
        <v>42124</v>
      </c>
      <c r="H636" s="111">
        <v>528.16999999999996</v>
      </c>
      <c r="I636" s="111">
        <f t="shared" si="36"/>
        <v>0</v>
      </c>
      <c r="J636" s="295">
        <v>1</v>
      </c>
      <c r="K636" s="266">
        <f t="shared" si="37"/>
        <v>5.2816999999999998</v>
      </c>
      <c r="P636" s="29">
        <v>0</v>
      </c>
      <c r="Q636" s="29">
        <v>95.07</v>
      </c>
      <c r="R636" s="29">
        <v>623.24</v>
      </c>
      <c r="S636" s="29">
        <v>0</v>
      </c>
      <c r="T636" s="29">
        <v>1</v>
      </c>
      <c r="U636" s="29">
        <v>6.2324000000000002</v>
      </c>
    </row>
    <row r="637" spans="2:21">
      <c r="B637" s="111">
        <v>6</v>
      </c>
      <c r="C637" s="111">
        <v>825</v>
      </c>
      <c r="D637" s="111" t="s">
        <v>381</v>
      </c>
      <c r="E637" s="111" t="s">
        <v>382</v>
      </c>
      <c r="F637" s="265">
        <v>42087</v>
      </c>
      <c r="G637" s="265">
        <v>42123</v>
      </c>
      <c r="H637" s="111">
        <v>9355.93</v>
      </c>
      <c r="I637" s="111">
        <f t="shared" si="36"/>
        <v>0</v>
      </c>
      <c r="J637" s="295">
        <v>1</v>
      </c>
      <c r="K637" s="266">
        <f t="shared" si="37"/>
        <v>93.559300000000007</v>
      </c>
      <c r="P637" s="29">
        <v>0</v>
      </c>
      <c r="Q637" s="29">
        <v>1684.07</v>
      </c>
      <c r="R637" s="29">
        <v>11040</v>
      </c>
      <c r="S637" s="29">
        <v>0</v>
      </c>
      <c r="T637" s="29">
        <v>1</v>
      </c>
      <c r="U637" s="29">
        <v>110.4</v>
      </c>
    </row>
    <row r="638" spans="2:21">
      <c r="B638" s="111">
        <v>4</v>
      </c>
      <c r="C638" s="111">
        <v>25044</v>
      </c>
      <c r="D638" s="111" t="s">
        <v>758</v>
      </c>
      <c r="E638" s="111" t="s">
        <v>448</v>
      </c>
      <c r="F638" s="265">
        <v>42088</v>
      </c>
      <c r="G638" s="265">
        <v>42124</v>
      </c>
      <c r="H638" s="111">
        <v>689.27</v>
      </c>
      <c r="I638" s="111">
        <f t="shared" si="36"/>
        <v>0</v>
      </c>
      <c r="J638" s="295">
        <v>1</v>
      </c>
      <c r="K638" s="266">
        <f t="shared" si="37"/>
        <v>6.8926999999999996</v>
      </c>
      <c r="P638" s="29">
        <v>0</v>
      </c>
      <c r="Q638" s="29">
        <v>124.07</v>
      </c>
      <c r="R638" s="29">
        <v>813.34</v>
      </c>
      <c r="S638" s="29">
        <v>0</v>
      </c>
      <c r="T638" s="29">
        <v>1</v>
      </c>
      <c r="U638" s="29">
        <v>8.1334</v>
      </c>
    </row>
    <row r="639" spans="2:21">
      <c r="B639" s="111">
        <v>4</v>
      </c>
      <c r="C639" s="111">
        <v>25067</v>
      </c>
      <c r="D639" s="111" t="s">
        <v>758</v>
      </c>
      <c r="E639" s="111" t="s">
        <v>448</v>
      </c>
      <c r="F639" s="265">
        <v>42088</v>
      </c>
      <c r="G639" s="265">
        <v>42124</v>
      </c>
      <c r="H639" s="111">
        <v>7100.76</v>
      </c>
      <c r="I639" s="266">
        <f t="shared" si="36"/>
        <v>84.550847457627114</v>
      </c>
      <c r="J639" s="295">
        <v>1</v>
      </c>
      <c r="K639" s="266">
        <f t="shared" si="37"/>
        <v>70.162091525423733</v>
      </c>
      <c r="P639" s="29">
        <v>0</v>
      </c>
      <c r="Q639" s="29">
        <v>1278.1400000000001</v>
      </c>
      <c r="R639" s="29">
        <v>8378.9</v>
      </c>
      <c r="S639" s="29">
        <v>99.77</v>
      </c>
      <c r="T639" s="29">
        <v>1</v>
      </c>
      <c r="U639" s="29">
        <v>82.791300000000007</v>
      </c>
    </row>
    <row r="640" spans="2:21">
      <c r="B640" s="111">
        <v>4</v>
      </c>
      <c r="C640" s="111">
        <v>25092</v>
      </c>
      <c r="D640" s="111" t="s">
        <v>758</v>
      </c>
      <c r="E640" s="111" t="s">
        <v>448</v>
      </c>
      <c r="F640" s="265">
        <v>42088</v>
      </c>
      <c r="G640" s="265">
        <v>42124</v>
      </c>
      <c r="H640" s="111">
        <v>1550</v>
      </c>
      <c r="I640" s="111">
        <f t="shared" si="36"/>
        <v>0</v>
      </c>
      <c r="J640" s="295">
        <v>1</v>
      </c>
      <c r="K640" s="266">
        <f t="shared" si="37"/>
        <v>15.5</v>
      </c>
      <c r="P640" s="29">
        <v>0</v>
      </c>
      <c r="Q640" s="29">
        <v>279</v>
      </c>
      <c r="R640" s="29">
        <v>1829</v>
      </c>
      <c r="S640" s="29">
        <v>0</v>
      </c>
      <c r="T640" s="29">
        <v>1</v>
      </c>
      <c r="U640" s="29">
        <v>18.29</v>
      </c>
    </row>
    <row r="641" spans="2:21">
      <c r="B641" s="111">
        <v>4</v>
      </c>
      <c r="C641" s="111">
        <v>25204</v>
      </c>
      <c r="D641" s="111" t="s">
        <v>760</v>
      </c>
      <c r="E641" s="111" t="s">
        <v>448</v>
      </c>
      <c r="F641" s="265">
        <v>42089</v>
      </c>
      <c r="G641" s="265">
        <v>42111</v>
      </c>
      <c r="H641" s="111">
        <v>607.53</v>
      </c>
      <c r="I641" s="111">
        <f t="shared" si="36"/>
        <v>0</v>
      </c>
      <c r="J641" s="295">
        <v>1</v>
      </c>
      <c r="K641" s="266">
        <f t="shared" si="37"/>
        <v>6.0752999999999995</v>
      </c>
      <c r="P641" s="29">
        <v>0</v>
      </c>
      <c r="Q641" s="29">
        <v>109.36</v>
      </c>
      <c r="R641" s="29">
        <v>716.89</v>
      </c>
      <c r="S641" s="29">
        <v>0</v>
      </c>
      <c r="T641" s="29">
        <v>1</v>
      </c>
      <c r="U641" s="29">
        <v>7.1688999999999998</v>
      </c>
    </row>
    <row r="642" spans="2:21">
      <c r="B642" s="111">
        <v>4</v>
      </c>
      <c r="C642" s="111">
        <v>25217</v>
      </c>
      <c r="D642" s="111" t="s">
        <v>758</v>
      </c>
      <c r="E642" s="111" t="s">
        <v>448</v>
      </c>
      <c r="F642" s="265">
        <v>42089</v>
      </c>
      <c r="G642" s="265">
        <v>42124</v>
      </c>
      <c r="H642" s="111">
        <v>1555.21</v>
      </c>
      <c r="I642" s="111">
        <f t="shared" si="36"/>
        <v>0</v>
      </c>
      <c r="J642" s="295">
        <v>1</v>
      </c>
      <c r="K642" s="266">
        <f t="shared" si="37"/>
        <v>15.552100000000001</v>
      </c>
      <c r="P642" s="29">
        <v>0</v>
      </c>
      <c r="Q642" s="29">
        <v>279.94</v>
      </c>
      <c r="R642" s="29">
        <v>1835.15</v>
      </c>
      <c r="S642" s="29">
        <v>0</v>
      </c>
      <c r="T642" s="29">
        <v>1</v>
      </c>
      <c r="U642" s="29">
        <v>18.351500000000001</v>
      </c>
    </row>
    <row r="643" spans="2:21">
      <c r="B643" s="111">
        <v>4</v>
      </c>
      <c r="C643" s="111">
        <v>25468</v>
      </c>
      <c r="D643" s="111" t="s">
        <v>758</v>
      </c>
      <c r="E643" s="111" t="s">
        <v>448</v>
      </c>
      <c r="F643" s="265">
        <v>42093</v>
      </c>
      <c r="G643" s="265">
        <v>42124</v>
      </c>
      <c r="H643" s="111">
        <v>5829.78</v>
      </c>
      <c r="I643" s="111">
        <f t="shared" si="36"/>
        <v>0</v>
      </c>
      <c r="J643" s="295">
        <v>1</v>
      </c>
      <c r="K643" s="266">
        <f t="shared" si="37"/>
        <v>58.297799999999995</v>
      </c>
      <c r="P643" s="29">
        <v>0</v>
      </c>
      <c r="Q643" s="29">
        <v>1049.3599999999999</v>
      </c>
      <c r="R643" s="29">
        <v>6879.14</v>
      </c>
      <c r="S643" s="29">
        <v>0</v>
      </c>
      <c r="T643" s="29">
        <v>1</v>
      </c>
      <c r="U643" s="29">
        <v>68.791399999999996</v>
      </c>
    </row>
    <row r="644" spans="2:21">
      <c r="B644" s="111">
        <v>4</v>
      </c>
      <c r="C644" s="111">
        <v>25466</v>
      </c>
      <c r="D644" s="111" t="s">
        <v>757</v>
      </c>
      <c r="E644" s="111" t="s">
        <v>448</v>
      </c>
      <c r="F644" s="265">
        <v>42093</v>
      </c>
      <c r="G644" s="265">
        <v>42118</v>
      </c>
      <c r="H644" s="111">
        <v>137.43</v>
      </c>
      <c r="I644" s="111">
        <f t="shared" si="36"/>
        <v>0</v>
      </c>
      <c r="J644" s="295">
        <v>1</v>
      </c>
      <c r="K644" s="266">
        <f t="shared" si="37"/>
        <v>1.3743000000000001</v>
      </c>
      <c r="P644" s="29">
        <v>0</v>
      </c>
      <c r="Q644" s="29">
        <v>24.74</v>
      </c>
      <c r="R644" s="29">
        <v>162.16999999999999</v>
      </c>
      <c r="S644" s="29">
        <v>0</v>
      </c>
      <c r="T644" s="29">
        <v>1</v>
      </c>
      <c r="U644" s="29">
        <v>1.6216999999999999</v>
      </c>
    </row>
    <row r="645" spans="2:21">
      <c r="B645" s="111">
        <v>4</v>
      </c>
      <c r="C645" s="111">
        <v>25467</v>
      </c>
      <c r="D645" s="111" t="s">
        <v>758</v>
      </c>
      <c r="E645" s="111" t="s">
        <v>448</v>
      </c>
      <c r="F645" s="265">
        <v>42093</v>
      </c>
      <c r="G645" s="265">
        <v>42124</v>
      </c>
      <c r="H645" s="111">
        <v>10609.27</v>
      </c>
      <c r="I645" s="111">
        <f t="shared" si="36"/>
        <v>0</v>
      </c>
      <c r="J645" s="295">
        <v>1</v>
      </c>
      <c r="K645" s="266">
        <f t="shared" si="37"/>
        <v>106.09270000000001</v>
      </c>
      <c r="P645" s="29">
        <v>0</v>
      </c>
      <c r="Q645" s="29">
        <v>1909.67</v>
      </c>
      <c r="R645" s="29">
        <v>12518.94</v>
      </c>
      <c r="S645" s="29">
        <v>0</v>
      </c>
      <c r="T645" s="29">
        <v>1</v>
      </c>
      <c r="U645" s="29">
        <v>125.18940000000001</v>
      </c>
    </row>
    <row r="646" spans="2:21">
      <c r="B646" s="111">
        <v>4</v>
      </c>
      <c r="C646" s="111">
        <v>25442</v>
      </c>
      <c r="D646" s="111" t="s">
        <v>758</v>
      </c>
      <c r="E646" s="111" t="s">
        <v>448</v>
      </c>
      <c r="F646" s="265">
        <v>42093</v>
      </c>
      <c r="G646" s="265">
        <v>42124</v>
      </c>
      <c r="H646" s="111">
        <v>918.98</v>
      </c>
      <c r="I646" s="111">
        <f t="shared" si="36"/>
        <v>0</v>
      </c>
      <c r="J646" s="295">
        <v>1</v>
      </c>
      <c r="K646" s="266">
        <f t="shared" si="37"/>
        <v>9.1898</v>
      </c>
      <c r="P646" s="29">
        <v>0</v>
      </c>
      <c r="Q646" s="29">
        <v>165.42</v>
      </c>
      <c r="R646" s="29">
        <v>1084.4000000000001</v>
      </c>
      <c r="S646" s="29">
        <v>0</v>
      </c>
      <c r="T646" s="29">
        <v>1</v>
      </c>
      <c r="U646" s="29">
        <v>10.843999999999999</v>
      </c>
    </row>
    <row r="647" spans="2:21">
      <c r="B647" s="111">
        <v>4</v>
      </c>
      <c r="C647" s="111">
        <v>25507</v>
      </c>
      <c r="D647" s="111" t="s">
        <v>758</v>
      </c>
      <c r="E647" s="111" t="s">
        <v>448</v>
      </c>
      <c r="F647" s="265">
        <v>42093</v>
      </c>
      <c r="G647" s="265">
        <v>42124</v>
      </c>
      <c r="H647" s="111">
        <v>6170.12</v>
      </c>
      <c r="I647" s="111">
        <f t="shared" si="36"/>
        <v>0</v>
      </c>
      <c r="J647" s="295">
        <v>1</v>
      </c>
      <c r="K647" s="266">
        <f t="shared" si="37"/>
        <v>61.7012</v>
      </c>
      <c r="P647" s="29">
        <v>0</v>
      </c>
      <c r="Q647" s="29">
        <v>1110.6199999999999</v>
      </c>
      <c r="R647" s="29">
        <v>7280.74</v>
      </c>
      <c r="S647" s="29">
        <v>0</v>
      </c>
      <c r="T647" s="29">
        <v>1</v>
      </c>
      <c r="U647" s="29">
        <v>72.807400000000001</v>
      </c>
    </row>
    <row r="648" spans="2:21">
      <c r="B648" s="111">
        <v>4</v>
      </c>
      <c r="C648" s="111">
        <v>25569</v>
      </c>
      <c r="D648" s="111" t="s">
        <v>772</v>
      </c>
      <c r="E648" s="111" t="s">
        <v>448</v>
      </c>
      <c r="F648" s="265">
        <v>42094</v>
      </c>
      <c r="G648" s="265">
        <v>42101</v>
      </c>
      <c r="H648" s="111">
        <v>21967.200000000001</v>
      </c>
      <c r="I648" s="111">
        <f t="shared" si="36"/>
        <v>0</v>
      </c>
      <c r="J648" s="295">
        <v>0.5</v>
      </c>
      <c r="K648" s="266">
        <f t="shared" si="37"/>
        <v>109.83600000000001</v>
      </c>
      <c r="P648" s="29">
        <v>0</v>
      </c>
      <c r="Q648" s="29">
        <v>3954.1</v>
      </c>
      <c r="R648" s="29">
        <v>25921.3</v>
      </c>
      <c r="S648" s="29">
        <v>0</v>
      </c>
      <c r="T648" s="29">
        <v>1</v>
      </c>
      <c r="U648" s="29">
        <v>259.21300000000002</v>
      </c>
    </row>
    <row r="649" spans="2:21">
      <c r="B649" s="111">
        <v>4</v>
      </c>
      <c r="C649" s="111">
        <v>25686</v>
      </c>
      <c r="D649" s="111" t="s">
        <v>761</v>
      </c>
      <c r="E649" s="111" t="s">
        <v>448</v>
      </c>
      <c r="F649" s="265">
        <v>42094</v>
      </c>
      <c r="G649" s="265">
        <v>42115</v>
      </c>
      <c r="H649" s="111">
        <v>4148.6400000000003</v>
      </c>
      <c r="I649" s="111">
        <f t="shared" si="36"/>
        <v>0</v>
      </c>
      <c r="J649" s="295">
        <v>1</v>
      </c>
      <c r="K649" s="266">
        <f t="shared" si="37"/>
        <v>41.486400000000003</v>
      </c>
      <c r="P649" s="29">
        <v>0</v>
      </c>
      <c r="Q649" s="29">
        <v>746.76</v>
      </c>
      <c r="R649" s="29">
        <v>4895.3999999999996</v>
      </c>
      <c r="S649" s="29">
        <v>0</v>
      </c>
      <c r="T649" s="29">
        <v>1</v>
      </c>
      <c r="U649" s="29">
        <v>48.954000000000001</v>
      </c>
    </row>
    <row r="650" spans="2:21">
      <c r="B650" s="111">
        <v>4</v>
      </c>
      <c r="C650" s="111">
        <v>25934</v>
      </c>
      <c r="D650" s="111" t="s">
        <v>772</v>
      </c>
      <c r="E650" s="111" t="s">
        <v>448</v>
      </c>
      <c r="F650" s="265">
        <v>42101</v>
      </c>
      <c r="G650" s="265">
        <v>42101</v>
      </c>
      <c r="H650" s="111">
        <v>2712</v>
      </c>
      <c r="I650" s="111">
        <f t="shared" si="36"/>
        <v>0</v>
      </c>
      <c r="J650" s="295">
        <v>0.5</v>
      </c>
      <c r="K650" s="266">
        <f t="shared" si="37"/>
        <v>13.56</v>
      </c>
      <c r="P650" s="29">
        <v>0</v>
      </c>
      <c r="Q650" s="29">
        <v>488.16</v>
      </c>
      <c r="R650" s="29">
        <v>3200.16</v>
      </c>
      <c r="S650" s="29">
        <v>0</v>
      </c>
      <c r="T650" s="29">
        <v>1</v>
      </c>
      <c r="U650" s="29">
        <v>32.001600000000003</v>
      </c>
    </row>
    <row r="651" spans="2:21">
      <c r="B651" s="111">
        <v>4</v>
      </c>
      <c r="C651" s="111">
        <v>25935</v>
      </c>
      <c r="D651" s="111" t="s">
        <v>761</v>
      </c>
      <c r="E651" s="111" t="s">
        <v>448</v>
      </c>
      <c r="F651" s="265">
        <v>42101</v>
      </c>
      <c r="G651" s="265">
        <v>42115</v>
      </c>
      <c r="H651" s="111">
        <v>2712</v>
      </c>
      <c r="I651" s="111">
        <f t="shared" si="36"/>
        <v>0</v>
      </c>
      <c r="J651" s="295">
        <v>0.5</v>
      </c>
      <c r="K651" s="266">
        <f t="shared" si="37"/>
        <v>13.56</v>
      </c>
      <c r="P651" s="29">
        <v>0</v>
      </c>
      <c r="Q651" s="29">
        <v>488.16</v>
      </c>
      <c r="R651" s="29">
        <v>3200.16</v>
      </c>
      <c r="S651" s="29">
        <v>0</v>
      </c>
      <c r="T651" s="29">
        <v>1</v>
      </c>
      <c r="U651" s="29">
        <v>32.001600000000003</v>
      </c>
    </row>
    <row r="652" spans="2:21">
      <c r="B652" s="111">
        <v>4</v>
      </c>
      <c r="C652" s="111">
        <v>25359</v>
      </c>
      <c r="D652" s="111" t="s">
        <v>764</v>
      </c>
      <c r="E652" s="111" t="s">
        <v>448</v>
      </c>
      <c r="F652" s="265">
        <v>42090</v>
      </c>
      <c r="G652" s="265">
        <v>42101</v>
      </c>
      <c r="H652" s="111">
        <v>41611.5</v>
      </c>
      <c r="I652" s="111">
        <f t="shared" si="36"/>
        <v>0</v>
      </c>
      <c r="J652" s="295">
        <v>0.5</v>
      </c>
      <c r="K652" s="266">
        <v>233.554</v>
      </c>
      <c r="P652" s="29">
        <v>0</v>
      </c>
      <c r="Q652" s="29">
        <v>7490.07</v>
      </c>
      <c r="R652" s="29">
        <v>49101.57</v>
      </c>
      <c r="S652" s="29">
        <v>0</v>
      </c>
      <c r="T652" s="29">
        <v>1</v>
      </c>
      <c r="U652" s="29">
        <v>491.01569999999998</v>
      </c>
    </row>
    <row r="653" spans="2:21">
      <c r="B653" s="111">
        <v>4</v>
      </c>
      <c r="C653" s="111">
        <v>26368</v>
      </c>
      <c r="D653" s="111" t="s">
        <v>761</v>
      </c>
      <c r="E653" s="111" t="s">
        <v>448</v>
      </c>
      <c r="F653" s="265">
        <v>42107</v>
      </c>
      <c r="G653" s="265">
        <v>42115</v>
      </c>
      <c r="H653" s="111">
        <v>3220.5</v>
      </c>
      <c r="I653" s="111">
        <f t="shared" si="36"/>
        <v>0</v>
      </c>
      <c r="J653" s="295">
        <v>0.5</v>
      </c>
      <c r="K653" s="266">
        <f t="shared" ref="K653:K662" si="38">(H653-I653)*J653%</f>
        <v>16.102499999999999</v>
      </c>
      <c r="P653" s="29">
        <v>0</v>
      </c>
      <c r="Q653" s="29">
        <v>579.69000000000005</v>
      </c>
      <c r="R653" s="29">
        <v>3800.19</v>
      </c>
      <c r="S653" s="29">
        <v>0</v>
      </c>
      <c r="T653" s="29">
        <v>1</v>
      </c>
      <c r="U653" s="29">
        <v>38.001899999999999</v>
      </c>
    </row>
    <row r="654" spans="2:21">
      <c r="B654" s="111">
        <v>4</v>
      </c>
      <c r="C654" s="111">
        <v>26369</v>
      </c>
      <c r="D654" s="111" t="s">
        <v>772</v>
      </c>
      <c r="E654" s="111" t="s">
        <v>448</v>
      </c>
      <c r="F654" s="265">
        <v>42107</v>
      </c>
      <c r="G654" s="265">
        <v>42116</v>
      </c>
      <c r="H654" s="111">
        <v>5424</v>
      </c>
      <c r="I654" s="111">
        <f t="shared" si="36"/>
        <v>0</v>
      </c>
      <c r="J654" s="295">
        <v>0.5</v>
      </c>
      <c r="K654" s="266">
        <f t="shared" si="38"/>
        <v>27.12</v>
      </c>
      <c r="P654" s="29">
        <v>0</v>
      </c>
      <c r="Q654" s="29">
        <v>976.32</v>
      </c>
      <c r="R654" s="29">
        <v>6400.32</v>
      </c>
      <c r="S654" s="29">
        <v>0</v>
      </c>
      <c r="T654" s="29">
        <v>1</v>
      </c>
      <c r="U654" s="29">
        <v>64.003200000000007</v>
      </c>
    </row>
    <row r="655" spans="2:21">
      <c r="B655" s="111">
        <v>4</v>
      </c>
      <c r="C655" s="111">
        <v>26391</v>
      </c>
      <c r="D655" s="111" t="s">
        <v>761</v>
      </c>
      <c r="E655" s="111" t="s">
        <v>448</v>
      </c>
      <c r="F655" s="265">
        <v>42107</v>
      </c>
      <c r="G655" s="265">
        <v>42115</v>
      </c>
      <c r="H655" s="111">
        <v>3559.5</v>
      </c>
      <c r="I655" s="111">
        <f t="shared" si="36"/>
        <v>0</v>
      </c>
      <c r="J655" s="295">
        <v>0.5</v>
      </c>
      <c r="K655" s="266">
        <f t="shared" si="38"/>
        <v>17.797499999999999</v>
      </c>
      <c r="P655" s="29">
        <v>0</v>
      </c>
      <c r="Q655" s="29">
        <v>640.71</v>
      </c>
      <c r="R655" s="29">
        <v>4200.21</v>
      </c>
      <c r="S655" s="29">
        <v>0</v>
      </c>
      <c r="T655" s="29">
        <v>1</v>
      </c>
      <c r="U655" s="29">
        <v>42.002099999999999</v>
      </c>
    </row>
    <row r="656" spans="2:21">
      <c r="B656" s="111">
        <v>4</v>
      </c>
      <c r="C656" s="111">
        <v>846</v>
      </c>
      <c r="D656" s="111" t="s">
        <v>762</v>
      </c>
      <c r="E656" s="111" t="s">
        <v>448</v>
      </c>
      <c r="F656" s="265">
        <v>42108</v>
      </c>
      <c r="G656" s="265">
        <v>42109</v>
      </c>
      <c r="H656" s="111">
        <v>135.77000000000001</v>
      </c>
      <c r="I656" s="111">
        <f t="shared" si="36"/>
        <v>0</v>
      </c>
      <c r="J656" s="295">
        <v>1</v>
      </c>
      <c r="K656" s="266">
        <f t="shared" si="38"/>
        <v>1.3577000000000001</v>
      </c>
      <c r="P656" s="29">
        <v>0</v>
      </c>
      <c r="Q656" s="29">
        <v>24.44</v>
      </c>
      <c r="R656" s="29">
        <v>160.21</v>
      </c>
      <c r="S656" s="29">
        <v>0</v>
      </c>
      <c r="T656" s="29">
        <v>1</v>
      </c>
      <c r="U656" s="29">
        <v>1.6021000000000001</v>
      </c>
    </row>
    <row r="657" spans="1:21">
      <c r="B657" s="111">
        <v>4</v>
      </c>
      <c r="C657" s="111">
        <v>26507</v>
      </c>
      <c r="D657" s="111" t="s">
        <v>761</v>
      </c>
      <c r="E657" s="111" t="s">
        <v>448</v>
      </c>
      <c r="F657" s="265">
        <v>42108</v>
      </c>
      <c r="G657" s="265">
        <v>42115</v>
      </c>
      <c r="H657" s="111">
        <v>2712</v>
      </c>
      <c r="I657" s="111">
        <f t="shared" si="36"/>
        <v>0</v>
      </c>
      <c r="J657" s="295">
        <v>0.5</v>
      </c>
      <c r="K657" s="266">
        <f t="shared" si="38"/>
        <v>13.56</v>
      </c>
      <c r="P657" s="29">
        <v>0</v>
      </c>
      <c r="Q657" s="29">
        <v>488.16</v>
      </c>
      <c r="R657" s="29">
        <v>3200.16</v>
      </c>
      <c r="S657" s="29">
        <v>0</v>
      </c>
      <c r="T657" s="29">
        <v>1</v>
      </c>
      <c r="U657" s="29">
        <v>32.001600000000003</v>
      </c>
    </row>
    <row r="658" spans="1:21">
      <c r="B658" s="111">
        <v>4</v>
      </c>
      <c r="C658" s="111">
        <v>26774</v>
      </c>
      <c r="D658" s="111" t="s">
        <v>772</v>
      </c>
      <c r="E658" s="111" t="s">
        <v>448</v>
      </c>
      <c r="F658" s="265">
        <v>42112</v>
      </c>
      <c r="G658" s="265">
        <v>42116</v>
      </c>
      <c r="H658" s="111">
        <v>6203.7</v>
      </c>
      <c r="I658" s="111">
        <f t="shared" si="36"/>
        <v>0</v>
      </c>
      <c r="J658" s="295">
        <v>0.5</v>
      </c>
      <c r="K658" s="266">
        <f t="shared" si="38"/>
        <v>31.0185</v>
      </c>
      <c r="P658" s="29">
        <v>0</v>
      </c>
      <c r="Q658" s="29">
        <v>1116.67</v>
      </c>
      <c r="R658" s="29">
        <v>7320.37</v>
      </c>
      <c r="S658" s="29">
        <v>0</v>
      </c>
      <c r="T658" s="29">
        <v>1</v>
      </c>
      <c r="U658" s="29">
        <v>73.203699999999998</v>
      </c>
    </row>
    <row r="659" spans="1:21">
      <c r="B659" s="111">
        <v>4</v>
      </c>
      <c r="C659" s="111">
        <v>26827</v>
      </c>
      <c r="D659" s="111" t="s">
        <v>761</v>
      </c>
      <c r="E659" s="111" t="s">
        <v>448</v>
      </c>
      <c r="F659" s="265">
        <v>42114</v>
      </c>
      <c r="G659" s="265">
        <v>42115</v>
      </c>
      <c r="H659" s="111">
        <v>8136</v>
      </c>
      <c r="I659" s="111">
        <f t="shared" si="36"/>
        <v>0</v>
      </c>
      <c r="J659" s="295">
        <v>0.5</v>
      </c>
      <c r="K659" s="266">
        <f t="shared" si="38"/>
        <v>40.68</v>
      </c>
      <c r="P659" s="29">
        <v>0</v>
      </c>
      <c r="Q659" s="29">
        <v>1464.48</v>
      </c>
      <c r="R659" s="29">
        <v>9600.48</v>
      </c>
      <c r="S659" s="29">
        <v>0</v>
      </c>
      <c r="T659" s="29">
        <v>1</v>
      </c>
      <c r="U659" s="29">
        <v>96.004800000000003</v>
      </c>
    </row>
    <row r="660" spans="1:21">
      <c r="B660" s="111">
        <v>4</v>
      </c>
      <c r="C660" s="111">
        <v>26825</v>
      </c>
      <c r="D660" s="111" t="s">
        <v>772</v>
      </c>
      <c r="E660" s="111" t="s">
        <v>448</v>
      </c>
      <c r="F660" s="265">
        <v>42114</v>
      </c>
      <c r="G660" s="265">
        <v>42116</v>
      </c>
      <c r="H660" s="111">
        <v>12204</v>
      </c>
      <c r="I660" s="111">
        <f t="shared" si="36"/>
        <v>0</v>
      </c>
      <c r="J660" s="295">
        <v>0.5</v>
      </c>
      <c r="K660" s="266">
        <f t="shared" si="38"/>
        <v>61.02</v>
      </c>
      <c r="P660" s="29">
        <v>0</v>
      </c>
      <c r="Q660" s="29">
        <v>2196.7199999999998</v>
      </c>
      <c r="R660" s="29">
        <v>14400.72</v>
      </c>
      <c r="S660" s="29">
        <v>0</v>
      </c>
      <c r="T660" s="29">
        <v>1</v>
      </c>
      <c r="U660" s="29">
        <v>144.00720000000001</v>
      </c>
    </row>
    <row r="661" spans="1:21">
      <c r="B661" s="111">
        <v>4</v>
      </c>
      <c r="C661" s="111">
        <v>850</v>
      </c>
      <c r="D661" s="111" t="s">
        <v>762</v>
      </c>
      <c r="E661" s="111" t="s">
        <v>448</v>
      </c>
      <c r="F661" s="265">
        <v>42116</v>
      </c>
      <c r="G661" s="265">
        <v>42117</v>
      </c>
      <c r="H661" s="111">
        <v>408.76</v>
      </c>
      <c r="I661" s="111">
        <f t="shared" si="36"/>
        <v>0</v>
      </c>
      <c r="J661" s="295">
        <v>1</v>
      </c>
      <c r="K661" s="266">
        <f t="shared" si="38"/>
        <v>4.0876000000000001</v>
      </c>
      <c r="P661" s="29">
        <v>0</v>
      </c>
      <c r="Q661" s="29">
        <v>73.58</v>
      </c>
      <c r="R661" s="29">
        <v>482.34</v>
      </c>
      <c r="S661" s="29">
        <v>0</v>
      </c>
      <c r="T661" s="29">
        <v>1</v>
      </c>
      <c r="U661" s="29">
        <v>4.8234000000000004</v>
      </c>
    </row>
    <row r="662" spans="1:21">
      <c r="B662" s="111">
        <v>4</v>
      </c>
      <c r="C662" s="111">
        <v>853</v>
      </c>
      <c r="D662" s="111" t="s">
        <v>762</v>
      </c>
      <c r="E662" s="111" t="s">
        <v>448</v>
      </c>
      <c r="F662" s="265">
        <v>42118</v>
      </c>
      <c r="G662" s="265">
        <v>42119</v>
      </c>
      <c r="H662" s="111">
        <v>295.77</v>
      </c>
      <c r="I662" s="111">
        <f t="shared" si="36"/>
        <v>0</v>
      </c>
      <c r="J662" s="295">
        <v>1</v>
      </c>
      <c r="K662" s="266">
        <f t="shared" si="38"/>
        <v>2.9577</v>
      </c>
      <c r="P662" s="29">
        <v>0</v>
      </c>
      <c r="Q662" s="29">
        <v>53.24</v>
      </c>
      <c r="R662" s="29">
        <v>349.01</v>
      </c>
      <c r="S662" s="29">
        <v>0</v>
      </c>
      <c r="T662" s="29">
        <v>1</v>
      </c>
      <c r="U662" s="29">
        <v>3.4901</v>
      </c>
    </row>
    <row r="663" spans="1:21">
      <c r="G663" s="111" t="s">
        <v>765</v>
      </c>
      <c r="H663" s="270">
        <f>SUM(H568:H662)</f>
        <v>340526.85000000003</v>
      </c>
      <c r="J663" s="295" t="s">
        <v>383</v>
      </c>
      <c r="K663" s="272">
        <f>SUM(K568:K662)</f>
        <v>2818.1515847457626</v>
      </c>
    </row>
    <row r="668" spans="1:21">
      <c r="C668" s="29" t="s">
        <v>369</v>
      </c>
      <c r="D668" s="29" t="s">
        <v>782</v>
      </c>
      <c r="E668" s="29" t="s">
        <v>578</v>
      </c>
      <c r="F668" s="29" t="s">
        <v>783</v>
      </c>
      <c r="G668" s="29" t="s">
        <v>579</v>
      </c>
      <c r="H668" s="29" t="s">
        <v>784</v>
      </c>
      <c r="I668" s="29" t="s">
        <v>589</v>
      </c>
      <c r="J668" s="292" t="s">
        <v>778</v>
      </c>
      <c r="K668" s="29" t="s">
        <v>785</v>
      </c>
      <c r="L668" s="29" t="s">
        <v>524</v>
      </c>
      <c r="M668" s="29" t="s">
        <v>786</v>
      </c>
      <c r="N668" s="29" t="s">
        <v>787</v>
      </c>
      <c r="O668" s="29" t="s">
        <v>788</v>
      </c>
      <c r="P668" s="29" t="s">
        <v>789</v>
      </c>
      <c r="Q668" s="29" t="s">
        <v>790</v>
      </c>
    </row>
    <row r="669" spans="1:21">
      <c r="C669" s="29">
        <v>6</v>
      </c>
      <c r="D669" s="29">
        <v>768</v>
      </c>
      <c r="E669" s="29" t="s">
        <v>381</v>
      </c>
      <c r="F669" s="29" t="s">
        <v>382</v>
      </c>
      <c r="G669" s="263">
        <v>42046</v>
      </c>
      <c r="H669" s="263">
        <v>42102</v>
      </c>
      <c r="I669" s="29">
        <v>5898.3</v>
      </c>
      <c r="J669" s="292">
        <v>0</v>
      </c>
      <c r="K669" s="29">
        <v>1061.7</v>
      </c>
      <c r="L669" s="29">
        <v>6960</v>
      </c>
      <c r="M669" s="29">
        <v>0</v>
      </c>
      <c r="N669" s="29">
        <v>1</v>
      </c>
      <c r="O669" s="29">
        <v>69.599999999999994</v>
      </c>
      <c r="P669" s="29">
        <v>12519</v>
      </c>
      <c r="Q669" s="29">
        <v>954477</v>
      </c>
    </row>
    <row r="670" spans="1:21">
      <c r="A670" s="33"/>
      <c r="B670" s="33"/>
      <c r="C670" s="33">
        <v>4</v>
      </c>
      <c r="D670" s="33">
        <v>24150</v>
      </c>
      <c r="E670" s="33" t="s">
        <v>772</v>
      </c>
      <c r="F670" s="33" t="s">
        <v>448</v>
      </c>
      <c r="G670" s="280">
        <v>42074</v>
      </c>
      <c r="H670" s="280">
        <v>42101</v>
      </c>
      <c r="I670" s="33">
        <v>4746</v>
      </c>
      <c r="J670" s="301">
        <v>0</v>
      </c>
      <c r="K670" s="33">
        <v>854.28</v>
      </c>
      <c r="L670" s="33">
        <v>5600.28</v>
      </c>
      <c r="M670" s="33">
        <v>0</v>
      </c>
      <c r="N670" s="33">
        <v>1</v>
      </c>
      <c r="O670" s="33">
        <v>56.002800000000001</v>
      </c>
      <c r="P670" s="33">
        <v>12520</v>
      </c>
      <c r="Q670" s="33">
        <v>957398</v>
      </c>
      <c r="R670" s="33"/>
    </row>
    <row r="671" spans="1:21">
      <c r="A671" s="33"/>
      <c r="B671" s="33"/>
      <c r="C671" s="33">
        <v>4</v>
      </c>
      <c r="D671" s="33">
        <v>24150</v>
      </c>
      <c r="E671" s="33" t="s">
        <v>772</v>
      </c>
      <c r="F671" s="33" t="s">
        <v>448</v>
      </c>
      <c r="G671" s="280">
        <v>42074</v>
      </c>
      <c r="H671" s="280">
        <v>42101</v>
      </c>
      <c r="I671" s="33">
        <v>4746</v>
      </c>
      <c r="J671" s="301">
        <v>0</v>
      </c>
      <c r="K671" s="33">
        <v>854.28</v>
      </c>
      <c r="L671" s="33">
        <v>5600.28</v>
      </c>
      <c r="M671" s="33">
        <v>0</v>
      </c>
      <c r="N671" s="33">
        <v>1</v>
      </c>
      <c r="O671" s="33">
        <v>56.002800000000001</v>
      </c>
      <c r="P671" s="33">
        <v>12520</v>
      </c>
      <c r="Q671" s="33">
        <v>957398</v>
      </c>
      <c r="R671" s="33"/>
    </row>
    <row r="672" spans="1:21">
      <c r="A672" s="33"/>
      <c r="B672" s="33"/>
      <c r="C672" s="33">
        <v>4</v>
      </c>
      <c r="D672" s="33">
        <v>24150</v>
      </c>
      <c r="E672" s="33" t="s">
        <v>772</v>
      </c>
      <c r="F672" s="33" t="s">
        <v>448</v>
      </c>
      <c r="G672" s="280">
        <v>42074</v>
      </c>
      <c r="H672" s="280">
        <v>42101</v>
      </c>
      <c r="I672" s="33">
        <v>4746</v>
      </c>
      <c r="J672" s="301">
        <v>0</v>
      </c>
      <c r="K672" s="33">
        <v>854.28</v>
      </c>
      <c r="L672" s="33">
        <v>5600.28</v>
      </c>
      <c r="M672" s="33">
        <v>0</v>
      </c>
      <c r="N672" s="33">
        <v>1</v>
      </c>
      <c r="O672" s="33">
        <v>56.002800000000001</v>
      </c>
      <c r="P672" s="33">
        <v>12519</v>
      </c>
      <c r="Q672" s="33">
        <v>957398</v>
      </c>
      <c r="R672" s="33"/>
    </row>
    <row r="673" spans="1:24">
      <c r="C673" s="29">
        <v>4</v>
      </c>
      <c r="D673" s="29">
        <v>25359</v>
      </c>
      <c r="E673" s="29" t="s">
        <v>764</v>
      </c>
      <c r="F673" s="29" t="s">
        <v>448</v>
      </c>
      <c r="G673" s="263">
        <v>42090</v>
      </c>
      <c r="H673" s="263">
        <v>42101</v>
      </c>
      <c r="I673" s="29">
        <v>41611.5</v>
      </c>
      <c r="J673" s="292">
        <v>0</v>
      </c>
      <c r="K673" s="29">
        <v>7490.07</v>
      </c>
      <c r="L673" s="29">
        <v>49101.57</v>
      </c>
      <c r="M673" s="29">
        <v>0</v>
      </c>
      <c r="N673" s="29">
        <v>1</v>
      </c>
      <c r="O673" s="29">
        <v>491.01569999999998</v>
      </c>
      <c r="P673" s="29">
        <v>12520</v>
      </c>
      <c r="Q673" s="29">
        <v>959398</v>
      </c>
      <c r="T673" s="221">
        <v>853.29</v>
      </c>
    </row>
    <row r="674" spans="1:24">
      <c r="C674" s="29">
        <v>4</v>
      </c>
      <c r="D674" s="29">
        <v>25359</v>
      </c>
      <c r="E674" s="29" t="s">
        <v>764</v>
      </c>
      <c r="F674" s="29" t="s">
        <v>448</v>
      </c>
      <c r="G674" s="263">
        <v>42090</v>
      </c>
      <c r="H674" s="263">
        <v>42101</v>
      </c>
      <c r="I674" s="29">
        <v>41611.5</v>
      </c>
      <c r="J674" s="292">
        <v>0</v>
      </c>
      <c r="K674" s="29">
        <v>7490.07</v>
      </c>
      <c r="L674" s="29">
        <v>49101.57</v>
      </c>
      <c r="M674" s="29">
        <v>0</v>
      </c>
      <c r="N674" s="29">
        <v>1</v>
      </c>
      <c r="O674" s="29">
        <v>491.01569999999998</v>
      </c>
      <c r="P674" s="29">
        <v>12520</v>
      </c>
      <c r="Q674" s="29">
        <v>959398</v>
      </c>
      <c r="T674" s="221">
        <v>4246.08</v>
      </c>
      <c r="U674" s="29">
        <f>T674+T673</f>
        <v>5099.37</v>
      </c>
      <c r="V674" s="29">
        <f>U674</f>
        <v>5099.37</v>
      </c>
      <c r="W674" s="29">
        <f>V674*1%</f>
        <v>50.993699999999997</v>
      </c>
    </row>
    <row r="675" spans="1:24">
      <c r="C675" s="29">
        <v>4</v>
      </c>
      <c r="D675" s="29">
        <v>25359</v>
      </c>
      <c r="E675" s="29" t="s">
        <v>764</v>
      </c>
      <c r="F675" s="29" t="s">
        <v>448</v>
      </c>
      <c r="G675" s="263">
        <v>42090</v>
      </c>
      <c r="H675" s="263">
        <v>42101</v>
      </c>
      <c r="I675" s="29">
        <v>41611.5</v>
      </c>
      <c r="J675" s="292">
        <v>0</v>
      </c>
      <c r="K675" s="29">
        <v>7490.07</v>
      </c>
      <c r="L675" s="29">
        <v>49101.57</v>
      </c>
      <c r="M675" s="29">
        <v>0</v>
      </c>
      <c r="N675" s="29">
        <v>1</v>
      </c>
      <c r="O675" s="29">
        <v>491.01569999999998</v>
      </c>
      <c r="P675" s="29">
        <v>12520</v>
      </c>
      <c r="Q675" s="29">
        <v>959398</v>
      </c>
      <c r="U675" s="29">
        <f>I675</f>
        <v>41611.5</v>
      </c>
      <c r="V675" s="29">
        <f>U675-U674</f>
        <v>36512.129999999997</v>
      </c>
      <c r="W675" s="29">
        <f>V675*0.5%</f>
        <v>182.56064999999998</v>
      </c>
      <c r="X675" s="29">
        <f>W674+W675</f>
        <v>233.55434999999997</v>
      </c>
    </row>
    <row r="676" spans="1:24">
      <c r="C676" s="29">
        <v>4</v>
      </c>
      <c r="D676" s="29">
        <v>25359</v>
      </c>
      <c r="E676" s="29" t="s">
        <v>764</v>
      </c>
      <c r="F676" s="29" t="s">
        <v>448</v>
      </c>
      <c r="G676" s="263">
        <v>42090</v>
      </c>
      <c r="H676" s="263">
        <v>42101</v>
      </c>
      <c r="I676" s="29">
        <v>41611.5</v>
      </c>
      <c r="J676" s="292">
        <v>0</v>
      </c>
      <c r="K676" s="29">
        <v>7490.07</v>
      </c>
      <c r="L676" s="29">
        <v>49101.57</v>
      </c>
      <c r="M676" s="29">
        <v>0</v>
      </c>
      <c r="N676" s="29">
        <v>1</v>
      </c>
      <c r="O676" s="29">
        <v>491.01569999999998</v>
      </c>
      <c r="P676" s="29">
        <v>12519</v>
      </c>
      <c r="Q676" s="29">
        <v>959398</v>
      </c>
    </row>
    <row r="677" spans="1:24">
      <c r="C677" s="29">
        <v>4</v>
      </c>
      <c r="D677" s="29">
        <v>25359</v>
      </c>
      <c r="E677" s="29" t="s">
        <v>764</v>
      </c>
      <c r="F677" s="29" t="s">
        <v>448</v>
      </c>
      <c r="G677" s="263">
        <v>42090</v>
      </c>
      <c r="H677" s="263">
        <v>42101</v>
      </c>
      <c r="I677" s="29">
        <v>41611.5</v>
      </c>
      <c r="J677" s="292">
        <v>0</v>
      </c>
      <c r="K677" s="29">
        <v>7490.07</v>
      </c>
      <c r="L677" s="29">
        <v>49101.57</v>
      </c>
      <c r="M677" s="29">
        <v>0</v>
      </c>
      <c r="N677" s="29">
        <v>1</v>
      </c>
      <c r="O677" s="29">
        <v>491.01569999999998</v>
      </c>
      <c r="P677" s="29">
        <v>12519</v>
      </c>
      <c r="Q677" s="29">
        <v>959398</v>
      </c>
    </row>
    <row r="678" spans="1:24">
      <c r="C678" s="29">
        <v>4</v>
      </c>
      <c r="D678" s="29">
        <v>25359</v>
      </c>
      <c r="E678" s="29" t="s">
        <v>764</v>
      </c>
      <c r="F678" s="29" t="s">
        <v>448</v>
      </c>
      <c r="G678" s="263">
        <v>42090</v>
      </c>
      <c r="H678" s="263">
        <v>42101</v>
      </c>
      <c r="I678" s="29">
        <v>41611.5</v>
      </c>
      <c r="J678" s="292">
        <v>0</v>
      </c>
      <c r="K678" s="29">
        <v>7490.07</v>
      </c>
      <c r="L678" s="29">
        <v>49101.57</v>
      </c>
      <c r="M678" s="29">
        <v>0</v>
      </c>
      <c r="N678" s="29">
        <v>1</v>
      </c>
      <c r="O678" s="29">
        <v>491.01569999999998</v>
      </c>
      <c r="P678" s="29">
        <v>12519</v>
      </c>
      <c r="Q678" s="29">
        <v>959398</v>
      </c>
    </row>
    <row r="679" spans="1:24">
      <c r="A679" s="33"/>
      <c r="B679" s="33"/>
      <c r="C679" s="33">
        <v>4</v>
      </c>
      <c r="D679" s="33">
        <v>25569</v>
      </c>
      <c r="E679" s="33" t="s">
        <v>772</v>
      </c>
      <c r="F679" s="33" t="s">
        <v>448</v>
      </c>
      <c r="G679" s="280">
        <v>42094</v>
      </c>
      <c r="H679" s="280">
        <v>42101</v>
      </c>
      <c r="I679" s="33">
        <v>21967.200000000001</v>
      </c>
      <c r="J679" s="301">
        <v>0</v>
      </c>
      <c r="K679" s="33">
        <v>3954.1</v>
      </c>
      <c r="L679" s="33">
        <v>25921.3</v>
      </c>
      <c r="M679" s="33">
        <v>0</v>
      </c>
      <c r="N679" s="33">
        <v>1</v>
      </c>
      <c r="O679" s="33">
        <v>259.21300000000002</v>
      </c>
      <c r="P679" s="33">
        <v>12520</v>
      </c>
      <c r="Q679" s="33">
        <v>959822</v>
      </c>
      <c r="R679" s="33"/>
    </row>
    <row r="680" spans="1:24">
      <c r="A680" s="33"/>
      <c r="B680" s="33"/>
      <c r="C680" s="33">
        <v>4</v>
      </c>
      <c r="D680" s="33">
        <v>25569</v>
      </c>
      <c r="E680" s="33" t="s">
        <v>772</v>
      </c>
      <c r="F680" s="33" t="s">
        <v>448</v>
      </c>
      <c r="G680" s="280">
        <v>42094</v>
      </c>
      <c r="H680" s="280">
        <v>42101</v>
      </c>
      <c r="I680" s="33">
        <v>21967.200000000001</v>
      </c>
      <c r="J680" s="301">
        <v>0</v>
      </c>
      <c r="K680" s="33">
        <v>3954.1</v>
      </c>
      <c r="L680" s="33">
        <v>25921.3</v>
      </c>
      <c r="M680" s="33">
        <v>0</v>
      </c>
      <c r="N680" s="33">
        <v>1</v>
      </c>
      <c r="O680" s="33">
        <v>259.21300000000002</v>
      </c>
      <c r="P680" s="33">
        <v>12520</v>
      </c>
      <c r="Q680" s="33">
        <v>959822</v>
      </c>
      <c r="R680" s="33"/>
    </row>
    <row r="681" spans="1:24">
      <c r="A681" s="33"/>
      <c r="B681" s="33"/>
      <c r="C681" s="33">
        <v>4</v>
      </c>
      <c r="D681" s="33">
        <v>25569</v>
      </c>
      <c r="E681" s="33" t="s">
        <v>772</v>
      </c>
      <c r="F681" s="33" t="s">
        <v>448</v>
      </c>
      <c r="G681" s="280">
        <v>42094</v>
      </c>
      <c r="H681" s="280">
        <v>42101</v>
      </c>
      <c r="I681" s="33">
        <v>21967.200000000001</v>
      </c>
      <c r="J681" s="301">
        <v>0</v>
      </c>
      <c r="K681" s="33">
        <v>3954.1</v>
      </c>
      <c r="L681" s="33">
        <v>25921.3</v>
      </c>
      <c r="M681" s="33">
        <v>0</v>
      </c>
      <c r="N681" s="33">
        <v>1</v>
      </c>
      <c r="O681" s="33">
        <v>259.21300000000002</v>
      </c>
      <c r="P681" s="33">
        <v>12519</v>
      </c>
      <c r="Q681" s="33">
        <v>959822</v>
      </c>
      <c r="R681" s="33"/>
    </row>
    <row r="682" spans="1:24">
      <c r="C682" s="29">
        <v>4</v>
      </c>
      <c r="D682" s="29">
        <v>25934</v>
      </c>
      <c r="E682" s="29" t="s">
        <v>772</v>
      </c>
      <c r="F682" s="29" t="s">
        <v>448</v>
      </c>
      <c r="G682" s="263">
        <v>42101</v>
      </c>
      <c r="H682" s="263">
        <v>42101</v>
      </c>
      <c r="I682" s="29">
        <v>2712</v>
      </c>
      <c r="J682" s="292">
        <v>0</v>
      </c>
      <c r="K682" s="29">
        <v>488.16</v>
      </c>
      <c r="L682" s="29">
        <v>3200.16</v>
      </c>
      <c r="M682" s="29">
        <v>0</v>
      </c>
      <c r="N682" s="29">
        <v>1</v>
      </c>
      <c r="O682" s="29">
        <v>32.001600000000003</v>
      </c>
      <c r="P682" s="29">
        <v>12519</v>
      </c>
      <c r="Q682" s="29">
        <v>960368</v>
      </c>
    </row>
    <row r="683" spans="1:24">
      <c r="A683" s="33"/>
      <c r="B683" s="33"/>
      <c r="C683" s="33">
        <v>4</v>
      </c>
      <c r="D683" s="33">
        <v>25935</v>
      </c>
      <c r="E683" s="33" t="s">
        <v>761</v>
      </c>
      <c r="F683" s="33" t="s">
        <v>448</v>
      </c>
      <c r="G683" s="280">
        <v>42101</v>
      </c>
      <c r="H683" s="280">
        <v>42115</v>
      </c>
      <c r="I683" s="33">
        <v>2712</v>
      </c>
      <c r="J683" s="301">
        <v>0</v>
      </c>
      <c r="K683" s="33">
        <v>488.16</v>
      </c>
      <c r="L683" s="33">
        <v>3200.16</v>
      </c>
      <c r="M683" s="33">
        <v>0</v>
      </c>
      <c r="N683" s="33">
        <v>1</v>
      </c>
      <c r="O683" s="33">
        <v>32.001600000000003</v>
      </c>
      <c r="P683" s="33">
        <v>12520</v>
      </c>
      <c r="Q683" s="33">
        <v>960369</v>
      </c>
      <c r="R683" s="33"/>
    </row>
    <row r="684" spans="1:24">
      <c r="C684" s="29">
        <v>4</v>
      </c>
      <c r="D684" s="29">
        <v>26369</v>
      </c>
      <c r="E684" s="29" t="s">
        <v>772</v>
      </c>
      <c r="F684" s="29" t="s">
        <v>448</v>
      </c>
      <c r="G684" s="263">
        <v>42107</v>
      </c>
      <c r="H684" s="263">
        <v>42116</v>
      </c>
      <c r="I684" s="29">
        <v>5424</v>
      </c>
      <c r="J684" s="292">
        <v>0</v>
      </c>
      <c r="K684" s="29">
        <v>976.32</v>
      </c>
      <c r="L684" s="29">
        <v>6400.32</v>
      </c>
      <c r="M684" s="29">
        <v>0</v>
      </c>
      <c r="N684" s="29">
        <v>1</v>
      </c>
      <c r="O684" s="29">
        <v>64.003200000000007</v>
      </c>
      <c r="P684" s="29">
        <v>12519</v>
      </c>
      <c r="Q684" s="29">
        <v>961164</v>
      </c>
    </row>
    <row r="685" spans="1:24">
      <c r="C685" s="29">
        <v>4</v>
      </c>
      <c r="D685" s="29">
        <v>26369</v>
      </c>
      <c r="E685" s="29" t="s">
        <v>772</v>
      </c>
      <c r="F685" s="29" t="s">
        <v>448</v>
      </c>
      <c r="G685" s="263">
        <v>42107</v>
      </c>
      <c r="H685" s="263">
        <v>42116</v>
      </c>
      <c r="I685" s="29">
        <v>5424</v>
      </c>
      <c r="J685" s="292">
        <v>0</v>
      </c>
      <c r="K685" s="29">
        <v>976.32</v>
      </c>
      <c r="L685" s="29">
        <v>6400.32</v>
      </c>
      <c r="M685" s="29">
        <v>0</v>
      </c>
      <c r="N685" s="29">
        <v>1</v>
      </c>
      <c r="O685" s="29">
        <v>64.003200000000007</v>
      </c>
      <c r="P685" s="29">
        <v>12519</v>
      </c>
      <c r="Q685" s="29">
        <v>961164</v>
      </c>
    </row>
    <row r="686" spans="1:24">
      <c r="A686" s="33"/>
      <c r="B686" s="33"/>
      <c r="C686" s="33">
        <v>4</v>
      </c>
      <c r="D686" s="33">
        <v>26368</v>
      </c>
      <c r="E686" s="33" t="s">
        <v>761</v>
      </c>
      <c r="F686" s="33" t="s">
        <v>448</v>
      </c>
      <c r="G686" s="280">
        <v>42107</v>
      </c>
      <c r="H686" s="280">
        <v>42115</v>
      </c>
      <c r="I686" s="33">
        <v>3220.5</v>
      </c>
      <c r="J686" s="301">
        <v>0</v>
      </c>
      <c r="K686" s="33">
        <v>579.69000000000005</v>
      </c>
      <c r="L686" s="33">
        <v>3800.19</v>
      </c>
      <c r="M686" s="33">
        <v>0</v>
      </c>
      <c r="N686" s="33">
        <v>1</v>
      </c>
      <c r="O686" s="33">
        <v>38.001899999999999</v>
      </c>
      <c r="P686" s="33">
        <v>12519</v>
      </c>
      <c r="Q686" s="33">
        <v>961165</v>
      </c>
      <c r="R686" s="33"/>
    </row>
    <row r="687" spans="1:24">
      <c r="C687" s="29">
        <v>4</v>
      </c>
      <c r="D687" s="29">
        <v>26391</v>
      </c>
      <c r="E687" s="29" t="s">
        <v>761</v>
      </c>
      <c r="F687" s="29" t="s">
        <v>448</v>
      </c>
      <c r="G687" s="263">
        <v>42107</v>
      </c>
      <c r="H687" s="263">
        <v>42115</v>
      </c>
      <c r="I687" s="29">
        <v>3559.5</v>
      </c>
      <c r="J687" s="292">
        <v>0</v>
      </c>
      <c r="K687" s="29">
        <v>640.71</v>
      </c>
      <c r="L687" s="29">
        <v>4200.21</v>
      </c>
      <c r="M687" s="29">
        <v>0</v>
      </c>
      <c r="N687" s="29">
        <v>1</v>
      </c>
      <c r="O687" s="29">
        <v>42.002099999999999</v>
      </c>
      <c r="P687" s="29">
        <v>12519</v>
      </c>
      <c r="Q687" s="29">
        <v>961193</v>
      </c>
    </row>
    <row r="688" spans="1:24">
      <c r="C688" s="29">
        <v>4</v>
      </c>
      <c r="D688" s="29">
        <v>26391</v>
      </c>
      <c r="E688" s="29" t="s">
        <v>761</v>
      </c>
      <c r="F688" s="29" t="s">
        <v>448</v>
      </c>
      <c r="G688" s="263">
        <v>42107</v>
      </c>
      <c r="H688" s="263">
        <v>42115</v>
      </c>
      <c r="I688" s="29">
        <v>3559.5</v>
      </c>
      <c r="J688" s="292">
        <v>0</v>
      </c>
      <c r="K688" s="29">
        <v>640.71</v>
      </c>
      <c r="L688" s="29">
        <v>4200.21</v>
      </c>
      <c r="M688" s="29">
        <v>0</v>
      </c>
      <c r="N688" s="29">
        <v>1</v>
      </c>
      <c r="O688" s="29">
        <v>42.002099999999999</v>
      </c>
      <c r="P688" s="29">
        <v>12519</v>
      </c>
      <c r="Q688" s="29">
        <v>961193</v>
      </c>
    </row>
    <row r="689" spans="1:20">
      <c r="A689" s="33"/>
      <c r="B689" s="33"/>
      <c r="C689" s="33">
        <v>4</v>
      </c>
      <c r="D689" s="33">
        <v>26507</v>
      </c>
      <c r="E689" s="33" t="s">
        <v>761</v>
      </c>
      <c r="F689" s="33" t="s">
        <v>448</v>
      </c>
      <c r="G689" s="280">
        <v>42108</v>
      </c>
      <c r="H689" s="280">
        <v>42115</v>
      </c>
      <c r="I689" s="33">
        <v>2712</v>
      </c>
      <c r="J689" s="301">
        <v>0</v>
      </c>
      <c r="K689" s="33">
        <v>488.16</v>
      </c>
      <c r="L689" s="33">
        <v>3200.16</v>
      </c>
      <c r="M689" s="33">
        <v>0</v>
      </c>
      <c r="N689" s="33">
        <v>1</v>
      </c>
      <c r="O689" s="33">
        <v>32.001600000000003</v>
      </c>
      <c r="P689" s="33">
        <v>12520</v>
      </c>
      <c r="Q689" s="33">
        <v>961399</v>
      </c>
      <c r="R689" s="33"/>
    </row>
    <row r="690" spans="1:20">
      <c r="C690" s="29">
        <v>4</v>
      </c>
      <c r="D690" s="29">
        <v>26774</v>
      </c>
      <c r="E690" s="29" t="s">
        <v>772</v>
      </c>
      <c r="F690" s="29" t="s">
        <v>448</v>
      </c>
      <c r="G690" s="263">
        <v>42112</v>
      </c>
      <c r="H690" s="263">
        <v>42116</v>
      </c>
      <c r="I690" s="29">
        <v>6203.7</v>
      </c>
      <c r="J690" s="292">
        <v>0</v>
      </c>
      <c r="K690" s="29">
        <v>1116.67</v>
      </c>
      <c r="L690" s="29">
        <v>7320.37</v>
      </c>
      <c r="M690" s="29">
        <v>0</v>
      </c>
      <c r="N690" s="29">
        <v>1</v>
      </c>
      <c r="O690" s="29">
        <v>73.203699999999998</v>
      </c>
      <c r="P690" s="29">
        <v>12519</v>
      </c>
      <c r="Q690" s="29">
        <v>961872</v>
      </c>
    </row>
    <row r="691" spans="1:20">
      <c r="A691" s="33"/>
      <c r="B691" s="33"/>
      <c r="C691" s="33">
        <v>4</v>
      </c>
      <c r="D691" s="33">
        <v>26825</v>
      </c>
      <c r="E691" s="33" t="s">
        <v>772</v>
      </c>
      <c r="F691" s="33" t="s">
        <v>448</v>
      </c>
      <c r="G691" s="280">
        <v>42114</v>
      </c>
      <c r="H691" s="280">
        <v>42116</v>
      </c>
      <c r="I691" s="33">
        <v>12204</v>
      </c>
      <c r="J691" s="301">
        <v>0</v>
      </c>
      <c r="K691" s="33">
        <v>2196.7199999999998</v>
      </c>
      <c r="L691" s="33">
        <v>14400.72</v>
      </c>
      <c r="M691" s="33">
        <v>0</v>
      </c>
      <c r="N691" s="33">
        <v>1</v>
      </c>
      <c r="O691" s="33">
        <v>144.00720000000001</v>
      </c>
      <c r="P691" s="33">
        <v>12520</v>
      </c>
      <c r="Q691" s="33">
        <v>961989</v>
      </c>
      <c r="R691" s="33"/>
    </row>
    <row r="692" spans="1:20">
      <c r="A692" s="33"/>
      <c r="B692" s="33"/>
      <c r="C692" s="33">
        <v>4</v>
      </c>
      <c r="D692" s="33">
        <v>26825</v>
      </c>
      <c r="E692" s="33" t="s">
        <v>772</v>
      </c>
      <c r="F692" s="33" t="s">
        <v>448</v>
      </c>
      <c r="G692" s="280">
        <v>42114</v>
      </c>
      <c r="H692" s="280">
        <v>42116</v>
      </c>
      <c r="I692" s="33">
        <v>12204</v>
      </c>
      <c r="J692" s="301">
        <v>0</v>
      </c>
      <c r="K692" s="33">
        <v>2196.7199999999998</v>
      </c>
      <c r="L692" s="33">
        <v>14400.72</v>
      </c>
      <c r="M692" s="33">
        <v>0</v>
      </c>
      <c r="N692" s="33">
        <v>1</v>
      </c>
      <c r="O692" s="33">
        <v>144.00720000000001</v>
      </c>
      <c r="P692" s="33">
        <v>12520</v>
      </c>
      <c r="Q692" s="33">
        <v>961989</v>
      </c>
      <c r="R692" s="33"/>
    </row>
    <row r="693" spans="1:20">
      <c r="C693" s="29">
        <v>4</v>
      </c>
      <c r="D693" s="29">
        <v>26827</v>
      </c>
      <c r="E693" s="29" t="s">
        <v>761</v>
      </c>
      <c r="F693" s="29" t="s">
        <v>448</v>
      </c>
      <c r="G693" s="263">
        <v>42114</v>
      </c>
      <c r="H693" s="263">
        <v>42115</v>
      </c>
      <c r="I693" s="29">
        <v>8136</v>
      </c>
      <c r="J693" s="292">
        <v>0</v>
      </c>
      <c r="K693" s="29">
        <v>1464.48</v>
      </c>
      <c r="L693" s="29">
        <v>9600.48</v>
      </c>
      <c r="M693" s="29">
        <v>0</v>
      </c>
      <c r="N693" s="29">
        <v>1</v>
      </c>
      <c r="O693" s="29">
        <v>96.004800000000003</v>
      </c>
      <c r="P693" s="29">
        <v>12520</v>
      </c>
      <c r="Q693" s="29">
        <v>961988</v>
      </c>
    </row>
    <row r="694" spans="1:20">
      <c r="C694" s="29">
        <v>4</v>
      </c>
      <c r="D694" s="29">
        <v>26827</v>
      </c>
      <c r="E694" s="29" t="s">
        <v>761</v>
      </c>
      <c r="F694" s="29" t="s">
        <v>448</v>
      </c>
      <c r="G694" s="263">
        <v>42114</v>
      </c>
      <c r="H694" s="263">
        <v>42115</v>
      </c>
      <c r="I694" s="29">
        <v>8136</v>
      </c>
      <c r="J694" s="292">
        <v>0</v>
      </c>
      <c r="K694" s="29">
        <v>1464.48</v>
      </c>
      <c r="L694" s="29">
        <v>9600.48</v>
      </c>
      <c r="M694" s="29">
        <v>0</v>
      </c>
      <c r="N694" s="29">
        <v>1</v>
      </c>
      <c r="O694" s="29">
        <v>96.004800000000003</v>
      </c>
      <c r="P694" s="29">
        <v>12520</v>
      </c>
      <c r="Q694" s="29">
        <v>961988</v>
      </c>
    </row>
    <row r="696" spans="1:20">
      <c r="B696" s="59"/>
      <c r="C696" s="59"/>
      <c r="D696" s="59" t="s">
        <v>791</v>
      </c>
      <c r="E696" s="59"/>
      <c r="F696" s="59"/>
      <c r="G696" s="59"/>
      <c r="H696" s="59"/>
      <c r="I696" s="59"/>
      <c r="J696" s="293"/>
      <c r="K696" s="59"/>
    </row>
    <row r="697" spans="1:20">
      <c r="B697" s="59"/>
      <c r="C697" s="59"/>
      <c r="D697" s="59"/>
      <c r="E697" s="59"/>
      <c r="F697" s="59"/>
      <c r="G697" s="59"/>
      <c r="H697" s="59"/>
      <c r="I697" s="59"/>
      <c r="J697" s="293"/>
      <c r="K697" s="59"/>
    </row>
    <row r="698" spans="1:20">
      <c r="B698" s="264" t="s">
        <v>369</v>
      </c>
      <c r="C698" s="264" t="s">
        <v>370</v>
      </c>
      <c r="D698" s="264" t="s">
        <v>371</v>
      </c>
      <c r="E698" s="264" t="s">
        <v>372</v>
      </c>
      <c r="F698" s="264" t="s">
        <v>373</v>
      </c>
      <c r="G698" s="264" t="s">
        <v>393</v>
      </c>
      <c r="H698" s="264" t="s">
        <v>375</v>
      </c>
      <c r="I698" s="264" t="s">
        <v>376</v>
      </c>
      <c r="J698" s="294" t="s">
        <v>377</v>
      </c>
      <c r="K698" s="264" t="s">
        <v>378</v>
      </c>
    </row>
    <row r="699" spans="1:20">
      <c r="B699" s="111">
        <v>4</v>
      </c>
      <c r="C699" s="111">
        <v>23885</v>
      </c>
      <c r="D699" s="111" t="s">
        <v>768</v>
      </c>
      <c r="E699" s="111" t="s">
        <v>448</v>
      </c>
      <c r="F699" s="265">
        <v>42072</v>
      </c>
      <c r="G699" s="265">
        <v>42132</v>
      </c>
      <c r="H699" s="111">
        <v>189.61</v>
      </c>
      <c r="I699" s="111">
        <v>0</v>
      </c>
      <c r="J699" s="295">
        <v>1</v>
      </c>
      <c r="K699" s="266">
        <f t="shared" ref="K699:K742" si="39">(H699-I699)*J699%</f>
        <v>1.8961000000000001</v>
      </c>
      <c r="L699" s="29">
        <f t="shared" ref="L699:L730" si="40">G699-F699</f>
        <v>60</v>
      </c>
      <c r="N699" s="29">
        <v>189.61</v>
      </c>
      <c r="O699" s="29">
        <v>0</v>
      </c>
      <c r="P699" s="29">
        <v>34.130000000000003</v>
      </c>
      <c r="Q699" s="29">
        <v>223.74</v>
      </c>
      <c r="R699" s="29">
        <v>0</v>
      </c>
      <c r="S699" s="29">
        <v>1</v>
      </c>
      <c r="T699" s="29">
        <v>2.2374000000000001</v>
      </c>
    </row>
    <row r="700" spans="1:20">
      <c r="B700" s="111">
        <v>4</v>
      </c>
      <c r="C700" s="111">
        <v>24089</v>
      </c>
      <c r="D700" s="111" t="s">
        <v>766</v>
      </c>
      <c r="E700" s="111" t="s">
        <v>448</v>
      </c>
      <c r="F700" s="265">
        <v>42074</v>
      </c>
      <c r="G700" s="265">
        <v>42139</v>
      </c>
      <c r="H700" s="111">
        <v>127.81</v>
      </c>
      <c r="I700" s="111">
        <v>0</v>
      </c>
      <c r="J700" s="295">
        <v>1</v>
      </c>
      <c r="K700" s="266">
        <f t="shared" si="39"/>
        <v>1.2781</v>
      </c>
      <c r="L700" s="29">
        <f t="shared" si="40"/>
        <v>65</v>
      </c>
      <c r="N700" s="29">
        <v>127.81</v>
      </c>
      <c r="O700" s="29">
        <v>0</v>
      </c>
      <c r="P700" s="29">
        <v>23.01</v>
      </c>
      <c r="Q700" s="29">
        <v>150.82</v>
      </c>
      <c r="R700" s="29">
        <v>0</v>
      </c>
      <c r="S700" s="29">
        <v>1</v>
      </c>
      <c r="T700" s="29">
        <v>1.5082</v>
      </c>
    </row>
    <row r="701" spans="1:20">
      <c r="B701" s="111">
        <v>4</v>
      </c>
      <c r="C701" s="111">
        <v>24411</v>
      </c>
      <c r="D701" s="111" t="s">
        <v>766</v>
      </c>
      <c r="E701" s="111" t="s">
        <v>448</v>
      </c>
      <c r="F701" s="265">
        <v>42079</v>
      </c>
      <c r="G701" s="265">
        <v>42139</v>
      </c>
      <c r="H701" s="111">
        <v>117.38</v>
      </c>
      <c r="I701" s="111">
        <v>0</v>
      </c>
      <c r="J701" s="295">
        <v>1</v>
      </c>
      <c r="K701" s="266">
        <f t="shared" si="39"/>
        <v>1.1738</v>
      </c>
      <c r="L701" s="29">
        <f t="shared" si="40"/>
        <v>60</v>
      </c>
      <c r="N701" s="29">
        <v>117.38</v>
      </c>
      <c r="O701" s="29">
        <v>0</v>
      </c>
      <c r="P701" s="29">
        <v>21.13</v>
      </c>
      <c r="Q701" s="29">
        <v>138.51</v>
      </c>
      <c r="R701" s="29">
        <v>0</v>
      </c>
      <c r="S701" s="29">
        <v>1</v>
      </c>
      <c r="T701" s="29">
        <v>1.3851</v>
      </c>
    </row>
    <row r="702" spans="1:20">
      <c r="B702" s="111">
        <v>4</v>
      </c>
      <c r="C702" s="111">
        <v>24460</v>
      </c>
      <c r="D702" s="111" t="s">
        <v>759</v>
      </c>
      <c r="E702" s="111" t="s">
        <v>448</v>
      </c>
      <c r="F702" s="265">
        <v>42079</v>
      </c>
      <c r="G702" s="265">
        <v>42130</v>
      </c>
      <c r="H702" s="111">
        <v>2297.69</v>
      </c>
      <c r="I702" s="111">
        <v>0</v>
      </c>
      <c r="J702" s="295">
        <v>1</v>
      </c>
      <c r="K702" s="266">
        <f t="shared" si="39"/>
        <v>22.976900000000001</v>
      </c>
      <c r="L702" s="29">
        <f t="shared" si="40"/>
        <v>51</v>
      </c>
      <c r="N702" s="29">
        <v>2297.69</v>
      </c>
      <c r="O702" s="29">
        <v>0</v>
      </c>
      <c r="P702" s="29">
        <v>413.58</v>
      </c>
      <c r="Q702" s="29">
        <v>2711.27</v>
      </c>
      <c r="R702" s="29">
        <v>0</v>
      </c>
      <c r="S702" s="29">
        <v>1</v>
      </c>
      <c r="T702" s="29">
        <v>27.1127</v>
      </c>
    </row>
    <row r="703" spans="1:20">
      <c r="B703" s="111">
        <v>4</v>
      </c>
      <c r="C703" s="111">
        <v>24514</v>
      </c>
      <c r="D703" s="111" t="s">
        <v>759</v>
      </c>
      <c r="E703" s="111" t="s">
        <v>448</v>
      </c>
      <c r="F703" s="265">
        <v>42080</v>
      </c>
      <c r="G703" s="265">
        <v>42132</v>
      </c>
      <c r="H703" s="111">
        <v>4480.01</v>
      </c>
      <c r="I703" s="111">
        <v>0</v>
      </c>
      <c r="J703" s="295">
        <v>1</v>
      </c>
      <c r="K703" s="266">
        <f t="shared" si="39"/>
        <v>44.8001</v>
      </c>
      <c r="L703" s="29">
        <f t="shared" si="40"/>
        <v>52</v>
      </c>
      <c r="N703" s="29">
        <v>4480.01</v>
      </c>
      <c r="O703" s="29">
        <v>0</v>
      </c>
      <c r="P703" s="29">
        <v>806.4</v>
      </c>
      <c r="Q703" s="29">
        <v>5286.41</v>
      </c>
      <c r="R703" s="29">
        <v>0</v>
      </c>
      <c r="S703" s="29">
        <v>1</v>
      </c>
      <c r="T703" s="29">
        <v>52.864100000000001</v>
      </c>
    </row>
    <row r="704" spans="1:20">
      <c r="B704" s="111">
        <v>4</v>
      </c>
      <c r="C704" s="111">
        <v>24708</v>
      </c>
      <c r="D704" s="111" t="s">
        <v>759</v>
      </c>
      <c r="E704" s="111" t="s">
        <v>448</v>
      </c>
      <c r="F704" s="265">
        <v>42082</v>
      </c>
      <c r="G704" s="265">
        <v>42132</v>
      </c>
      <c r="H704" s="111">
        <v>935.64</v>
      </c>
      <c r="I704" s="111">
        <v>0</v>
      </c>
      <c r="J704" s="295">
        <v>1</v>
      </c>
      <c r="K704" s="266">
        <f t="shared" si="39"/>
        <v>9.3564000000000007</v>
      </c>
      <c r="L704" s="29">
        <f t="shared" si="40"/>
        <v>50</v>
      </c>
      <c r="N704" s="29">
        <v>935.64</v>
      </c>
      <c r="O704" s="29">
        <v>0</v>
      </c>
      <c r="P704" s="29">
        <v>168.42</v>
      </c>
      <c r="Q704" s="29">
        <v>1104.06</v>
      </c>
      <c r="R704" s="29">
        <v>0</v>
      </c>
      <c r="S704" s="29">
        <v>1</v>
      </c>
      <c r="T704" s="29">
        <v>11.0406</v>
      </c>
    </row>
    <row r="705" spans="2:20">
      <c r="B705" s="111">
        <v>4</v>
      </c>
      <c r="C705" s="111">
        <v>24754</v>
      </c>
      <c r="D705" s="111" t="s">
        <v>759</v>
      </c>
      <c r="E705" s="111" t="s">
        <v>448</v>
      </c>
      <c r="F705" s="265">
        <v>42082</v>
      </c>
      <c r="G705" s="265">
        <v>42132</v>
      </c>
      <c r="H705" s="111">
        <v>1272.77</v>
      </c>
      <c r="I705" s="111">
        <v>0</v>
      </c>
      <c r="J705" s="295">
        <v>1</v>
      </c>
      <c r="K705" s="266">
        <f t="shared" si="39"/>
        <v>12.7277</v>
      </c>
      <c r="L705" s="29">
        <f t="shared" si="40"/>
        <v>50</v>
      </c>
      <c r="N705" s="29">
        <v>1272.77</v>
      </c>
      <c r="O705" s="29">
        <v>0</v>
      </c>
      <c r="P705" s="29">
        <v>229.1</v>
      </c>
      <c r="Q705" s="29">
        <v>1501.87</v>
      </c>
      <c r="R705" s="29">
        <v>0</v>
      </c>
      <c r="S705" s="29">
        <v>1</v>
      </c>
      <c r="T705" s="29">
        <v>15.018700000000001</v>
      </c>
    </row>
    <row r="706" spans="2:20">
      <c r="B706" s="111">
        <v>4</v>
      </c>
      <c r="C706" s="111">
        <v>24781</v>
      </c>
      <c r="D706" s="111" t="s">
        <v>759</v>
      </c>
      <c r="E706" s="111" t="s">
        <v>448</v>
      </c>
      <c r="F706" s="265">
        <v>42083</v>
      </c>
      <c r="G706" s="265">
        <v>42132</v>
      </c>
      <c r="H706" s="111">
        <v>2568.58</v>
      </c>
      <c r="I706" s="111">
        <v>0</v>
      </c>
      <c r="J706" s="295">
        <v>1</v>
      </c>
      <c r="K706" s="266">
        <f t="shared" si="39"/>
        <v>25.6858</v>
      </c>
      <c r="L706" s="29">
        <f t="shared" si="40"/>
        <v>49</v>
      </c>
      <c r="N706" s="29">
        <v>2568.58</v>
      </c>
      <c r="O706" s="29">
        <v>0</v>
      </c>
      <c r="P706" s="29">
        <v>462.34</v>
      </c>
      <c r="Q706" s="29">
        <v>3030.92</v>
      </c>
      <c r="R706" s="29">
        <v>0</v>
      </c>
      <c r="S706" s="29">
        <v>1</v>
      </c>
      <c r="T706" s="29">
        <v>30.309200000000001</v>
      </c>
    </row>
    <row r="707" spans="2:20">
      <c r="B707" s="111">
        <v>4</v>
      </c>
      <c r="C707" s="111">
        <v>24966</v>
      </c>
      <c r="D707" s="111" t="s">
        <v>759</v>
      </c>
      <c r="E707" s="111" t="s">
        <v>448</v>
      </c>
      <c r="F707" s="265">
        <v>42087</v>
      </c>
      <c r="G707" s="265">
        <v>42132</v>
      </c>
      <c r="H707" s="111">
        <v>407.06</v>
      </c>
      <c r="I707" s="111">
        <v>0</v>
      </c>
      <c r="J707" s="295">
        <v>1</v>
      </c>
      <c r="K707" s="266">
        <f t="shared" si="39"/>
        <v>4.0705999999999998</v>
      </c>
      <c r="L707" s="29">
        <f t="shared" si="40"/>
        <v>45</v>
      </c>
      <c r="N707" s="29">
        <v>407.06</v>
      </c>
      <c r="O707" s="29">
        <v>0</v>
      </c>
      <c r="P707" s="29">
        <v>73.27</v>
      </c>
      <c r="Q707" s="29">
        <v>480.33</v>
      </c>
      <c r="R707" s="29">
        <v>0</v>
      </c>
      <c r="S707" s="29">
        <v>1</v>
      </c>
      <c r="T707" s="29">
        <v>4.8033000000000001</v>
      </c>
    </row>
    <row r="708" spans="2:20">
      <c r="B708" s="111">
        <v>4</v>
      </c>
      <c r="C708" s="111">
        <v>24970</v>
      </c>
      <c r="D708" s="111" t="s">
        <v>759</v>
      </c>
      <c r="E708" s="111" t="s">
        <v>448</v>
      </c>
      <c r="F708" s="265">
        <v>42087</v>
      </c>
      <c r="G708" s="265">
        <v>42132</v>
      </c>
      <c r="H708" s="111">
        <v>1686.42</v>
      </c>
      <c r="I708" s="111">
        <v>0</v>
      </c>
      <c r="J708" s="295">
        <v>1</v>
      </c>
      <c r="K708" s="266">
        <f t="shared" si="39"/>
        <v>16.8642</v>
      </c>
      <c r="L708" s="29">
        <f t="shared" si="40"/>
        <v>45</v>
      </c>
      <c r="N708" s="29">
        <v>1686.42</v>
      </c>
      <c r="O708" s="29">
        <v>0</v>
      </c>
      <c r="P708" s="29">
        <v>303.56</v>
      </c>
      <c r="Q708" s="29">
        <v>1989.98</v>
      </c>
      <c r="R708" s="29">
        <v>0</v>
      </c>
      <c r="S708" s="29">
        <v>1</v>
      </c>
      <c r="T708" s="29">
        <v>19.899799999999999</v>
      </c>
    </row>
    <row r="709" spans="2:20">
      <c r="B709" s="111">
        <v>4</v>
      </c>
      <c r="C709" s="111">
        <v>25045</v>
      </c>
      <c r="D709" s="111" t="s">
        <v>767</v>
      </c>
      <c r="E709" s="111" t="s">
        <v>448</v>
      </c>
      <c r="F709" s="265">
        <v>42088</v>
      </c>
      <c r="G709" s="265">
        <v>42136</v>
      </c>
      <c r="H709" s="111">
        <v>569.64</v>
      </c>
      <c r="I709" s="111">
        <v>0</v>
      </c>
      <c r="J709" s="295">
        <v>1</v>
      </c>
      <c r="K709" s="266">
        <f t="shared" si="39"/>
        <v>5.6963999999999997</v>
      </c>
      <c r="L709" s="29">
        <f t="shared" si="40"/>
        <v>48</v>
      </c>
      <c r="N709" s="29">
        <v>569.64</v>
      </c>
      <c r="O709" s="29">
        <v>0</v>
      </c>
      <c r="P709" s="29">
        <v>102.54</v>
      </c>
      <c r="Q709" s="29">
        <v>672.18</v>
      </c>
      <c r="R709" s="29">
        <v>0</v>
      </c>
      <c r="S709" s="29">
        <v>1</v>
      </c>
      <c r="T709" s="29">
        <v>6.7218</v>
      </c>
    </row>
    <row r="710" spans="2:20">
      <c r="B710" s="111">
        <v>4</v>
      </c>
      <c r="C710" s="111">
        <v>25408</v>
      </c>
      <c r="D710" s="111" t="s">
        <v>767</v>
      </c>
      <c r="E710" s="111" t="s">
        <v>448</v>
      </c>
      <c r="F710" s="265">
        <v>42091</v>
      </c>
      <c r="G710" s="265">
        <v>42136</v>
      </c>
      <c r="H710" s="111">
        <v>176.45</v>
      </c>
      <c r="I710" s="111">
        <v>0</v>
      </c>
      <c r="J710" s="295">
        <v>1</v>
      </c>
      <c r="K710" s="266">
        <f t="shared" si="39"/>
        <v>1.7645</v>
      </c>
      <c r="L710" s="29">
        <f t="shared" si="40"/>
        <v>45</v>
      </c>
      <c r="N710" s="29">
        <v>176.45</v>
      </c>
      <c r="O710" s="29">
        <v>0</v>
      </c>
      <c r="P710" s="29">
        <v>31.76</v>
      </c>
      <c r="Q710" s="29">
        <v>208.21</v>
      </c>
      <c r="R710" s="29">
        <v>0</v>
      </c>
      <c r="S710" s="29">
        <v>1</v>
      </c>
      <c r="T710" s="29">
        <v>2.0821000000000001</v>
      </c>
    </row>
    <row r="711" spans="2:20">
      <c r="B711" s="111">
        <v>4</v>
      </c>
      <c r="C711" s="111">
        <v>25407</v>
      </c>
      <c r="D711" s="111" t="s">
        <v>768</v>
      </c>
      <c r="E711" s="111" t="s">
        <v>448</v>
      </c>
      <c r="F711" s="265">
        <v>42091</v>
      </c>
      <c r="G711" s="265">
        <v>42154</v>
      </c>
      <c r="H711" s="111">
        <v>547.80999999999995</v>
      </c>
      <c r="I711" s="111">
        <v>0</v>
      </c>
      <c r="J711" s="295">
        <v>1</v>
      </c>
      <c r="K711" s="266">
        <f t="shared" si="39"/>
        <v>5.4780999999999995</v>
      </c>
      <c r="L711" s="29">
        <f t="shared" si="40"/>
        <v>63</v>
      </c>
      <c r="N711" s="29">
        <v>547.80999999999995</v>
      </c>
      <c r="O711" s="29">
        <v>0</v>
      </c>
      <c r="P711" s="29">
        <v>98.61</v>
      </c>
      <c r="Q711" s="29">
        <v>646.41999999999996</v>
      </c>
      <c r="R711" s="29">
        <v>0</v>
      </c>
      <c r="S711" s="29">
        <v>1</v>
      </c>
      <c r="T711" s="29">
        <v>6.4641999999999999</v>
      </c>
    </row>
    <row r="712" spans="2:20">
      <c r="B712" s="111">
        <v>6</v>
      </c>
      <c r="C712" s="111">
        <v>828</v>
      </c>
      <c r="D712" s="111" t="s">
        <v>381</v>
      </c>
      <c r="E712" s="111" t="s">
        <v>382</v>
      </c>
      <c r="F712" s="265">
        <v>42091</v>
      </c>
      <c r="G712" s="265">
        <v>42139</v>
      </c>
      <c r="H712" s="111">
        <v>1207.6300000000001</v>
      </c>
      <c r="I712" s="111">
        <v>0</v>
      </c>
      <c r="J712" s="295">
        <v>1</v>
      </c>
      <c r="K712" s="266">
        <f t="shared" si="39"/>
        <v>12.076300000000002</v>
      </c>
      <c r="L712" s="29">
        <f t="shared" si="40"/>
        <v>48</v>
      </c>
      <c r="N712" s="29">
        <v>1207.6300000000001</v>
      </c>
      <c r="O712" s="29">
        <v>0</v>
      </c>
      <c r="P712" s="29">
        <v>217.37</v>
      </c>
      <c r="Q712" s="29">
        <v>1425</v>
      </c>
      <c r="R712" s="29">
        <v>0</v>
      </c>
      <c r="S712" s="29">
        <v>1</v>
      </c>
      <c r="T712" s="29">
        <v>14.25</v>
      </c>
    </row>
    <row r="713" spans="2:20">
      <c r="B713" s="111">
        <v>4</v>
      </c>
      <c r="C713" s="111">
        <v>25554</v>
      </c>
      <c r="D713" s="111" t="s">
        <v>759</v>
      </c>
      <c r="E713" s="111" t="s">
        <v>448</v>
      </c>
      <c r="F713" s="265">
        <v>42094</v>
      </c>
      <c r="G713" s="265">
        <v>42132</v>
      </c>
      <c r="H713" s="111">
        <v>2211.65</v>
      </c>
      <c r="I713" s="111">
        <v>0</v>
      </c>
      <c r="J713" s="295">
        <v>1</v>
      </c>
      <c r="K713" s="266">
        <f t="shared" si="39"/>
        <v>22.116500000000002</v>
      </c>
      <c r="L713" s="29">
        <f t="shared" si="40"/>
        <v>38</v>
      </c>
      <c r="N713" s="29">
        <v>2211.65</v>
      </c>
      <c r="O713" s="29">
        <v>0</v>
      </c>
      <c r="P713" s="29">
        <v>398.1</v>
      </c>
      <c r="Q713" s="29">
        <v>2609.75</v>
      </c>
      <c r="R713" s="29">
        <v>0</v>
      </c>
      <c r="S713" s="29">
        <v>1</v>
      </c>
      <c r="T713" s="29">
        <v>26.0975</v>
      </c>
    </row>
    <row r="714" spans="2:20">
      <c r="B714" s="111">
        <v>6</v>
      </c>
      <c r="C714" s="111">
        <v>837</v>
      </c>
      <c r="D714" s="111" t="s">
        <v>381</v>
      </c>
      <c r="E714" s="111" t="s">
        <v>382</v>
      </c>
      <c r="F714" s="265">
        <v>42098</v>
      </c>
      <c r="G714" s="265">
        <v>42139</v>
      </c>
      <c r="H714" s="111">
        <v>1131.3599999999999</v>
      </c>
      <c r="I714" s="111">
        <v>0</v>
      </c>
      <c r="J714" s="295">
        <v>1</v>
      </c>
      <c r="K714" s="266">
        <f t="shared" si="39"/>
        <v>11.313599999999999</v>
      </c>
      <c r="L714" s="29">
        <f t="shared" si="40"/>
        <v>41</v>
      </c>
      <c r="N714" s="29">
        <v>1131.3599999999999</v>
      </c>
      <c r="O714" s="29">
        <v>0</v>
      </c>
      <c r="P714" s="29">
        <v>203.64</v>
      </c>
      <c r="Q714" s="29">
        <v>1335</v>
      </c>
      <c r="R714" s="29">
        <v>0</v>
      </c>
      <c r="S714" s="29">
        <v>1</v>
      </c>
      <c r="T714" s="29">
        <v>13.35</v>
      </c>
    </row>
    <row r="715" spans="2:20">
      <c r="B715" s="111">
        <v>6</v>
      </c>
      <c r="C715" s="111">
        <v>845</v>
      </c>
      <c r="D715" s="111" t="s">
        <v>458</v>
      </c>
      <c r="E715" s="111" t="s">
        <v>448</v>
      </c>
      <c r="F715" s="265">
        <v>42100</v>
      </c>
      <c r="G715" s="265">
        <v>42138</v>
      </c>
      <c r="H715" s="111">
        <v>9762.7099999999991</v>
      </c>
      <c r="I715" s="111">
        <v>0</v>
      </c>
      <c r="J715" s="295">
        <v>1</v>
      </c>
      <c r="K715" s="266">
        <f t="shared" si="39"/>
        <v>97.627099999999999</v>
      </c>
      <c r="L715" s="29">
        <f t="shared" si="40"/>
        <v>38</v>
      </c>
      <c r="N715" s="29">
        <v>9762.7099999999991</v>
      </c>
      <c r="O715" s="29">
        <v>0</v>
      </c>
      <c r="P715" s="29">
        <v>1757.29</v>
      </c>
      <c r="Q715" s="29">
        <v>11520</v>
      </c>
      <c r="R715" s="29">
        <v>0</v>
      </c>
      <c r="S715" s="29">
        <v>1</v>
      </c>
      <c r="T715" s="29">
        <v>115.2</v>
      </c>
    </row>
    <row r="716" spans="2:20">
      <c r="B716" s="111">
        <v>4</v>
      </c>
      <c r="C716" s="111">
        <v>25887</v>
      </c>
      <c r="D716" s="111" t="s">
        <v>758</v>
      </c>
      <c r="E716" s="111" t="s">
        <v>448</v>
      </c>
      <c r="F716" s="265">
        <v>42100</v>
      </c>
      <c r="G716" s="265">
        <v>42140</v>
      </c>
      <c r="H716" s="111">
        <v>3436.6</v>
      </c>
      <c r="I716" s="111">
        <v>0</v>
      </c>
      <c r="J716" s="295">
        <v>1</v>
      </c>
      <c r="K716" s="266">
        <f t="shared" si="39"/>
        <v>34.366</v>
      </c>
      <c r="L716" s="29">
        <f t="shared" si="40"/>
        <v>40</v>
      </c>
      <c r="N716" s="29">
        <v>3436.6</v>
      </c>
      <c r="O716" s="29">
        <v>0</v>
      </c>
      <c r="P716" s="29">
        <v>618.59</v>
      </c>
      <c r="Q716" s="29">
        <v>4055.19</v>
      </c>
      <c r="R716" s="29">
        <v>0</v>
      </c>
      <c r="S716" s="29">
        <v>1</v>
      </c>
      <c r="T716" s="29">
        <v>40.551900000000003</v>
      </c>
    </row>
    <row r="717" spans="2:20">
      <c r="B717" s="111">
        <v>4</v>
      </c>
      <c r="C717" s="111">
        <v>25956</v>
      </c>
      <c r="D717" s="111" t="s">
        <v>757</v>
      </c>
      <c r="E717" s="111" t="s">
        <v>448</v>
      </c>
      <c r="F717" s="265">
        <v>42101</v>
      </c>
      <c r="G717" s="265">
        <v>42150</v>
      </c>
      <c r="H717" s="111">
        <v>542.82000000000005</v>
      </c>
      <c r="I717" s="111">
        <v>0</v>
      </c>
      <c r="J717" s="295">
        <v>1</v>
      </c>
      <c r="K717" s="266">
        <f t="shared" si="39"/>
        <v>5.4282000000000004</v>
      </c>
      <c r="L717" s="29">
        <f t="shared" si="40"/>
        <v>49</v>
      </c>
      <c r="N717" s="29">
        <v>542.82000000000005</v>
      </c>
      <c r="O717" s="29">
        <v>0</v>
      </c>
      <c r="P717" s="29">
        <v>97.71</v>
      </c>
      <c r="Q717" s="29">
        <v>640.53</v>
      </c>
      <c r="R717" s="29">
        <v>0</v>
      </c>
      <c r="S717" s="29">
        <v>1</v>
      </c>
      <c r="T717" s="29">
        <v>6.4053000000000004</v>
      </c>
    </row>
    <row r="718" spans="2:20">
      <c r="B718" s="111">
        <v>4</v>
      </c>
      <c r="C718" s="111">
        <v>25946</v>
      </c>
      <c r="D718" s="111" t="s">
        <v>758</v>
      </c>
      <c r="E718" s="111" t="s">
        <v>448</v>
      </c>
      <c r="F718" s="265">
        <v>42101</v>
      </c>
      <c r="G718" s="265">
        <v>42140</v>
      </c>
      <c r="H718" s="111">
        <v>4046.8</v>
      </c>
      <c r="I718" s="111">
        <v>0</v>
      </c>
      <c r="J718" s="295">
        <v>1</v>
      </c>
      <c r="K718" s="266">
        <f t="shared" si="39"/>
        <v>40.468000000000004</v>
      </c>
      <c r="L718" s="29">
        <f t="shared" si="40"/>
        <v>39</v>
      </c>
      <c r="N718" s="29">
        <v>3451.45</v>
      </c>
      <c r="O718" s="29">
        <v>595.35</v>
      </c>
      <c r="P718" s="29">
        <v>621.26</v>
      </c>
      <c r="Q718" s="29">
        <v>4668.0600000000004</v>
      </c>
      <c r="R718" s="29">
        <v>0</v>
      </c>
      <c r="S718" s="29">
        <v>1</v>
      </c>
      <c r="T718" s="29">
        <v>46.680599999999998</v>
      </c>
    </row>
    <row r="719" spans="2:20">
      <c r="B719" s="111">
        <v>6</v>
      </c>
      <c r="C719" s="111">
        <v>854</v>
      </c>
      <c r="D719" s="111" t="s">
        <v>381</v>
      </c>
      <c r="E719" s="111" t="s">
        <v>382</v>
      </c>
      <c r="F719" s="265">
        <v>42102</v>
      </c>
      <c r="G719" s="265">
        <v>42139</v>
      </c>
      <c r="H719" s="111">
        <v>1220.3399999999999</v>
      </c>
      <c r="I719" s="111">
        <v>0</v>
      </c>
      <c r="J719" s="295">
        <v>1</v>
      </c>
      <c r="K719" s="266">
        <f t="shared" si="39"/>
        <v>12.2034</v>
      </c>
      <c r="L719" s="29">
        <f t="shared" si="40"/>
        <v>37</v>
      </c>
      <c r="N719" s="29">
        <v>1220.3399999999999</v>
      </c>
      <c r="O719" s="29">
        <v>0</v>
      </c>
      <c r="P719" s="29">
        <v>219.66</v>
      </c>
      <c r="Q719" s="29">
        <v>1440</v>
      </c>
      <c r="R719" s="29">
        <v>0</v>
      </c>
      <c r="S719" s="29">
        <v>1</v>
      </c>
      <c r="T719" s="29">
        <v>14.4</v>
      </c>
    </row>
    <row r="720" spans="2:20">
      <c r="B720" s="111">
        <v>4</v>
      </c>
      <c r="C720" s="111">
        <v>26022</v>
      </c>
      <c r="D720" s="111" t="s">
        <v>759</v>
      </c>
      <c r="E720" s="111" t="s">
        <v>448</v>
      </c>
      <c r="F720" s="265">
        <v>42102</v>
      </c>
      <c r="G720" s="265">
        <v>42150</v>
      </c>
      <c r="H720" s="111">
        <v>4937.68</v>
      </c>
      <c r="I720" s="111">
        <v>0</v>
      </c>
      <c r="J720" s="295">
        <v>1</v>
      </c>
      <c r="K720" s="266">
        <f t="shared" si="39"/>
        <v>49.376800000000003</v>
      </c>
      <c r="L720" s="29">
        <f t="shared" si="40"/>
        <v>48</v>
      </c>
      <c r="N720" s="29">
        <v>4937.68</v>
      </c>
      <c r="O720" s="29">
        <v>0</v>
      </c>
      <c r="P720" s="29">
        <v>888.78</v>
      </c>
      <c r="Q720" s="29">
        <v>5826.46</v>
      </c>
      <c r="R720" s="29">
        <v>0</v>
      </c>
      <c r="S720" s="29">
        <v>1</v>
      </c>
      <c r="T720" s="29">
        <v>58.264600000000002</v>
      </c>
    </row>
    <row r="721" spans="2:20">
      <c r="B721" s="111">
        <v>4</v>
      </c>
      <c r="C721" s="111">
        <v>26081</v>
      </c>
      <c r="D721" s="111" t="s">
        <v>760</v>
      </c>
      <c r="E721" s="111" t="s">
        <v>448</v>
      </c>
      <c r="F721" s="265">
        <v>42102</v>
      </c>
      <c r="G721" s="265">
        <v>42150</v>
      </c>
      <c r="H721" s="111">
        <v>170.5</v>
      </c>
      <c r="I721" s="111">
        <v>0</v>
      </c>
      <c r="J721" s="295">
        <v>1</v>
      </c>
      <c r="K721" s="266">
        <f t="shared" si="39"/>
        <v>1.7050000000000001</v>
      </c>
      <c r="L721" s="29">
        <f t="shared" si="40"/>
        <v>48</v>
      </c>
      <c r="N721" s="29">
        <v>170.5</v>
      </c>
      <c r="O721" s="29">
        <v>0</v>
      </c>
      <c r="P721" s="29">
        <v>30.69</v>
      </c>
      <c r="Q721" s="29">
        <v>201.19</v>
      </c>
      <c r="R721" s="29">
        <v>0</v>
      </c>
      <c r="S721" s="29">
        <v>1</v>
      </c>
      <c r="T721" s="29">
        <v>2.0118999999999998</v>
      </c>
    </row>
    <row r="722" spans="2:20">
      <c r="B722" s="111">
        <v>4</v>
      </c>
      <c r="C722" s="111">
        <v>26117</v>
      </c>
      <c r="D722" s="111" t="s">
        <v>759</v>
      </c>
      <c r="E722" s="111" t="s">
        <v>448</v>
      </c>
      <c r="F722" s="265">
        <v>42102</v>
      </c>
      <c r="G722" s="265">
        <v>42154</v>
      </c>
      <c r="H722" s="111">
        <v>117.13</v>
      </c>
      <c r="I722" s="111">
        <v>0</v>
      </c>
      <c r="J722" s="295">
        <v>1</v>
      </c>
      <c r="K722" s="266">
        <f t="shared" si="39"/>
        <v>1.1713</v>
      </c>
      <c r="L722" s="29">
        <f t="shared" si="40"/>
        <v>52</v>
      </c>
      <c r="N722" s="29">
        <v>117.13</v>
      </c>
      <c r="O722" s="29">
        <v>0</v>
      </c>
      <c r="P722" s="29">
        <v>21.08</v>
      </c>
      <c r="Q722" s="29">
        <v>138.21</v>
      </c>
      <c r="R722" s="29">
        <v>0</v>
      </c>
      <c r="S722" s="29">
        <v>1</v>
      </c>
      <c r="T722" s="29">
        <v>1.3821000000000001</v>
      </c>
    </row>
    <row r="723" spans="2:20">
      <c r="B723" s="111">
        <v>4</v>
      </c>
      <c r="C723" s="111">
        <v>26160</v>
      </c>
      <c r="D723" s="111" t="s">
        <v>758</v>
      </c>
      <c r="E723" s="111" t="s">
        <v>448</v>
      </c>
      <c r="F723" s="265">
        <v>42103</v>
      </c>
      <c r="G723" s="265">
        <v>42140</v>
      </c>
      <c r="H723" s="111">
        <v>7869.13</v>
      </c>
      <c r="I723" s="111">
        <v>0</v>
      </c>
      <c r="J723" s="295">
        <v>1</v>
      </c>
      <c r="K723" s="266">
        <f t="shared" si="39"/>
        <v>78.691299999999998</v>
      </c>
      <c r="L723" s="29">
        <f t="shared" si="40"/>
        <v>37</v>
      </c>
      <c r="N723" s="29">
        <v>7869.13</v>
      </c>
      <c r="O723" s="29">
        <v>0</v>
      </c>
      <c r="P723" s="29">
        <v>1416.44</v>
      </c>
      <c r="Q723" s="29">
        <v>9285.57</v>
      </c>
      <c r="R723" s="29">
        <v>0</v>
      </c>
      <c r="S723" s="29">
        <v>1</v>
      </c>
      <c r="T723" s="29">
        <v>92.855699999999999</v>
      </c>
    </row>
    <row r="724" spans="2:20">
      <c r="B724" s="111">
        <v>6</v>
      </c>
      <c r="C724" s="111">
        <v>857</v>
      </c>
      <c r="D724" s="111" t="s">
        <v>381</v>
      </c>
      <c r="E724" s="111" t="s">
        <v>382</v>
      </c>
      <c r="F724" s="265">
        <v>42103</v>
      </c>
      <c r="G724" s="265">
        <v>42139</v>
      </c>
      <c r="H724" s="111">
        <v>8983.0499999999993</v>
      </c>
      <c r="I724" s="111">
        <v>0</v>
      </c>
      <c r="J724" s="295">
        <v>0.5</v>
      </c>
      <c r="K724" s="266">
        <f t="shared" si="39"/>
        <v>44.91525</v>
      </c>
      <c r="L724" s="29">
        <f t="shared" si="40"/>
        <v>36</v>
      </c>
      <c r="N724" s="29">
        <v>8983.0499999999993</v>
      </c>
      <c r="O724" s="29">
        <v>0</v>
      </c>
      <c r="P724" s="29">
        <v>1616.95</v>
      </c>
      <c r="Q724" s="29">
        <v>10600</v>
      </c>
      <c r="R724" s="29">
        <v>0</v>
      </c>
      <c r="S724" s="29">
        <v>1</v>
      </c>
      <c r="T724" s="29">
        <v>106</v>
      </c>
    </row>
    <row r="725" spans="2:20">
      <c r="B725" s="111">
        <v>4</v>
      </c>
      <c r="C725" s="111">
        <v>26218</v>
      </c>
      <c r="D725" s="111" t="s">
        <v>759</v>
      </c>
      <c r="E725" s="111" t="s">
        <v>448</v>
      </c>
      <c r="F725" s="265">
        <v>42103</v>
      </c>
      <c r="G725" s="265">
        <v>42154</v>
      </c>
      <c r="H725" s="111">
        <v>5363.7</v>
      </c>
      <c r="I725" s="111">
        <v>0</v>
      </c>
      <c r="J725" s="295">
        <v>1</v>
      </c>
      <c r="K725" s="266">
        <f t="shared" si="39"/>
        <v>53.637</v>
      </c>
      <c r="L725" s="29">
        <f t="shared" si="40"/>
        <v>51</v>
      </c>
      <c r="N725" s="29">
        <v>5363.7</v>
      </c>
      <c r="O725" s="29">
        <v>0</v>
      </c>
      <c r="P725" s="29">
        <v>965.47</v>
      </c>
      <c r="Q725" s="29">
        <v>6329.17</v>
      </c>
      <c r="R725" s="29">
        <v>0</v>
      </c>
      <c r="S725" s="29">
        <v>1</v>
      </c>
      <c r="T725" s="29">
        <v>63.291699999999999</v>
      </c>
    </row>
    <row r="726" spans="2:20">
      <c r="B726" s="111">
        <v>4</v>
      </c>
      <c r="C726" s="111">
        <v>26481</v>
      </c>
      <c r="D726" s="111" t="s">
        <v>758</v>
      </c>
      <c r="E726" s="111" t="s">
        <v>448</v>
      </c>
      <c r="F726" s="265">
        <v>42108</v>
      </c>
      <c r="G726" s="265">
        <v>42140</v>
      </c>
      <c r="H726" s="111">
        <v>496.45</v>
      </c>
      <c r="I726" s="111">
        <v>0</v>
      </c>
      <c r="J726" s="295">
        <v>1</v>
      </c>
      <c r="K726" s="266">
        <f t="shared" si="39"/>
        <v>4.9645000000000001</v>
      </c>
      <c r="L726" s="29">
        <f t="shared" si="40"/>
        <v>32</v>
      </c>
      <c r="N726" s="29">
        <v>496.45</v>
      </c>
      <c r="O726" s="29">
        <v>0</v>
      </c>
      <c r="P726" s="29">
        <v>89.36</v>
      </c>
      <c r="Q726" s="29">
        <v>585.80999999999995</v>
      </c>
      <c r="R726" s="29">
        <v>0</v>
      </c>
      <c r="S726" s="29">
        <v>1</v>
      </c>
      <c r="T726" s="29">
        <v>5.8581000000000003</v>
      </c>
    </row>
    <row r="727" spans="2:20">
      <c r="B727" s="111">
        <v>4</v>
      </c>
      <c r="C727" s="111">
        <v>26501</v>
      </c>
      <c r="D727" s="111" t="s">
        <v>758</v>
      </c>
      <c r="E727" s="111" t="s">
        <v>448</v>
      </c>
      <c r="F727" s="265">
        <v>42108</v>
      </c>
      <c r="G727" s="265">
        <v>42140</v>
      </c>
      <c r="H727" s="111">
        <v>5006.67</v>
      </c>
      <c r="I727" s="111">
        <v>0</v>
      </c>
      <c r="J727" s="295">
        <v>1</v>
      </c>
      <c r="K727" s="266">
        <f t="shared" si="39"/>
        <v>50.066700000000004</v>
      </c>
      <c r="L727" s="29">
        <f t="shared" si="40"/>
        <v>32</v>
      </c>
      <c r="N727" s="29">
        <v>5006.67</v>
      </c>
      <c r="O727" s="29">
        <v>0</v>
      </c>
      <c r="P727" s="29">
        <v>901.2</v>
      </c>
      <c r="Q727" s="29">
        <v>5907.87</v>
      </c>
      <c r="R727" s="29">
        <v>0</v>
      </c>
      <c r="S727" s="29">
        <v>1</v>
      </c>
      <c r="T727" s="29">
        <v>59.078699999999998</v>
      </c>
    </row>
    <row r="728" spans="2:20">
      <c r="B728" s="111">
        <v>4</v>
      </c>
      <c r="C728" s="111">
        <v>26566</v>
      </c>
      <c r="D728" s="111" t="s">
        <v>758</v>
      </c>
      <c r="E728" s="111" t="s">
        <v>448</v>
      </c>
      <c r="F728" s="265">
        <v>42109</v>
      </c>
      <c r="G728" s="265">
        <v>42140</v>
      </c>
      <c r="H728" s="111">
        <v>1733.72</v>
      </c>
      <c r="I728" s="111">
        <v>0</v>
      </c>
      <c r="J728" s="295">
        <v>1</v>
      </c>
      <c r="K728" s="266">
        <f t="shared" si="39"/>
        <v>17.337199999999999</v>
      </c>
      <c r="L728" s="29">
        <f t="shared" si="40"/>
        <v>31</v>
      </c>
      <c r="N728" s="29">
        <v>1733.72</v>
      </c>
      <c r="O728" s="29">
        <v>0</v>
      </c>
      <c r="P728" s="29">
        <v>312.07</v>
      </c>
      <c r="Q728" s="29">
        <v>2045.79</v>
      </c>
      <c r="R728" s="29">
        <v>0</v>
      </c>
      <c r="S728" s="29">
        <v>1</v>
      </c>
      <c r="T728" s="29">
        <v>20.457899999999999</v>
      </c>
    </row>
    <row r="729" spans="2:20">
      <c r="B729" s="111">
        <v>4</v>
      </c>
      <c r="C729" s="111">
        <v>26586</v>
      </c>
      <c r="D729" s="111" t="s">
        <v>757</v>
      </c>
      <c r="E729" s="111" t="s">
        <v>448</v>
      </c>
      <c r="F729" s="265">
        <v>42109</v>
      </c>
      <c r="G729" s="265">
        <v>42150</v>
      </c>
      <c r="H729" s="111">
        <v>345.43</v>
      </c>
      <c r="I729" s="111">
        <v>0</v>
      </c>
      <c r="J729" s="295">
        <v>1</v>
      </c>
      <c r="K729" s="266">
        <f t="shared" si="39"/>
        <v>3.4542999999999999</v>
      </c>
      <c r="L729" s="29">
        <f t="shared" si="40"/>
        <v>41</v>
      </c>
      <c r="N729" s="29">
        <v>345.43</v>
      </c>
      <c r="O729" s="29">
        <v>0</v>
      </c>
      <c r="P729" s="29">
        <v>62.18</v>
      </c>
      <c r="Q729" s="29">
        <v>407.61</v>
      </c>
      <c r="R729" s="29">
        <v>0</v>
      </c>
      <c r="S729" s="29">
        <v>1</v>
      </c>
      <c r="T729" s="29">
        <v>4.0761000000000003</v>
      </c>
    </row>
    <row r="730" spans="2:20">
      <c r="B730" s="111">
        <v>4</v>
      </c>
      <c r="C730" s="111">
        <v>26584</v>
      </c>
      <c r="D730" s="111" t="s">
        <v>758</v>
      </c>
      <c r="E730" s="111" t="s">
        <v>448</v>
      </c>
      <c r="F730" s="265">
        <v>42109</v>
      </c>
      <c r="G730" s="265">
        <v>42140</v>
      </c>
      <c r="H730" s="111">
        <v>1410.73</v>
      </c>
      <c r="I730" s="111">
        <v>0</v>
      </c>
      <c r="J730" s="295">
        <v>1</v>
      </c>
      <c r="K730" s="266">
        <f t="shared" si="39"/>
        <v>14.1073</v>
      </c>
      <c r="L730" s="29">
        <f t="shared" si="40"/>
        <v>31</v>
      </c>
      <c r="N730" s="29">
        <v>1410.73</v>
      </c>
      <c r="O730" s="29">
        <v>0</v>
      </c>
      <c r="P730" s="29">
        <v>253.93</v>
      </c>
      <c r="Q730" s="29">
        <v>1664.66</v>
      </c>
      <c r="R730" s="29">
        <v>0</v>
      </c>
      <c r="S730" s="29">
        <v>1</v>
      </c>
      <c r="T730" s="29">
        <v>16.646599999999999</v>
      </c>
    </row>
    <row r="731" spans="2:20">
      <c r="B731" s="111">
        <v>4</v>
      </c>
      <c r="C731" s="111">
        <v>26600</v>
      </c>
      <c r="D731" s="111" t="s">
        <v>759</v>
      </c>
      <c r="E731" s="111" t="s">
        <v>448</v>
      </c>
      <c r="F731" s="265">
        <v>42110</v>
      </c>
      <c r="G731" s="265">
        <v>42154</v>
      </c>
      <c r="H731" s="111">
        <v>2261.9299999999998</v>
      </c>
      <c r="I731" s="111">
        <v>0</v>
      </c>
      <c r="J731" s="295">
        <v>1</v>
      </c>
      <c r="K731" s="266">
        <f t="shared" si="39"/>
        <v>22.619299999999999</v>
      </c>
      <c r="L731" s="29">
        <f t="shared" ref="L731:L756" si="41">G731-F731</f>
        <v>44</v>
      </c>
      <c r="N731" s="29">
        <v>2261.9299999999998</v>
      </c>
      <c r="O731" s="29">
        <v>0</v>
      </c>
      <c r="P731" s="29">
        <v>407.15</v>
      </c>
      <c r="Q731" s="29">
        <v>2669.08</v>
      </c>
      <c r="R731" s="29">
        <v>0</v>
      </c>
      <c r="S731" s="29">
        <v>1</v>
      </c>
      <c r="T731" s="29">
        <v>26.690799999999999</v>
      </c>
    </row>
    <row r="732" spans="2:20">
      <c r="B732" s="111">
        <v>4</v>
      </c>
      <c r="C732" s="111">
        <v>26636</v>
      </c>
      <c r="D732" s="111" t="s">
        <v>760</v>
      </c>
      <c r="E732" s="111" t="s">
        <v>448</v>
      </c>
      <c r="F732" s="265">
        <v>42110</v>
      </c>
      <c r="G732" s="265">
        <v>42150</v>
      </c>
      <c r="H732" s="111">
        <v>773.13</v>
      </c>
      <c r="I732" s="111">
        <v>0</v>
      </c>
      <c r="J732" s="295">
        <v>1</v>
      </c>
      <c r="K732" s="266">
        <f t="shared" si="39"/>
        <v>7.7313000000000001</v>
      </c>
      <c r="L732" s="29">
        <f t="shared" si="41"/>
        <v>40</v>
      </c>
      <c r="N732" s="29">
        <v>773.13</v>
      </c>
      <c r="O732" s="29">
        <v>0</v>
      </c>
      <c r="P732" s="29">
        <v>139.16</v>
      </c>
      <c r="Q732" s="29">
        <v>912.29</v>
      </c>
      <c r="R732" s="29">
        <v>0</v>
      </c>
      <c r="S732" s="29">
        <v>1</v>
      </c>
      <c r="T732" s="29">
        <v>9.1228999999999996</v>
      </c>
    </row>
    <row r="733" spans="2:20">
      <c r="B733" s="111">
        <v>4</v>
      </c>
      <c r="C733" s="111">
        <v>26698</v>
      </c>
      <c r="D733" s="111" t="s">
        <v>757</v>
      </c>
      <c r="E733" s="111" t="s">
        <v>448</v>
      </c>
      <c r="F733" s="265">
        <v>42111</v>
      </c>
      <c r="G733" s="265">
        <v>42150</v>
      </c>
      <c r="H733" s="111">
        <v>90.72</v>
      </c>
      <c r="I733" s="111">
        <v>0</v>
      </c>
      <c r="J733" s="295">
        <v>1</v>
      </c>
      <c r="K733" s="266">
        <f t="shared" si="39"/>
        <v>0.90720000000000001</v>
      </c>
      <c r="L733" s="29">
        <f t="shared" si="41"/>
        <v>39</v>
      </c>
      <c r="N733" s="29">
        <v>0</v>
      </c>
      <c r="O733" s="29">
        <v>90.72</v>
      </c>
      <c r="P733" s="29">
        <v>0</v>
      </c>
      <c r="Q733" s="29">
        <v>90.72</v>
      </c>
      <c r="R733" s="29">
        <v>0</v>
      </c>
      <c r="S733" s="29">
        <v>1</v>
      </c>
      <c r="T733" s="29">
        <v>0.90720000000000001</v>
      </c>
    </row>
    <row r="734" spans="2:20">
      <c r="B734" s="111">
        <v>6</v>
      </c>
      <c r="C734" s="111">
        <v>883</v>
      </c>
      <c r="D734" s="111" t="s">
        <v>467</v>
      </c>
      <c r="E734" s="111" t="s">
        <v>448</v>
      </c>
      <c r="F734" s="265">
        <v>42115</v>
      </c>
      <c r="G734" s="265">
        <v>42146</v>
      </c>
      <c r="H734" s="111">
        <v>1190.17</v>
      </c>
      <c r="I734" s="111">
        <v>0</v>
      </c>
      <c r="J734" s="295">
        <v>1</v>
      </c>
      <c r="K734" s="266">
        <f t="shared" si="39"/>
        <v>11.901700000000002</v>
      </c>
      <c r="L734" s="29">
        <f t="shared" si="41"/>
        <v>31</v>
      </c>
      <c r="N734" s="29">
        <v>1190.17</v>
      </c>
      <c r="O734" s="29">
        <v>0</v>
      </c>
      <c r="P734" s="29">
        <v>214.23</v>
      </c>
      <c r="Q734" s="29">
        <v>1404.4</v>
      </c>
      <c r="R734" s="29">
        <v>0</v>
      </c>
      <c r="S734" s="29">
        <v>1</v>
      </c>
      <c r="T734" s="29">
        <v>14.044</v>
      </c>
    </row>
    <row r="735" spans="2:20">
      <c r="B735" s="111">
        <v>4</v>
      </c>
      <c r="C735" s="111">
        <v>27060</v>
      </c>
      <c r="D735" s="111" t="s">
        <v>757</v>
      </c>
      <c r="E735" s="111" t="s">
        <v>448</v>
      </c>
      <c r="F735" s="265">
        <v>42117</v>
      </c>
      <c r="G735" s="265">
        <v>42150</v>
      </c>
      <c r="H735" s="111">
        <v>330.17</v>
      </c>
      <c r="I735" s="111">
        <v>0</v>
      </c>
      <c r="J735" s="295">
        <v>1</v>
      </c>
      <c r="K735" s="266">
        <f t="shared" si="39"/>
        <v>3.3017000000000003</v>
      </c>
      <c r="L735" s="29">
        <f t="shared" si="41"/>
        <v>33</v>
      </c>
      <c r="N735" s="29">
        <v>330.17</v>
      </c>
      <c r="O735" s="29">
        <v>0</v>
      </c>
      <c r="P735" s="29">
        <v>59.43</v>
      </c>
      <c r="Q735" s="29">
        <v>389.6</v>
      </c>
      <c r="R735" s="29">
        <v>0</v>
      </c>
      <c r="S735" s="29">
        <v>1</v>
      </c>
      <c r="T735" s="29">
        <v>3.8959999999999999</v>
      </c>
    </row>
    <row r="736" spans="2:20">
      <c r="B736" s="111">
        <v>4</v>
      </c>
      <c r="C736" s="111">
        <v>27097</v>
      </c>
      <c r="D736" s="111" t="s">
        <v>757</v>
      </c>
      <c r="E736" s="111" t="s">
        <v>448</v>
      </c>
      <c r="F736" s="265">
        <v>42117</v>
      </c>
      <c r="G736" s="265">
        <v>42150</v>
      </c>
      <c r="H736" s="111">
        <v>328.34</v>
      </c>
      <c r="I736" s="111">
        <v>0</v>
      </c>
      <c r="J736" s="295">
        <v>1</v>
      </c>
      <c r="K736" s="266">
        <f t="shared" si="39"/>
        <v>3.2833999999999999</v>
      </c>
      <c r="L736" s="29">
        <f t="shared" si="41"/>
        <v>33</v>
      </c>
      <c r="N736" s="29">
        <v>328.34</v>
      </c>
      <c r="O736" s="29">
        <v>0</v>
      </c>
      <c r="P736" s="29">
        <v>59.1</v>
      </c>
      <c r="Q736" s="29">
        <v>387.44</v>
      </c>
      <c r="R736" s="29">
        <v>0</v>
      </c>
      <c r="S736" s="29">
        <v>1</v>
      </c>
      <c r="T736" s="29">
        <v>3.8744000000000001</v>
      </c>
    </row>
    <row r="737" spans="2:20">
      <c r="B737" s="111">
        <v>4</v>
      </c>
      <c r="C737" s="111">
        <v>27178</v>
      </c>
      <c r="D737" s="111" t="s">
        <v>772</v>
      </c>
      <c r="E737" s="111" t="s">
        <v>448</v>
      </c>
      <c r="F737" s="265">
        <v>42118</v>
      </c>
      <c r="G737" s="265">
        <v>42130</v>
      </c>
      <c r="H737" s="111">
        <v>26848.799999999999</v>
      </c>
      <c r="I737" s="111">
        <v>0</v>
      </c>
      <c r="J737" s="295">
        <v>0.5</v>
      </c>
      <c r="K737" s="266">
        <f t="shared" si="39"/>
        <v>134.244</v>
      </c>
      <c r="L737" s="29">
        <f t="shared" si="41"/>
        <v>12</v>
      </c>
      <c r="N737" s="29">
        <v>26848.799999999999</v>
      </c>
      <c r="O737" s="29">
        <v>0</v>
      </c>
      <c r="P737" s="29">
        <v>4832.78</v>
      </c>
      <c r="Q737" s="29">
        <v>31681.58</v>
      </c>
      <c r="R737" s="29">
        <v>0</v>
      </c>
      <c r="S737" s="29">
        <v>1</v>
      </c>
      <c r="T737" s="29">
        <v>316.81580000000002</v>
      </c>
    </row>
    <row r="738" spans="2:20">
      <c r="B738" s="111">
        <v>4</v>
      </c>
      <c r="C738" s="111">
        <v>27174</v>
      </c>
      <c r="D738" s="111" t="s">
        <v>757</v>
      </c>
      <c r="E738" s="111" t="s">
        <v>448</v>
      </c>
      <c r="F738" s="265">
        <v>42118</v>
      </c>
      <c r="G738" s="265">
        <v>42150</v>
      </c>
      <c r="H738" s="111">
        <v>640.84</v>
      </c>
      <c r="I738" s="111">
        <v>0</v>
      </c>
      <c r="J738" s="295">
        <v>1</v>
      </c>
      <c r="K738" s="266">
        <f t="shared" si="39"/>
        <v>6.4084000000000003</v>
      </c>
      <c r="L738" s="29">
        <f t="shared" si="41"/>
        <v>32</v>
      </c>
      <c r="N738" s="29">
        <v>640.84</v>
      </c>
      <c r="O738" s="29">
        <v>0</v>
      </c>
      <c r="P738" s="29">
        <v>115.35</v>
      </c>
      <c r="Q738" s="29">
        <v>756.19</v>
      </c>
      <c r="R738" s="29">
        <v>0</v>
      </c>
      <c r="S738" s="29">
        <v>1</v>
      </c>
      <c r="T738" s="29">
        <v>7.5618999999999996</v>
      </c>
    </row>
    <row r="739" spans="2:20">
      <c r="B739" s="111">
        <v>6</v>
      </c>
      <c r="C739" s="111">
        <v>892</v>
      </c>
      <c r="D739" s="111" t="s">
        <v>467</v>
      </c>
      <c r="E739" s="111" t="s">
        <v>448</v>
      </c>
      <c r="F739" s="265">
        <v>42118</v>
      </c>
      <c r="G739" s="265">
        <v>42146</v>
      </c>
      <c r="H739" s="111">
        <v>8686.44</v>
      </c>
      <c r="I739" s="111">
        <v>0</v>
      </c>
      <c r="J739" s="295">
        <v>1</v>
      </c>
      <c r="K739" s="266">
        <f t="shared" si="39"/>
        <v>86.864400000000003</v>
      </c>
      <c r="L739" s="29">
        <f t="shared" si="41"/>
        <v>28</v>
      </c>
      <c r="N739" s="29">
        <v>8686.44</v>
      </c>
      <c r="O739" s="29">
        <v>0</v>
      </c>
      <c r="P739" s="29">
        <v>1563.56</v>
      </c>
      <c r="Q739" s="29">
        <v>10250</v>
      </c>
      <c r="R739" s="29">
        <v>0</v>
      </c>
      <c r="S739" s="29">
        <v>1</v>
      </c>
      <c r="T739" s="29">
        <v>102.5</v>
      </c>
    </row>
    <row r="740" spans="2:20">
      <c r="B740" s="111">
        <v>4</v>
      </c>
      <c r="C740" s="111">
        <v>27232</v>
      </c>
      <c r="D740" s="111" t="s">
        <v>757</v>
      </c>
      <c r="E740" s="111" t="s">
        <v>448</v>
      </c>
      <c r="F740" s="265">
        <v>42119</v>
      </c>
      <c r="G740" s="265">
        <v>42150</v>
      </c>
      <c r="H740" s="111">
        <v>182.75</v>
      </c>
      <c r="I740" s="111">
        <v>0</v>
      </c>
      <c r="J740" s="295">
        <v>1</v>
      </c>
      <c r="K740" s="266">
        <f t="shared" si="39"/>
        <v>1.8275000000000001</v>
      </c>
      <c r="L740" s="29">
        <f t="shared" si="41"/>
        <v>31</v>
      </c>
      <c r="N740" s="29">
        <v>182.75</v>
      </c>
      <c r="O740" s="29">
        <v>0</v>
      </c>
      <c r="P740" s="29">
        <v>32.9</v>
      </c>
      <c r="Q740" s="29">
        <v>215.65</v>
      </c>
      <c r="R740" s="29">
        <v>0</v>
      </c>
      <c r="S740" s="29">
        <v>1</v>
      </c>
      <c r="T740" s="29">
        <v>2.1564999999999999</v>
      </c>
    </row>
    <row r="741" spans="2:20">
      <c r="B741" s="111">
        <v>4</v>
      </c>
      <c r="C741" s="111">
        <v>27622</v>
      </c>
      <c r="D741" s="111" t="s">
        <v>757</v>
      </c>
      <c r="E741" s="111" t="s">
        <v>448</v>
      </c>
      <c r="F741" s="265">
        <v>42123</v>
      </c>
      <c r="G741" s="265">
        <v>42150</v>
      </c>
      <c r="H741" s="111">
        <v>239.18</v>
      </c>
      <c r="I741" s="111">
        <v>0</v>
      </c>
      <c r="J741" s="295">
        <v>1</v>
      </c>
      <c r="K741" s="266">
        <f t="shared" si="39"/>
        <v>2.3917999999999999</v>
      </c>
      <c r="L741" s="29">
        <f t="shared" si="41"/>
        <v>27</v>
      </c>
      <c r="N741" s="29">
        <v>239.18</v>
      </c>
      <c r="O741" s="29">
        <v>0</v>
      </c>
      <c r="P741" s="29">
        <v>43.05</v>
      </c>
      <c r="Q741" s="29">
        <v>282.23</v>
      </c>
      <c r="R741" s="29">
        <v>0</v>
      </c>
      <c r="S741" s="29">
        <v>1</v>
      </c>
      <c r="T741" s="29">
        <v>2.8222999999999998</v>
      </c>
    </row>
    <row r="742" spans="2:20">
      <c r="B742" s="111">
        <v>6</v>
      </c>
      <c r="C742" s="111">
        <v>895</v>
      </c>
      <c r="D742" s="111" t="s">
        <v>381</v>
      </c>
      <c r="E742" s="111" t="s">
        <v>382</v>
      </c>
      <c r="F742" s="265">
        <v>42122</v>
      </c>
      <c r="G742" s="265">
        <v>42154</v>
      </c>
      <c r="H742" s="111">
        <v>900</v>
      </c>
      <c r="I742" s="111">
        <v>0</v>
      </c>
      <c r="J742" s="295">
        <v>1</v>
      </c>
      <c r="K742" s="266">
        <f t="shared" si="39"/>
        <v>9</v>
      </c>
      <c r="L742" s="29">
        <f t="shared" si="41"/>
        <v>32</v>
      </c>
      <c r="N742" s="29">
        <v>0</v>
      </c>
      <c r="O742" s="29">
        <v>900</v>
      </c>
      <c r="P742" s="29">
        <v>0</v>
      </c>
      <c r="Q742" s="29">
        <v>900</v>
      </c>
      <c r="R742" s="29">
        <v>0</v>
      </c>
      <c r="S742" s="29">
        <v>1</v>
      </c>
      <c r="T742" s="29">
        <v>9</v>
      </c>
    </row>
    <row r="743" spans="2:20">
      <c r="B743" s="111">
        <v>4</v>
      </c>
      <c r="C743" s="111">
        <v>27477</v>
      </c>
      <c r="D743" s="111" t="s">
        <v>764</v>
      </c>
      <c r="E743" s="111" t="s">
        <v>448</v>
      </c>
      <c r="F743" s="265">
        <v>42122</v>
      </c>
      <c r="G743" s="265">
        <v>42129</v>
      </c>
      <c r="H743" s="111">
        <v>11457.8</v>
      </c>
      <c r="I743" s="111">
        <v>0</v>
      </c>
      <c r="J743" s="295">
        <v>0.5</v>
      </c>
      <c r="K743" s="266">
        <v>79.12</v>
      </c>
      <c r="L743" s="29">
        <f t="shared" si="41"/>
        <v>7</v>
      </c>
      <c r="N743" s="29">
        <v>11457.8</v>
      </c>
      <c r="O743" s="29">
        <v>0</v>
      </c>
      <c r="P743" s="29">
        <v>2062.4</v>
      </c>
      <c r="Q743" s="29">
        <v>13520.2</v>
      </c>
      <c r="R743" s="29">
        <v>0</v>
      </c>
      <c r="S743" s="29">
        <v>1</v>
      </c>
      <c r="T743" s="29">
        <v>135.202</v>
      </c>
    </row>
    <row r="744" spans="2:20">
      <c r="B744" s="111">
        <v>4</v>
      </c>
      <c r="C744" s="111">
        <v>27834</v>
      </c>
      <c r="D744" s="111" t="s">
        <v>760</v>
      </c>
      <c r="E744" s="111" t="s">
        <v>448</v>
      </c>
      <c r="F744" s="265">
        <v>42124</v>
      </c>
      <c r="G744" s="265">
        <v>42150</v>
      </c>
      <c r="H744" s="111">
        <v>395.58</v>
      </c>
      <c r="I744" s="111">
        <v>0</v>
      </c>
      <c r="J744" s="295">
        <v>1</v>
      </c>
      <c r="K744" s="266">
        <f t="shared" ref="K744:K756" si="42">(H744-I744)*J744%</f>
        <v>3.9558</v>
      </c>
      <c r="L744" s="29">
        <f t="shared" si="41"/>
        <v>26</v>
      </c>
      <c r="N744" s="29">
        <v>395.58</v>
      </c>
      <c r="O744" s="29">
        <v>0</v>
      </c>
      <c r="P744" s="29">
        <v>71.2</v>
      </c>
      <c r="Q744" s="29">
        <v>466.78</v>
      </c>
      <c r="R744" s="29">
        <v>0</v>
      </c>
      <c r="S744" s="29">
        <v>1</v>
      </c>
      <c r="T744" s="29">
        <v>4.6677999999999997</v>
      </c>
    </row>
    <row r="745" spans="2:20">
      <c r="B745" s="111">
        <v>6</v>
      </c>
      <c r="C745" s="111">
        <v>904</v>
      </c>
      <c r="D745" s="111" t="s">
        <v>381</v>
      </c>
      <c r="E745" s="111" t="s">
        <v>382</v>
      </c>
      <c r="F745" s="265">
        <v>42124</v>
      </c>
      <c r="G745" s="265">
        <v>42154</v>
      </c>
      <c r="H745" s="111">
        <v>9661.02</v>
      </c>
      <c r="I745" s="111">
        <v>0</v>
      </c>
      <c r="J745" s="295">
        <v>0.5</v>
      </c>
      <c r="K745" s="266">
        <f t="shared" si="42"/>
        <v>48.305100000000003</v>
      </c>
      <c r="L745" s="29">
        <f t="shared" si="41"/>
        <v>30</v>
      </c>
      <c r="N745" s="29">
        <v>9661.02</v>
      </c>
      <c r="O745" s="29">
        <v>0</v>
      </c>
      <c r="P745" s="29">
        <v>1738.98</v>
      </c>
      <c r="Q745" s="29">
        <v>11400</v>
      </c>
      <c r="R745" s="29">
        <v>0</v>
      </c>
      <c r="S745" s="29">
        <v>1</v>
      </c>
      <c r="T745" s="29">
        <v>114</v>
      </c>
    </row>
    <row r="746" spans="2:20">
      <c r="B746" s="111">
        <v>6</v>
      </c>
      <c r="C746" s="111">
        <v>903</v>
      </c>
      <c r="D746" s="111" t="s">
        <v>381</v>
      </c>
      <c r="E746" s="111" t="s">
        <v>382</v>
      </c>
      <c r="F746" s="265">
        <v>42124</v>
      </c>
      <c r="G746" s="265">
        <v>42154</v>
      </c>
      <c r="H746" s="111">
        <v>9661.02</v>
      </c>
      <c r="I746" s="111">
        <v>0</v>
      </c>
      <c r="J746" s="295">
        <v>0.5</v>
      </c>
      <c r="K746" s="266">
        <f t="shared" si="42"/>
        <v>48.305100000000003</v>
      </c>
      <c r="L746" s="29">
        <f t="shared" si="41"/>
        <v>30</v>
      </c>
      <c r="N746" s="29">
        <v>9661.02</v>
      </c>
      <c r="O746" s="29">
        <v>0</v>
      </c>
      <c r="P746" s="29">
        <v>1738.98</v>
      </c>
      <c r="Q746" s="29">
        <v>11400</v>
      </c>
      <c r="R746" s="29">
        <v>0</v>
      </c>
      <c r="S746" s="29">
        <v>1</v>
      </c>
      <c r="T746" s="29">
        <v>114</v>
      </c>
    </row>
    <row r="747" spans="2:20">
      <c r="B747" s="111">
        <v>4</v>
      </c>
      <c r="C747" s="111">
        <v>28039</v>
      </c>
      <c r="D747" s="111" t="s">
        <v>767</v>
      </c>
      <c r="E747" s="111" t="s">
        <v>448</v>
      </c>
      <c r="F747" s="265">
        <v>42129</v>
      </c>
      <c r="G747" s="265">
        <v>42136</v>
      </c>
      <c r="H747" s="111">
        <v>120.22</v>
      </c>
      <c r="I747" s="111">
        <v>0</v>
      </c>
      <c r="J747" s="295">
        <v>1</v>
      </c>
      <c r="K747" s="266">
        <f t="shared" si="42"/>
        <v>1.2021999999999999</v>
      </c>
      <c r="L747" s="29">
        <f t="shared" si="41"/>
        <v>7</v>
      </c>
      <c r="N747" s="29">
        <v>120.22</v>
      </c>
      <c r="O747" s="29">
        <v>0</v>
      </c>
      <c r="P747" s="29">
        <v>21.64</v>
      </c>
      <c r="Q747" s="29">
        <v>141.86000000000001</v>
      </c>
      <c r="R747" s="29">
        <v>0</v>
      </c>
      <c r="S747" s="29">
        <v>1</v>
      </c>
      <c r="T747" s="29">
        <v>1.4186000000000001</v>
      </c>
    </row>
    <row r="748" spans="2:20">
      <c r="B748" s="111">
        <v>4</v>
      </c>
      <c r="C748" s="111">
        <v>28262</v>
      </c>
      <c r="D748" s="111" t="s">
        <v>761</v>
      </c>
      <c r="E748" s="111" t="s">
        <v>448</v>
      </c>
      <c r="F748" s="265">
        <v>42132</v>
      </c>
      <c r="G748" s="265">
        <v>42140</v>
      </c>
      <c r="H748" s="111">
        <v>10170</v>
      </c>
      <c r="I748" s="111">
        <v>0</v>
      </c>
      <c r="J748" s="295">
        <v>0.5</v>
      </c>
      <c r="K748" s="266">
        <f t="shared" si="42"/>
        <v>50.85</v>
      </c>
      <c r="L748" s="29">
        <f t="shared" si="41"/>
        <v>8</v>
      </c>
      <c r="N748" s="29">
        <v>10170</v>
      </c>
      <c r="O748" s="29">
        <v>0</v>
      </c>
      <c r="P748" s="29">
        <v>1830.6</v>
      </c>
      <c r="Q748" s="29">
        <v>12000.6</v>
      </c>
      <c r="R748" s="29">
        <v>0</v>
      </c>
      <c r="S748" s="29">
        <v>1</v>
      </c>
      <c r="T748" s="29">
        <v>120.006</v>
      </c>
    </row>
    <row r="749" spans="2:20">
      <c r="B749" s="111">
        <v>4</v>
      </c>
      <c r="C749" s="111">
        <v>28308</v>
      </c>
      <c r="D749" s="111" t="s">
        <v>761</v>
      </c>
      <c r="E749" s="111" t="s">
        <v>448</v>
      </c>
      <c r="F749" s="265">
        <v>42132</v>
      </c>
      <c r="G749" s="265">
        <v>42140</v>
      </c>
      <c r="H749" s="111">
        <v>10170</v>
      </c>
      <c r="I749" s="111">
        <v>0</v>
      </c>
      <c r="J749" s="295">
        <v>0.5</v>
      </c>
      <c r="K749" s="266">
        <f t="shared" si="42"/>
        <v>50.85</v>
      </c>
      <c r="L749" s="29">
        <f t="shared" si="41"/>
        <v>8</v>
      </c>
      <c r="N749" s="29">
        <v>10170</v>
      </c>
      <c r="O749" s="29">
        <v>0</v>
      </c>
      <c r="P749" s="29">
        <v>1830.6</v>
      </c>
      <c r="Q749" s="29">
        <v>12000.6</v>
      </c>
      <c r="R749" s="29">
        <v>0</v>
      </c>
      <c r="S749" s="29">
        <v>1</v>
      </c>
      <c r="T749" s="29">
        <v>120.006</v>
      </c>
    </row>
    <row r="750" spans="2:20">
      <c r="B750" s="111">
        <v>4</v>
      </c>
      <c r="C750" s="111">
        <v>28336</v>
      </c>
      <c r="D750" s="111" t="s">
        <v>767</v>
      </c>
      <c r="E750" s="111" t="s">
        <v>448</v>
      </c>
      <c r="F750" s="265">
        <v>42133</v>
      </c>
      <c r="G750" s="265">
        <v>42136</v>
      </c>
      <c r="H750" s="111">
        <v>656.89</v>
      </c>
      <c r="I750" s="111">
        <v>0</v>
      </c>
      <c r="J750" s="295">
        <v>1</v>
      </c>
      <c r="K750" s="266">
        <f t="shared" si="42"/>
        <v>6.5689000000000002</v>
      </c>
      <c r="L750" s="29">
        <f t="shared" si="41"/>
        <v>3</v>
      </c>
      <c r="N750" s="29">
        <v>656.89</v>
      </c>
      <c r="O750" s="29">
        <v>0</v>
      </c>
      <c r="P750" s="29">
        <v>118.24</v>
      </c>
      <c r="Q750" s="29">
        <v>775.13</v>
      </c>
      <c r="R750" s="29">
        <v>0</v>
      </c>
      <c r="S750" s="29">
        <v>1</v>
      </c>
      <c r="T750" s="29">
        <v>7.7512999999999996</v>
      </c>
    </row>
    <row r="751" spans="2:20">
      <c r="B751" s="111">
        <v>4</v>
      </c>
      <c r="C751" s="111">
        <v>28362</v>
      </c>
      <c r="D751" s="111" t="s">
        <v>767</v>
      </c>
      <c r="E751" s="111" t="s">
        <v>448</v>
      </c>
      <c r="F751" s="265">
        <v>42133</v>
      </c>
      <c r="G751" s="265">
        <v>42136</v>
      </c>
      <c r="H751" s="111">
        <v>185.22</v>
      </c>
      <c r="I751" s="111">
        <v>0</v>
      </c>
      <c r="J751" s="295">
        <v>1</v>
      </c>
      <c r="K751" s="266">
        <f t="shared" si="42"/>
        <v>1.8522000000000001</v>
      </c>
      <c r="L751" s="29">
        <f t="shared" si="41"/>
        <v>3</v>
      </c>
      <c r="N751" s="29">
        <v>185.22</v>
      </c>
      <c r="O751" s="29">
        <v>0</v>
      </c>
      <c r="P751" s="29">
        <v>33.340000000000003</v>
      </c>
      <c r="Q751" s="29">
        <v>218.56</v>
      </c>
      <c r="R751" s="29">
        <v>0</v>
      </c>
      <c r="S751" s="29">
        <v>1</v>
      </c>
      <c r="T751" s="29">
        <v>2.1856</v>
      </c>
    </row>
    <row r="752" spans="2:20">
      <c r="B752" s="111">
        <v>4</v>
      </c>
      <c r="C752" s="111">
        <v>872</v>
      </c>
      <c r="D752" s="111" t="s">
        <v>762</v>
      </c>
      <c r="E752" s="111" t="s">
        <v>448</v>
      </c>
      <c r="F752" s="265">
        <v>42137</v>
      </c>
      <c r="G752" s="265">
        <v>42137</v>
      </c>
      <c r="H752" s="111">
        <v>487.88</v>
      </c>
      <c r="I752" s="111">
        <v>0</v>
      </c>
      <c r="J752" s="295">
        <v>1</v>
      </c>
      <c r="K752" s="266">
        <f t="shared" si="42"/>
        <v>4.8788</v>
      </c>
      <c r="L752" s="29">
        <f t="shared" si="41"/>
        <v>0</v>
      </c>
      <c r="N752" s="29">
        <v>487.88</v>
      </c>
      <c r="O752" s="29">
        <v>0</v>
      </c>
      <c r="P752" s="29">
        <v>87.82</v>
      </c>
      <c r="Q752" s="29">
        <v>575.70000000000005</v>
      </c>
      <c r="R752" s="29">
        <v>0</v>
      </c>
      <c r="S752" s="29">
        <v>1</v>
      </c>
      <c r="T752" s="29">
        <v>5.7569999999999997</v>
      </c>
    </row>
    <row r="753" spans="2:21">
      <c r="B753" s="111">
        <v>4</v>
      </c>
      <c r="C753" s="111">
        <v>28712</v>
      </c>
      <c r="D753" s="111" t="s">
        <v>761</v>
      </c>
      <c r="E753" s="111" t="s">
        <v>448</v>
      </c>
      <c r="F753" s="265">
        <v>42139</v>
      </c>
      <c r="G753" s="265">
        <v>42140</v>
      </c>
      <c r="H753" s="111">
        <v>518.58000000000004</v>
      </c>
      <c r="I753" s="111">
        <v>0</v>
      </c>
      <c r="J753" s="295">
        <v>1</v>
      </c>
      <c r="K753" s="266">
        <f t="shared" si="42"/>
        <v>5.1858000000000004</v>
      </c>
      <c r="L753" s="29">
        <f t="shared" si="41"/>
        <v>1</v>
      </c>
      <c r="N753" s="29">
        <v>518.58000000000004</v>
      </c>
      <c r="O753" s="29">
        <v>0</v>
      </c>
      <c r="P753" s="29">
        <v>93.34</v>
      </c>
      <c r="Q753" s="29">
        <v>611.91999999999996</v>
      </c>
      <c r="R753" s="29">
        <v>0</v>
      </c>
      <c r="S753" s="29">
        <v>1</v>
      </c>
      <c r="T753" s="29">
        <v>6.1192000000000002</v>
      </c>
    </row>
    <row r="754" spans="2:21">
      <c r="B754" s="111">
        <v>4</v>
      </c>
      <c r="C754" s="111">
        <v>28655</v>
      </c>
      <c r="D754" s="111" t="s">
        <v>772</v>
      </c>
      <c r="E754" s="111" t="s">
        <v>448</v>
      </c>
      <c r="F754" s="265">
        <v>42138</v>
      </c>
      <c r="G754" s="265">
        <v>42142</v>
      </c>
      <c r="H754" s="111">
        <v>27798</v>
      </c>
      <c r="I754" s="111">
        <v>0</v>
      </c>
      <c r="J754" s="295">
        <v>0.5</v>
      </c>
      <c r="K754" s="266">
        <f t="shared" si="42"/>
        <v>138.99</v>
      </c>
      <c r="L754" s="29">
        <f t="shared" si="41"/>
        <v>4</v>
      </c>
      <c r="N754" s="29">
        <v>27798</v>
      </c>
      <c r="O754" s="29">
        <v>0</v>
      </c>
      <c r="P754" s="29">
        <v>5003.6400000000003</v>
      </c>
      <c r="Q754" s="29">
        <v>32801.64</v>
      </c>
      <c r="R754" s="29">
        <v>0</v>
      </c>
      <c r="S754" s="29">
        <v>1</v>
      </c>
      <c r="T754" s="29">
        <v>328.01639999999998</v>
      </c>
    </row>
    <row r="755" spans="2:21">
      <c r="B755" s="111">
        <v>4</v>
      </c>
      <c r="C755" s="111">
        <v>874</v>
      </c>
      <c r="D755" s="111" t="s">
        <v>762</v>
      </c>
      <c r="E755" s="111" t="s">
        <v>448</v>
      </c>
      <c r="F755" s="265">
        <v>42143</v>
      </c>
      <c r="G755" s="265">
        <v>42144</v>
      </c>
      <c r="H755" s="111">
        <v>266.31</v>
      </c>
      <c r="I755" s="111">
        <v>0</v>
      </c>
      <c r="J755" s="295">
        <v>1</v>
      </c>
      <c r="K755" s="266">
        <f t="shared" si="42"/>
        <v>2.6631</v>
      </c>
      <c r="L755" s="29">
        <f t="shared" si="41"/>
        <v>1</v>
      </c>
      <c r="N755" s="29">
        <v>266.31</v>
      </c>
      <c r="O755" s="29">
        <v>0</v>
      </c>
      <c r="P755" s="29">
        <v>47.94</v>
      </c>
      <c r="Q755" s="29">
        <v>314.25</v>
      </c>
      <c r="R755" s="29">
        <v>0</v>
      </c>
      <c r="S755" s="29">
        <v>1</v>
      </c>
      <c r="T755" s="29">
        <v>3.1425000000000001</v>
      </c>
    </row>
    <row r="756" spans="2:21">
      <c r="B756" s="111">
        <v>4</v>
      </c>
      <c r="C756" s="111">
        <v>879</v>
      </c>
      <c r="D756" s="111" t="s">
        <v>762</v>
      </c>
      <c r="E756" s="111" t="s">
        <v>448</v>
      </c>
      <c r="F756" s="265">
        <v>42150</v>
      </c>
      <c r="G756" s="265">
        <v>42152</v>
      </c>
      <c r="H756" s="111">
        <v>688.9</v>
      </c>
      <c r="I756" s="111">
        <v>0</v>
      </c>
      <c r="J756" s="295">
        <v>1</v>
      </c>
      <c r="K756" s="266">
        <f t="shared" si="42"/>
        <v>6.8890000000000002</v>
      </c>
      <c r="L756" s="29">
        <f t="shared" si="41"/>
        <v>2</v>
      </c>
      <c r="N756" s="29">
        <v>688.9</v>
      </c>
      <c r="O756" s="29">
        <v>0</v>
      </c>
      <c r="P756" s="29">
        <v>124</v>
      </c>
      <c r="Q756" s="29">
        <v>812.9</v>
      </c>
      <c r="R756" s="29">
        <v>0</v>
      </c>
      <c r="S756" s="29">
        <v>1</v>
      </c>
      <c r="T756" s="29">
        <v>8.1289999999999996</v>
      </c>
    </row>
    <row r="757" spans="2:21">
      <c r="G757" s="111" t="s">
        <v>765</v>
      </c>
      <c r="H757" s="272">
        <f>SUM(H699:H756)</f>
        <v>200080.85999999996</v>
      </c>
      <c r="J757" s="295" t="s">
        <v>383</v>
      </c>
      <c r="K757" s="272">
        <f>SUM(K699:K756)</f>
        <v>1448.8911499999999</v>
      </c>
    </row>
    <row r="761" spans="2:21">
      <c r="B761" s="29">
        <v>6</v>
      </c>
      <c r="C761" s="33">
        <v>857</v>
      </c>
      <c r="D761" s="29" t="s">
        <v>381</v>
      </c>
      <c r="E761" s="29" t="s">
        <v>382</v>
      </c>
      <c r="F761" s="263">
        <v>42103</v>
      </c>
      <c r="G761" s="263">
        <v>42139</v>
      </c>
      <c r="H761" s="29">
        <v>8983.0499999999993</v>
      </c>
      <c r="I761" s="29">
        <v>0</v>
      </c>
      <c r="J761" s="292">
        <v>1616.95</v>
      </c>
      <c r="K761" s="29">
        <v>10600</v>
      </c>
      <c r="L761" s="29">
        <v>0</v>
      </c>
      <c r="M761" s="29">
        <v>1</v>
      </c>
      <c r="N761" s="29">
        <v>106</v>
      </c>
      <c r="O761" s="29">
        <v>12519</v>
      </c>
      <c r="P761" s="29">
        <v>960846</v>
      </c>
    </row>
    <row r="762" spans="2:21">
      <c r="B762" s="29">
        <v>4</v>
      </c>
      <c r="C762" s="29">
        <v>27178</v>
      </c>
      <c r="D762" s="29" t="s">
        <v>772</v>
      </c>
      <c r="E762" s="29" t="s">
        <v>448</v>
      </c>
      <c r="F762" s="263">
        <v>42118</v>
      </c>
      <c r="G762" s="263">
        <v>42130</v>
      </c>
      <c r="H762" s="29">
        <v>26848.799999999999</v>
      </c>
      <c r="I762" s="29">
        <v>0</v>
      </c>
      <c r="J762" s="292">
        <v>4832.78</v>
      </c>
      <c r="K762" s="29">
        <v>31681.58</v>
      </c>
      <c r="L762" s="29">
        <v>0</v>
      </c>
      <c r="M762" s="29">
        <v>1</v>
      </c>
      <c r="N762" s="29">
        <v>316.81580000000002</v>
      </c>
      <c r="O762" s="29">
        <v>12520</v>
      </c>
      <c r="P762" s="29">
        <v>962615</v>
      </c>
    </row>
    <row r="763" spans="2:21">
      <c r="B763" s="29">
        <v>4</v>
      </c>
      <c r="C763" s="29">
        <v>27178</v>
      </c>
      <c r="D763" s="29" t="s">
        <v>772</v>
      </c>
      <c r="E763" s="29" t="s">
        <v>448</v>
      </c>
      <c r="F763" s="263">
        <v>42118</v>
      </c>
      <c r="G763" s="263">
        <v>42130</v>
      </c>
      <c r="H763" s="29">
        <v>26848.799999999999</v>
      </c>
      <c r="I763" s="29">
        <v>0</v>
      </c>
      <c r="J763" s="292">
        <v>4832.78</v>
      </c>
      <c r="K763" s="29">
        <v>31681.58</v>
      </c>
      <c r="L763" s="29">
        <v>0</v>
      </c>
      <c r="M763" s="29">
        <v>1</v>
      </c>
      <c r="N763" s="29">
        <v>316.81580000000002</v>
      </c>
      <c r="O763" s="29">
        <v>12520</v>
      </c>
      <c r="P763" s="29">
        <v>962615</v>
      </c>
    </row>
    <row r="764" spans="2:21">
      <c r="B764" s="29">
        <v>4</v>
      </c>
      <c r="C764" s="29">
        <v>27178</v>
      </c>
      <c r="D764" s="29" t="s">
        <v>772</v>
      </c>
      <c r="E764" s="29" t="s">
        <v>448</v>
      </c>
      <c r="F764" s="263">
        <v>42118</v>
      </c>
      <c r="G764" s="263">
        <v>42130</v>
      </c>
      <c r="H764" s="29">
        <v>26848.799999999999</v>
      </c>
      <c r="I764" s="29">
        <v>0</v>
      </c>
      <c r="J764" s="292">
        <v>4832.78</v>
      </c>
      <c r="K764" s="29">
        <v>31681.58</v>
      </c>
      <c r="L764" s="29">
        <v>0</v>
      </c>
      <c r="M764" s="29">
        <v>1</v>
      </c>
      <c r="N764" s="29">
        <v>316.81580000000002</v>
      </c>
      <c r="O764" s="29">
        <v>12519</v>
      </c>
      <c r="P764" s="29">
        <v>962615</v>
      </c>
    </row>
    <row r="765" spans="2:21">
      <c r="B765" s="29">
        <v>4</v>
      </c>
      <c r="C765" s="29">
        <v>27178</v>
      </c>
      <c r="D765" s="29" t="s">
        <v>772</v>
      </c>
      <c r="E765" s="29" t="s">
        <v>448</v>
      </c>
      <c r="F765" s="263">
        <v>42118</v>
      </c>
      <c r="G765" s="263">
        <v>42130</v>
      </c>
      <c r="H765" s="29">
        <v>26848.799999999999</v>
      </c>
      <c r="I765" s="29">
        <v>0</v>
      </c>
      <c r="J765" s="292">
        <v>4832.78</v>
      </c>
      <c r="K765" s="29">
        <v>31681.58</v>
      </c>
      <c r="L765" s="29">
        <v>0</v>
      </c>
      <c r="M765" s="29">
        <v>1</v>
      </c>
      <c r="N765" s="29">
        <v>316.81580000000002</v>
      </c>
      <c r="O765" s="29">
        <v>12519</v>
      </c>
      <c r="P765" s="29">
        <v>962615</v>
      </c>
    </row>
    <row r="766" spans="2:21">
      <c r="B766" s="29">
        <v>4</v>
      </c>
      <c r="C766" s="29">
        <v>27178</v>
      </c>
      <c r="D766" s="29" t="s">
        <v>772</v>
      </c>
      <c r="E766" s="29" t="s">
        <v>448</v>
      </c>
      <c r="F766" s="263">
        <v>42118</v>
      </c>
      <c r="G766" s="263">
        <v>42130</v>
      </c>
      <c r="H766" s="29">
        <v>26848.799999999999</v>
      </c>
      <c r="I766" s="29">
        <v>0</v>
      </c>
      <c r="J766" s="292">
        <v>4832.78</v>
      </c>
      <c r="K766" s="29">
        <v>31681.58</v>
      </c>
      <c r="L766" s="29">
        <v>0</v>
      </c>
      <c r="M766" s="29">
        <v>1</v>
      </c>
      <c r="N766" s="29">
        <v>316.81580000000002</v>
      </c>
      <c r="O766" s="29">
        <v>12519</v>
      </c>
      <c r="P766" s="29">
        <v>962615</v>
      </c>
    </row>
    <row r="767" spans="2:21">
      <c r="B767" s="29">
        <v>4</v>
      </c>
      <c r="C767" s="33">
        <v>27477</v>
      </c>
      <c r="D767" s="33" t="s">
        <v>764</v>
      </c>
      <c r="E767" s="33" t="s">
        <v>448</v>
      </c>
      <c r="F767" s="280">
        <v>42122</v>
      </c>
      <c r="G767" s="280">
        <v>42129</v>
      </c>
      <c r="H767" s="33">
        <v>11457.8</v>
      </c>
      <c r="I767" s="33">
        <v>0</v>
      </c>
      <c r="J767" s="301">
        <v>2062.4</v>
      </c>
      <c r="K767" s="33">
        <v>13520.2</v>
      </c>
      <c r="L767" s="33">
        <v>0</v>
      </c>
      <c r="M767" s="33">
        <v>1</v>
      </c>
      <c r="N767" s="33">
        <v>135.202</v>
      </c>
      <c r="O767" s="33">
        <v>12520</v>
      </c>
      <c r="P767" s="33">
        <v>963106</v>
      </c>
      <c r="R767" s="122">
        <v>1728.6</v>
      </c>
    </row>
    <row r="768" spans="2:21">
      <c r="B768" s="29">
        <v>4</v>
      </c>
      <c r="C768" s="33">
        <v>27477</v>
      </c>
      <c r="D768" s="33" t="s">
        <v>764</v>
      </c>
      <c r="E768" s="33" t="s">
        <v>448</v>
      </c>
      <c r="F768" s="280">
        <v>42122</v>
      </c>
      <c r="G768" s="280">
        <v>42129</v>
      </c>
      <c r="H768" s="33">
        <v>11457.8</v>
      </c>
      <c r="I768" s="33">
        <v>0</v>
      </c>
      <c r="J768" s="301">
        <v>2062.4</v>
      </c>
      <c r="K768" s="33">
        <v>13520.2</v>
      </c>
      <c r="L768" s="33">
        <v>0</v>
      </c>
      <c r="M768" s="33">
        <v>1</v>
      </c>
      <c r="N768" s="33">
        <v>135.202</v>
      </c>
      <c r="O768" s="33">
        <v>12520</v>
      </c>
      <c r="P768" s="33">
        <v>963106</v>
      </c>
      <c r="R768" s="122">
        <v>576.20000000000005</v>
      </c>
      <c r="T768" s="29">
        <f>R768+R767</f>
        <v>2304.8000000000002</v>
      </c>
      <c r="U768" s="29">
        <f>R770-T768</f>
        <v>11215.400000000001</v>
      </c>
    </row>
    <row r="769" spans="2:21">
      <c r="B769" s="29">
        <v>4</v>
      </c>
      <c r="C769" s="33">
        <v>27477</v>
      </c>
      <c r="D769" s="33" t="s">
        <v>764</v>
      </c>
      <c r="E769" s="33" t="s">
        <v>448</v>
      </c>
      <c r="F769" s="280">
        <v>42122</v>
      </c>
      <c r="G769" s="280">
        <v>42129</v>
      </c>
      <c r="H769" s="33">
        <v>11457.8</v>
      </c>
      <c r="I769" s="33">
        <v>0</v>
      </c>
      <c r="J769" s="301">
        <v>2062.4</v>
      </c>
      <c r="K769" s="33">
        <v>13520.2</v>
      </c>
      <c r="L769" s="33">
        <v>0</v>
      </c>
      <c r="M769" s="33">
        <v>1</v>
      </c>
      <c r="N769" s="33">
        <v>135.202</v>
      </c>
      <c r="O769" s="33">
        <v>12519</v>
      </c>
      <c r="P769" s="33">
        <v>963106</v>
      </c>
      <c r="T769" s="29">
        <f>T768*1%</f>
        <v>23.048000000000002</v>
      </c>
      <c r="U769" s="29">
        <f>U768*0.5%</f>
        <v>56.077000000000005</v>
      </c>
    </row>
    <row r="770" spans="2:21">
      <c r="B770" s="29">
        <v>4</v>
      </c>
      <c r="C770" s="33">
        <v>27477</v>
      </c>
      <c r="D770" s="33" t="s">
        <v>764</v>
      </c>
      <c r="E770" s="33" t="s">
        <v>448</v>
      </c>
      <c r="F770" s="280">
        <v>42122</v>
      </c>
      <c r="G770" s="280">
        <v>42129</v>
      </c>
      <c r="H770" s="33">
        <v>11457.8</v>
      </c>
      <c r="I770" s="33">
        <v>0</v>
      </c>
      <c r="J770" s="301">
        <v>2062.4</v>
      </c>
      <c r="K770" s="33">
        <v>13520.2</v>
      </c>
      <c r="L770" s="33">
        <v>0</v>
      </c>
      <c r="M770" s="33">
        <v>1</v>
      </c>
      <c r="N770" s="33">
        <v>135.202</v>
      </c>
      <c r="O770" s="33">
        <v>12519</v>
      </c>
      <c r="P770" s="33">
        <v>963106</v>
      </c>
      <c r="R770" s="33">
        <v>13520.2</v>
      </c>
    </row>
    <row r="771" spans="2:21">
      <c r="B771" s="29">
        <v>4</v>
      </c>
      <c r="C771" s="33">
        <v>27477</v>
      </c>
      <c r="D771" s="33" t="s">
        <v>764</v>
      </c>
      <c r="E771" s="33" t="s">
        <v>448</v>
      </c>
      <c r="F771" s="280">
        <v>42122</v>
      </c>
      <c r="G771" s="280">
        <v>42129</v>
      </c>
      <c r="H771" s="33">
        <v>11457.8</v>
      </c>
      <c r="I771" s="33">
        <v>0</v>
      </c>
      <c r="J771" s="301">
        <v>2062.4</v>
      </c>
      <c r="K771" s="33">
        <v>13520.2</v>
      </c>
      <c r="L771" s="33">
        <v>0</v>
      </c>
      <c r="M771" s="33">
        <v>1</v>
      </c>
      <c r="N771" s="33">
        <v>135.202</v>
      </c>
      <c r="O771" s="33">
        <v>12519</v>
      </c>
      <c r="P771" s="33">
        <v>963106</v>
      </c>
    </row>
    <row r="772" spans="2:21">
      <c r="B772" s="29">
        <v>6</v>
      </c>
      <c r="C772" s="29">
        <v>904</v>
      </c>
      <c r="D772" s="29" t="s">
        <v>381</v>
      </c>
      <c r="E772" s="29" t="s">
        <v>382</v>
      </c>
      <c r="F772" s="263">
        <v>42124</v>
      </c>
      <c r="G772" s="263">
        <v>42154</v>
      </c>
      <c r="H772" s="29">
        <v>9661.02</v>
      </c>
      <c r="I772" s="29">
        <v>0</v>
      </c>
      <c r="J772" s="292">
        <v>1738.98</v>
      </c>
      <c r="K772" s="29">
        <v>11400</v>
      </c>
      <c r="L772" s="29">
        <v>0</v>
      </c>
      <c r="M772" s="29">
        <v>1</v>
      </c>
      <c r="N772" s="29">
        <v>114</v>
      </c>
      <c r="O772" s="29">
        <v>12519</v>
      </c>
      <c r="P772" s="29">
        <v>963677</v>
      </c>
    </row>
    <row r="773" spans="2:21">
      <c r="B773" s="29">
        <v>6</v>
      </c>
      <c r="C773" s="33">
        <v>903</v>
      </c>
      <c r="D773" s="33" t="s">
        <v>381</v>
      </c>
      <c r="E773" s="33" t="s">
        <v>382</v>
      </c>
      <c r="F773" s="280">
        <v>42124</v>
      </c>
      <c r="G773" s="280">
        <v>42154</v>
      </c>
      <c r="H773" s="33">
        <v>9661.02</v>
      </c>
      <c r="I773" s="33">
        <v>0</v>
      </c>
      <c r="J773" s="301">
        <v>1738.98</v>
      </c>
      <c r="K773" s="33">
        <v>11400</v>
      </c>
      <c r="L773" s="33">
        <v>0</v>
      </c>
      <c r="M773" s="33">
        <v>1</v>
      </c>
      <c r="N773" s="33">
        <v>114</v>
      </c>
      <c r="O773" s="33">
        <v>12519</v>
      </c>
      <c r="P773" s="33">
        <v>963680</v>
      </c>
    </row>
    <row r="774" spans="2:21">
      <c r="B774" s="29">
        <v>4</v>
      </c>
      <c r="C774" s="29">
        <v>28262</v>
      </c>
      <c r="D774" s="29" t="s">
        <v>761</v>
      </c>
      <c r="E774" s="29" t="s">
        <v>448</v>
      </c>
      <c r="F774" s="263">
        <v>42132</v>
      </c>
      <c r="G774" s="263">
        <v>42140</v>
      </c>
      <c r="H774" s="29">
        <v>10170</v>
      </c>
      <c r="I774" s="29">
        <v>0</v>
      </c>
      <c r="J774" s="292">
        <v>1830.6</v>
      </c>
      <c r="K774" s="29">
        <v>12000.6</v>
      </c>
      <c r="L774" s="29">
        <v>0</v>
      </c>
      <c r="M774" s="29">
        <v>1</v>
      </c>
      <c r="N774" s="29">
        <v>120.006</v>
      </c>
      <c r="O774" s="29">
        <v>12520</v>
      </c>
      <c r="P774" s="29">
        <v>964316</v>
      </c>
    </row>
    <row r="775" spans="2:21">
      <c r="B775" s="29">
        <v>4</v>
      </c>
      <c r="C775" s="29">
        <v>28262</v>
      </c>
      <c r="D775" s="29" t="s">
        <v>761</v>
      </c>
      <c r="E775" s="29" t="s">
        <v>448</v>
      </c>
      <c r="F775" s="263">
        <v>42132</v>
      </c>
      <c r="G775" s="263">
        <v>42140</v>
      </c>
      <c r="H775" s="29">
        <v>10170</v>
      </c>
      <c r="I775" s="29">
        <v>0</v>
      </c>
      <c r="J775" s="292">
        <v>1830.6</v>
      </c>
      <c r="K775" s="29">
        <v>12000.6</v>
      </c>
      <c r="L775" s="29">
        <v>0</v>
      </c>
      <c r="M775" s="29">
        <v>1</v>
      </c>
      <c r="N775" s="29">
        <v>120.006</v>
      </c>
      <c r="O775" s="29">
        <v>12520</v>
      </c>
      <c r="P775" s="29">
        <v>964316</v>
      </c>
    </row>
    <row r="776" spans="2:21">
      <c r="B776" s="29">
        <v>4</v>
      </c>
      <c r="C776" s="33">
        <v>28308</v>
      </c>
      <c r="D776" s="33" t="s">
        <v>761</v>
      </c>
      <c r="E776" s="33" t="s">
        <v>448</v>
      </c>
      <c r="F776" s="280">
        <v>42132</v>
      </c>
      <c r="G776" s="280">
        <v>42140</v>
      </c>
      <c r="H776" s="33">
        <v>10170</v>
      </c>
      <c r="I776" s="33">
        <v>0</v>
      </c>
      <c r="J776" s="301">
        <v>1830.6</v>
      </c>
      <c r="K776" s="33">
        <v>12000.6</v>
      </c>
      <c r="L776" s="33">
        <v>0</v>
      </c>
      <c r="M776" s="33">
        <v>1</v>
      </c>
      <c r="N776" s="33">
        <v>120.006</v>
      </c>
      <c r="O776" s="33">
        <v>12520</v>
      </c>
      <c r="P776" s="33">
        <v>964409</v>
      </c>
    </row>
    <row r="777" spans="2:21">
      <c r="B777" s="29">
        <v>4</v>
      </c>
      <c r="C777" s="33">
        <v>28308</v>
      </c>
      <c r="D777" s="33" t="s">
        <v>761</v>
      </c>
      <c r="E777" s="33" t="s">
        <v>448</v>
      </c>
      <c r="F777" s="280">
        <v>42132</v>
      </c>
      <c r="G777" s="280">
        <v>42140</v>
      </c>
      <c r="H777" s="33">
        <v>10170</v>
      </c>
      <c r="I777" s="33">
        <v>0</v>
      </c>
      <c r="J777" s="301">
        <v>1830.6</v>
      </c>
      <c r="K777" s="33">
        <v>12000.6</v>
      </c>
      <c r="L777" s="33">
        <v>0</v>
      </c>
      <c r="M777" s="33">
        <v>1</v>
      </c>
      <c r="N777" s="33">
        <v>120.006</v>
      </c>
      <c r="O777" s="33">
        <v>12520</v>
      </c>
      <c r="P777" s="33">
        <v>964409</v>
      </c>
    </row>
    <row r="778" spans="2:21">
      <c r="B778" s="29">
        <v>4</v>
      </c>
      <c r="C778" s="33">
        <v>28308</v>
      </c>
      <c r="D778" s="33" t="s">
        <v>761</v>
      </c>
      <c r="E778" s="33" t="s">
        <v>448</v>
      </c>
      <c r="F778" s="280">
        <v>42132</v>
      </c>
      <c r="G778" s="280">
        <v>42140</v>
      </c>
      <c r="H778" s="33">
        <v>10170</v>
      </c>
      <c r="I778" s="33">
        <v>0</v>
      </c>
      <c r="J778" s="301">
        <v>1830.6</v>
      </c>
      <c r="K778" s="33">
        <v>12000.6</v>
      </c>
      <c r="L778" s="33">
        <v>0</v>
      </c>
      <c r="M778" s="33">
        <v>1</v>
      </c>
      <c r="N778" s="33">
        <v>120.006</v>
      </c>
      <c r="O778" s="33">
        <v>12519</v>
      </c>
      <c r="P778" s="33">
        <v>964409</v>
      </c>
    </row>
    <row r="779" spans="2:21">
      <c r="B779" s="29">
        <v>4</v>
      </c>
      <c r="C779" s="33">
        <v>28308</v>
      </c>
      <c r="D779" s="33" t="s">
        <v>761</v>
      </c>
      <c r="E779" s="33" t="s">
        <v>448</v>
      </c>
      <c r="F779" s="280">
        <v>42132</v>
      </c>
      <c r="G779" s="280">
        <v>42140</v>
      </c>
      <c r="H779" s="33">
        <v>10170</v>
      </c>
      <c r="I779" s="33">
        <v>0</v>
      </c>
      <c r="J779" s="301">
        <v>1830.6</v>
      </c>
      <c r="K779" s="33">
        <v>12000.6</v>
      </c>
      <c r="L779" s="33">
        <v>0</v>
      </c>
      <c r="M779" s="33">
        <v>1</v>
      </c>
      <c r="N779" s="33">
        <v>120.006</v>
      </c>
      <c r="O779" s="33">
        <v>12519</v>
      </c>
      <c r="P779" s="33">
        <v>964409</v>
      </c>
    </row>
    <row r="780" spans="2:21">
      <c r="B780" s="29">
        <v>4</v>
      </c>
      <c r="C780" s="33">
        <v>28308</v>
      </c>
      <c r="D780" s="33" t="s">
        <v>761</v>
      </c>
      <c r="E780" s="33" t="s">
        <v>448</v>
      </c>
      <c r="F780" s="280">
        <v>42132</v>
      </c>
      <c r="G780" s="280">
        <v>42140</v>
      </c>
      <c r="H780" s="33">
        <v>10170</v>
      </c>
      <c r="I780" s="33">
        <v>0</v>
      </c>
      <c r="J780" s="301">
        <v>1830.6</v>
      </c>
      <c r="K780" s="33">
        <v>12000.6</v>
      </c>
      <c r="L780" s="33">
        <v>0</v>
      </c>
      <c r="M780" s="33">
        <v>1</v>
      </c>
      <c r="N780" s="33">
        <v>120.006</v>
      </c>
      <c r="O780" s="33">
        <v>12519</v>
      </c>
      <c r="P780" s="33">
        <v>964409</v>
      </c>
    </row>
    <row r="781" spans="2:21">
      <c r="B781" s="29">
        <v>4</v>
      </c>
      <c r="C781" s="29">
        <v>28655</v>
      </c>
      <c r="D781" s="29" t="s">
        <v>772</v>
      </c>
      <c r="E781" s="29" t="s">
        <v>448</v>
      </c>
      <c r="F781" s="263">
        <v>42138</v>
      </c>
      <c r="G781" s="263">
        <v>42142</v>
      </c>
      <c r="H781" s="29">
        <v>27798</v>
      </c>
      <c r="I781" s="29">
        <v>0</v>
      </c>
      <c r="J781" s="292">
        <v>5003.6400000000003</v>
      </c>
      <c r="K781" s="29">
        <v>32801.64</v>
      </c>
      <c r="L781" s="29">
        <v>0</v>
      </c>
      <c r="M781" s="29">
        <v>1</v>
      </c>
      <c r="N781" s="29">
        <v>328.01639999999998</v>
      </c>
      <c r="O781" s="29">
        <v>12520</v>
      </c>
      <c r="P781" s="29">
        <v>964967</v>
      </c>
    </row>
    <row r="782" spans="2:21">
      <c r="B782" s="29">
        <v>4</v>
      </c>
      <c r="C782" s="29">
        <v>28655</v>
      </c>
      <c r="D782" s="29" t="s">
        <v>772</v>
      </c>
      <c r="E782" s="29" t="s">
        <v>448</v>
      </c>
      <c r="F782" s="263">
        <v>42138</v>
      </c>
      <c r="G782" s="263">
        <v>42142</v>
      </c>
      <c r="H782" s="29">
        <v>27798</v>
      </c>
      <c r="I782" s="29">
        <v>0</v>
      </c>
      <c r="J782" s="292">
        <v>5003.6400000000003</v>
      </c>
      <c r="K782" s="29">
        <v>32801.64</v>
      </c>
      <c r="L782" s="29">
        <v>0</v>
      </c>
      <c r="M782" s="29">
        <v>1</v>
      </c>
      <c r="N782" s="29">
        <v>328.01639999999998</v>
      </c>
      <c r="O782" s="29">
        <v>12520</v>
      </c>
      <c r="P782" s="29">
        <v>964967</v>
      </c>
    </row>
    <row r="783" spans="2:21">
      <c r="B783" s="29">
        <v>4</v>
      </c>
      <c r="C783" s="29">
        <v>28655</v>
      </c>
      <c r="D783" s="29" t="s">
        <v>772</v>
      </c>
      <c r="E783" s="29" t="s">
        <v>448</v>
      </c>
      <c r="F783" s="263">
        <v>42138</v>
      </c>
      <c r="G783" s="263">
        <v>42142</v>
      </c>
      <c r="H783" s="29">
        <v>27798</v>
      </c>
      <c r="I783" s="29">
        <v>0</v>
      </c>
      <c r="J783" s="292">
        <v>5003.6400000000003</v>
      </c>
      <c r="K783" s="29">
        <v>32801.64</v>
      </c>
      <c r="L783" s="29">
        <v>0</v>
      </c>
      <c r="M783" s="29">
        <v>1</v>
      </c>
      <c r="N783" s="29">
        <v>328.01639999999998</v>
      </c>
      <c r="O783" s="29">
        <v>12520</v>
      </c>
      <c r="P783" s="29">
        <v>964967</v>
      </c>
    </row>
    <row r="784" spans="2:21">
      <c r="B784" s="29">
        <v>4</v>
      </c>
      <c r="C784" s="29">
        <v>28655</v>
      </c>
      <c r="D784" s="29" t="s">
        <v>772</v>
      </c>
      <c r="E784" s="29" t="s">
        <v>448</v>
      </c>
      <c r="F784" s="263">
        <v>42138</v>
      </c>
      <c r="G784" s="263">
        <v>42142</v>
      </c>
      <c r="H784" s="29">
        <v>27798</v>
      </c>
      <c r="I784" s="29">
        <v>0</v>
      </c>
      <c r="J784" s="292">
        <v>5003.6400000000003</v>
      </c>
      <c r="K784" s="29">
        <v>32801.64</v>
      </c>
      <c r="L784" s="29">
        <v>0</v>
      </c>
      <c r="M784" s="29">
        <v>1</v>
      </c>
      <c r="N784" s="29">
        <v>328.01639999999998</v>
      </c>
      <c r="O784" s="29">
        <v>12520</v>
      </c>
      <c r="P784" s="29">
        <v>964967</v>
      </c>
    </row>
    <row r="785" spans="1:21">
      <c r="B785" s="29">
        <v>4</v>
      </c>
      <c r="C785" s="29">
        <v>28655</v>
      </c>
      <c r="D785" s="29" t="s">
        <v>772</v>
      </c>
      <c r="E785" s="29" t="s">
        <v>448</v>
      </c>
      <c r="F785" s="263">
        <v>42138</v>
      </c>
      <c r="G785" s="263">
        <v>42142</v>
      </c>
      <c r="H785" s="29">
        <v>27798</v>
      </c>
      <c r="I785" s="29">
        <v>0</v>
      </c>
      <c r="J785" s="292">
        <v>5003.6400000000003</v>
      </c>
      <c r="K785" s="29">
        <v>32801.64</v>
      </c>
      <c r="L785" s="29">
        <v>0</v>
      </c>
      <c r="M785" s="29">
        <v>1</v>
      </c>
      <c r="N785" s="29">
        <v>328.01639999999998</v>
      </c>
      <c r="O785" s="29">
        <v>12519</v>
      </c>
      <c r="P785" s="29">
        <v>964967</v>
      </c>
    </row>
    <row r="786" spans="1:21">
      <c r="B786" s="29">
        <v>4</v>
      </c>
      <c r="C786" s="29">
        <v>28655</v>
      </c>
      <c r="D786" s="29" t="s">
        <v>772</v>
      </c>
      <c r="E786" s="29" t="s">
        <v>448</v>
      </c>
      <c r="F786" s="263">
        <v>42138</v>
      </c>
      <c r="G786" s="263">
        <v>42142</v>
      </c>
      <c r="H786" s="29">
        <v>27798</v>
      </c>
      <c r="I786" s="29">
        <v>0</v>
      </c>
      <c r="J786" s="292">
        <v>5003.6400000000003</v>
      </c>
      <c r="K786" s="29">
        <v>32801.64</v>
      </c>
      <c r="L786" s="29">
        <v>0</v>
      </c>
      <c r="M786" s="29">
        <v>1</v>
      </c>
      <c r="N786" s="29">
        <v>328.01639999999998</v>
      </c>
      <c r="O786" s="29">
        <v>12519</v>
      </c>
      <c r="P786" s="29">
        <v>964967</v>
      </c>
    </row>
    <row r="789" spans="1:21">
      <c r="B789" s="59"/>
      <c r="C789" s="59"/>
      <c r="D789" s="59" t="s">
        <v>792</v>
      </c>
      <c r="E789" s="59"/>
      <c r="F789" s="59"/>
      <c r="G789" s="59"/>
      <c r="H789" s="59"/>
      <c r="I789" s="59"/>
      <c r="J789" s="293"/>
      <c r="K789" s="59"/>
    </row>
    <row r="790" spans="1:21">
      <c r="B790" s="59"/>
      <c r="C790" s="59"/>
      <c r="D790" s="59"/>
      <c r="E790" s="59"/>
      <c r="F790" s="59"/>
      <c r="G790" s="59"/>
      <c r="H790" s="59"/>
      <c r="I790" s="59"/>
      <c r="J790" s="293"/>
      <c r="K790" s="59"/>
    </row>
    <row r="791" spans="1:21">
      <c r="B791" s="264" t="s">
        <v>369</v>
      </c>
      <c r="C791" s="264" t="s">
        <v>370</v>
      </c>
      <c r="D791" s="264" t="s">
        <v>371</v>
      </c>
      <c r="E791" s="264" t="s">
        <v>372</v>
      </c>
      <c r="F791" s="264" t="s">
        <v>373</v>
      </c>
      <c r="G791" s="264" t="s">
        <v>393</v>
      </c>
      <c r="H791" s="264" t="s">
        <v>375</v>
      </c>
      <c r="I791" s="264" t="s">
        <v>376</v>
      </c>
      <c r="J791" s="294" t="s">
        <v>377</v>
      </c>
      <c r="K791" s="264" t="s">
        <v>378</v>
      </c>
    </row>
    <row r="792" spans="1:21">
      <c r="A792" s="29">
        <v>1</v>
      </c>
      <c r="B792" s="111">
        <v>4</v>
      </c>
      <c r="C792" s="111">
        <v>25372</v>
      </c>
      <c r="D792" s="111" t="s">
        <v>766</v>
      </c>
      <c r="E792" s="111" t="s">
        <v>448</v>
      </c>
      <c r="F792" s="265">
        <v>42090</v>
      </c>
      <c r="G792" s="265">
        <v>42161</v>
      </c>
      <c r="H792" s="111">
        <v>98.65</v>
      </c>
      <c r="I792" s="266">
        <f t="shared" ref="I792:I823" si="43">S792/1.18</f>
        <v>6.7881355932203391</v>
      </c>
      <c r="J792" s="295">
        <v>1</v>
      </c>
      <c r="K792" s="266">
        <f t="shared" ref="K792:K823" si="44">(H792-I792)*J792%</f>
        <v>0.91861864406779659</v>
      </c>
      <c r="M792" s="29">
        <f t="shared" ref="M792:M823" si="45">G792-F792</f>
        <v>71</v>
      </c>
      <c r="P792" s="29">
        <v>0</v>
      </c>
      <c r="Q792" s="29">
        <v>17.760000000000002</v>
      </c>
      <c r="R792" s="29">
        <v>116.41</v>
      </c>
      <c r="S792" s="29">
        <v>8.01</v>
      </c>
      <c r="T792" s="29">
        <v>1</v>
      </c>
      <c r="U792" s="29">
        <v>1.0840000000000001</v>
      </c>
    </row>
    <row r="793" spans="1:21">
      <c r="A793" s="29">
        <v>2</v>
      </c>
      <c r="B793" s="111">
        <v>4</v>
      </c>
      <c r="C793" s="111">
        <v>25406</v>
      </c>
      <c r="D793" s="111" t="s">
        <v>757</v>
      </c>
      <c r="E793" s="111" t="s">
        <v>448</v>
      </c>
      <c r="F793" s="265">
        <v>42091</v>
      </c>
      <c r="G793" s="265">
        <v>42161</v>
      </c>
      <c r="H793" s="111">
        <v>507.15</v>
      </c>
      <c r="I793" s="266">
        <f t="shared" si="43"/>
        <v>155</v>
      </c>
      <c r="J793" s="295">
        <v>1</v>
      </c>
      <c r="K793" s="266">
        <f t="shared" si="44"/>
        <v>3.5214999999999996</v>
      </c>
      <c r="M793" s="29">
        <f t="shared" si="45"/>
        <v>70</v>
      </c>
      <c r="P793" s="29">
        <v>0</v>
      </c>
      <c r="Q793" s="29">
        <v>91.29</v>
      </c>
      <c r="R793" s="29">
        <v>598.44000000000005</v>
      </c>
      <c r="S793" s="29">
        <v>182.9</v>
      </c>
      <c r="T793" s="29">
        <v>1</v>
      </c>
      <c r="U793" s="29">
        <v>4.1554000000000002</v>
      </c>
    </row>
    <row r="794" spans="1:21">
      <c r="A794" s="29">
        <v>3</v>
      </c>
      <c r="B794" s="111">
        <v>4</v>
      </c>
      <c r="C794" s="111">
        <v>26262</v>
      </c>
      <c r="D794" s="111" t="s">
        <v>759</v>
      </c>
      <c r="E794" s="111" t="s">
        <v>448</v>
      </c>
      <c r="F794" s="265">
        <v>42104</v>
      </c>
      <c r="G794" s="265">
        <v>42178</v>
      </c>
      <c r="H794" s="111">
        <v>378.89</v>
      </c>
      <c r="I794" s="266">
        <f t="shared" si="43"/>
        <v>374.56779661016952</v>
      </c>
      <c r="J794" s="295">
        <v>1</v>
      </c>
      <c r="K794" s="266">
        <f t="shared" si="44"/>
        <v>4.3222033898304632E-2</v>
      </c>
      <c r="M794" s="29">
        <f t="shared" si="45"/>
        <v>74</v>
      </c>
      <c r="P794" s="29">
        <v>0</v>
      </c>
      <c r="Q794" s="29">
        <v>68.2</v>
      </c>
      <c r="R794" s="29">
        <v>447.09</v>
      </c>
      <c r="S794" s="29">
        <v>441.99</v>
      </c>
      <c r="T794" s="29">
        <v>1</v>
      </c>
      <c r="U794" s="29">
        <v>5.0999999999999997E-2</v>
      </c>
    </row>
    <row r="795" spans="1:21">
      <c r="A795" s="29">
        <v>4</v>
      </c>
      <c r="B795" s="111">
        <v>4</v>
      </c>
      <c r="C795" s="111">
        <v>26599</v>
      </c>
      <c r="D795" s="111" t="s">
        <v>758</v>
      </c>
      <c r="E795" s="111" t="s">
        <v>448</v>
      </c>
      <c r="F795" s="265">
        <v>42110</v>
      </c>
      <c r="G795" s="265">
        <v>42156</v>
      </c>
      <c r="H795" s="111">
        <v>1780.1</v>
      </c>
      <c r="I795" s="266">
        <f t="shared" si="43"/>
        <v>0</v>
      </c>
      <c r="J795" s="295">
        <v>1</v>
      </c>
      <c r="K795" s="266">
        <f t="shared" si="44"/>
        <v>17.800999999999998</v>
      </c>
      <c r="M795" s="29">
        <f t="shared" si="45"/>
        <v>46</v>
      </c>
      <c r="P795" s="29">
        <v>0</v>
      </c>
      <c r="Q795" s="29">
        <v>320.42</v>
      </c>
      <c r="R795" s="29">
        <v>2100.52</v>
      </c>
      <c r="S795" s="29">
        <v>0</v>
      </c>
      <c r="T795" s="29">
        <v>1</v>
      </c>
      <c r="U795" s="29">
        <v>21.005199999999999</v>
      </c>
    </row>
    <row r="796" spans="1:21">
      <c r="A796" s="29">
        <v>5</v>
      </c>
      <c r="B796" s="111">
        <v>4</v>
      </c>
      <c r="C796" s="111">
        <v>26598</v>
      </c>
      <c r="D796" s="111" t="s">
        <v>758</v>
      </c>
      <c r="E796" s="111" t="s">
        <v>448</v>
      </c>
      <c r="F796" s="265">
        <v>42110</v>
      </c>
      <c r="G796" s="265">
        <v>42156</v>
      </c>
      <c r="H796" s="111">
        <v>458.58</v>
      </c>
      <c r="I796" s="266">
        <f t="shared" si="43"/>
        <v>0</v>
      </c>
      <c r="J796" s="295">
        <v>1</v>
      </c>
      <c r="K796" s="266">
        <f t="shared" si="44"/>
        <v>4.5857999999999999</v>
      </c>
      <c r="M796" s="29">
        <f t="shared" si="45"/>
        <v>46</v>
      </c>
      <c r="P796" s="29">
        <v>0</v>
      </c>
      <c r="Q796" s="29">
        <v>82.54</v>
      </c>
      <c r="R796" s="29">
        <v>541.12</v>
      </c>
      <c r="S796" s="29">
        <v>0</v>
      </c>
      <c r="T796" s="29">
        <v>1</v>
      </c>
      <c r="U796" s="29">
        <v>5.4112</v>
      </c>
    </row>
    <row r="797" spans="1:21">
      <c r="A797" s="29">
        <v>6</v>
      </c>
      <c r="B797" s="111">
        <v>4</v>
      </c>
      <c r="C797" s="111">
        <v>26615</v>
      </c>
      <c r="D797" s="111" t="s">
        <v>758</v>
      </c>
      <c r="E797" s="111" t="s">
        <v>448</v>
      </c>
      <c r="F797" s="265">
        <v>42110</v>
      </c>
      <c r="G797" s="265">
        <v>42156</v>
      </c>
      <c r="H797" s="111">
        <v>1269.18</v>
      </c>
      <c r="I797" s="266">
        <f t="shared" si="43"/>
        <v>0</v>
      </c>
      <c r="J797" s="295">
        <v>1</v>
      </c>
      <c r="K797" s="266">
        <f t="shared" si="44"/>
        <v>12.691800000000001</v>
      </c>
      <c r="M797" s="29">
        <f t="shared" si="45"/>
        <v>46</v>
      </c>
      <c r="P797" s="29">
        <v>0</v>
      </c>
      <c r="Q797" s="29">
        <v>228.45</v>
      </c>
      <c r="R797" s="29">
        <v>1497.63</v>
      </c>
      <c r="S797" s="29">
        <v>0</v>
      </c>
      <c r="T797" s="29">
        <v>1</v>
      </c>
      <c r="U797" s="29">
        <v>14.9763</v>
      </c>
    </row>
    <row r="798" spans="1:21">
      <c r="A798" s="29">
        <v>7</v>
      </c>
      <c r="B798" s="111">
        <v>4</v>
      </c>
      <c r="C798" s="111">
        <v>26637</v>
      </c>
      <c r="D798" s="111" t="s">
        <v>758</v>
      </c>
      <c r="E798" s="111" t="s">
        <v>448</v>
      </c>
      <c r="F798" s="265">
        <v>42110</v>
      </c>
      <c r="G798" s="265">
        <v>42156</v>
      </c>
      <c r="H798" s="111">
        <v>8232.49</v>
      </c>
      <c r="I798" s="266">
        <f t="shared" si="43"/>
        <v>0</v>
      </c>
      <c r="J798" s="295">
        <v>1</v>
      </c>
      <c r="K798" s="266">
        <f t="shared" si="44"/>
        <v>82.3249</v>
      </c>
      <c r="M798" s="29">
        <f t="shared" si="45"/>
        <v>46</v>
      </c>
      <c r="P798" s="29">
        <v>0</v>
      </c>
      <c r="Q798" s="29">
        <v>1481.85</v>
      </c>
      <c r="R798" s="29">
        <v>9714.34</v>
      </c>
      <c r="S798" s="29">
        <v>0</v>
      </c>
      <c r="T798" s="29">
        <v>1</v>
      </c>
      <c r="U798" s="29">
        <v>97.1434</v>
      </c>
    </row>
    <row r="799" spans="1:21">
      <c r="A799" s="29">
        <v>8</v>
      </c>
      <c r="B799" s="111">
        <v>4</v>
      </c>
      <c r="C799" s="111">
        <v>26683</v>
      </c>
      <c r="D799" s="111" t="s">
        <v>768</v>
      </c>
      <c r="E799" s="111" t="s">
        <v>448</v>
      </c>
      <c r="F799" s="265">
        <v>42111</v>
      </c>
      <c r="G799" s="265">
        <v>42185</v>
      </c>
      <c r="H799" s="111">
        <v>356.66</v>
      </c>
      <c r="I799" s="266">
        <f t="shared" si="43"/>
        <v>0</v>
      </c>
      <c r="J799" s="295">
        <v>1</v>
      </c>
      <c r="K799" s="266">
        <f t="shared" si="44"/>
        <v>3.5666000000000002</v>
      </c>
      <c r="M799" s="29">
        <f t="shared" si="45"/>
        <v>74</v>
      </c>
      <c r="P799" s="29">
        <v>0</v>
      </c>
      <c r="Q799" s="29">
        <v>64.2</v>
      </c>
      <c r="R799" s="29">
        <v>420.86</v>
      </c>
      <c r="S799" s="29">
        <v>0</v>
      </c>
      <c r="T799" s="29">
        <v>1</v>
      </c>
      <c r="U799" s="29">
        <v>4.2085999999999997</v>
      </c>
    </row>
    <row r="800" spans="1:21">
      <c r="A800" s="29">
        <v>9</v>
      </c>
      <c r="B800" s="111">
        <v>4</v>
      </c>
      <c r="C800" s="111">
        <v>26682</v>
      </c>
      <c r="D800" s="111" t="s">
        <v>768</v>
      </c>
      <c r="E800" s="111" t="s">
        <v>448</v>
      </c>
      <c r="F800" s="265">
        <v>42111</v>
      </c>
      <c r="G800" s="265">
        <v>42185</v>
      </c>
      <c r="H800" s="111">
        <v>913.17</v>
      </c>
      <c r="I800" s="266">
        <f t="shared" si="43"/>
        <v>0</v>
      </c>
      <c r="J800" s="295">
        <v>1</v>
      </c>
      <c r="K800" s="266">
        <f t="shared" si="44"/>
        <v>9.1317000000000004</v>
      </c>
      <c r="M800" s="29">
        <f t="shared" si="45"/>
        <v>74</v>
      </c>
      <c r="P800" s="29">
        <v>0</v>
      </c>
      <c r="Q800" s="29">
        <v>164.37</v>
      </c>
      <c r="R800" s="29">
        <v>1077.54</v>
      </c>
      <c r="S800" s="29">
        <v>0</v>
      </c>
      <c r="T800" s="29">
        <v>1</v>
      </c>
      <c r="U800" s="29">
        <v>10.775399999999999</v>
      </c>
    </row>
    <row r="801" spans="1:21">
      <c r="A801" s="29">
        <v>10</v>
      </c>
      <c r="B801" s="111">
        <v>4</v>
      </c>
      <c r="C801" s="111">
        <v>26796</v>
      </c>
      <c r="D801" s="111" t="s">
        <v>758</v>
      </c>
      <c r="E801" s="111" t="s">
        <v>448</v>
      </c>
      <c r="F801" s="265">
        <v>42114</v>
      </c>
      <c r="G801" s="265">
        <v>42156</v>
      </c>
      <c r="H801" s="111">
        <v>188.03</v>
      </c>
      <c r="I801" s="266">
        <f t="shared" si="43"/>
        <v>0</v>
      </c>
      <c r="J801" s="295">
        <v>1</v>
      </c>
      <c r="K801" s="266">
        <f t="shared" si="44"/>
        <v>1.8803000000000001</v>
      </c>
      <c r="M801" s="29">
        <f t="shared" si="45"/>
        <v>42</v>
      </c>
      <c r="P801" s="29">
        <v>0</v>
      </c>
      <c r="Q801" s="29">
        <v>33.85</v>
      </c>
      <c r="R801" s="29">
        <v>221.88</v>
      </c>
      <c r="S801" s="29">
        <v>0</v>
      </c>
      <c r="T801" s="29">
        <v>1</v>
      </c>
      <c r="U801" s="29">
        <v>2.2187999999999999</v>
      </c>
    </row>
    <row r="802" spans="1:21">
      <c r="A802" s="29">
        <v>11</v>
      </c>
      <c r="B802" s="111">
        <v>4</v>
      </c>
      <c r="C802" s="111">
        <v>26762</v>
      </c>
      <c r="D802" s="111" t="s">
        <v>758</v>
      </c>
      <c r="E802" s="111" t="s">
        <v>448</v>
      </c>
      <c r="F802" s="265">
        <v>42112</v>
      </c>
      <c r="G802" s="265">
        <v>42156</v>
      </c>
      <c r="H802" s="111">
        <v>2385.87</v>
      </c>
      <c r="I802" s="266">
        <f t="shared" si="43"/>
        <v>0</v>
      </c>
      <c r="J802" s="295">
        <v>1</v>
      </c>
      <c r="K802" s="266">
        <f t="shared" si="44"/>
        <v>23.858699999999999</v>
      </c>
      <c r="M802" s="29">
        <f t="shared" si="45"/>
        <v>44</v>
      </c>
      <c r="P802" s="29">
        <v>0</v>
      </c>
      <c r="Q802" s="29">
        <v>429.46</v>
      </c>
      <c r="R802" s="29">
        <v>2815.33</v>
      </c>
      <c r="S802" s="29">
        <v>0</v>
      </c>
      <c r="T802" s="29">
        <v>1</v>
      </c>
      <c r="U802" s="29">
        <v>28.153300000000002</v>
      </c>
    </row>
    <row r="803" spans="1:21">
      <c r="A803" s="29">
        <v>12</v>
      </c>
      <c r="B803" s="111">
        <v>4</v>
      </c>
      <c r="C803" s="111">
        <v>26856</v>
      </c>
      <c r="D803" s="111" t="s">
        <v>759</v>
      </c>
      <c r="E803" s="111" t="s">
        <v>448</v>
      </c>
      <c r="F803" s="265">
        <v>42114</v>
      </c>
      <c r="G803" s="265">
        <v>42164</v>
      </c>
      <c r="H803" s="111">
        <v>2261.9299999999998</v>
      </c>
      <c r="I803" s="266">
        <f t="shared" si="43"/>
        <v>0</v>
      </c>
      <c r="J803" s="295">
        <v>1</v>
      </c>
      <c r="K803" s="266">
        <f t="shared" si="44"/>
        <v>22.619299999999999</v>
      </c>
      <c r="M803" s="29">
        <f t="shared" si="45"/>
        <v>50</v>
      </c>
      <c r="P803" s="29">
        <v>0</v>
      </c>
      <c r="Q803" s="29">
        <v>407.15</v>
      </c>
      <c r="R803" s="29">
        <v>2669.08</v>
      </c>
      <c r="S803" s="29">
        <v>0</v>
      </c>
      <c r="T803" s="29">
        <v>1</v>
      </c>
      <c r="U803" s="29">
        <v>26.690799999999999</v>
      </c>
    </row>
    <row r="804" spans="1:21">
      <c r="A804" s="29">
        <v>13</v>
      </c>
      <c r="B804" s="111">
        <v>4</v>
      </c>
      <c r="C804" s="111">
        <v>26813</v>
      </c>
      <c r="D804" s="111" t="s">
        <v>758</v>
      </c>
      <c r="E804" s="111" t="s">
        <v>448</v>
      </c>
      <c r="F804" s="265">
        <v>42114</v>
      </c>
      <c r="G804" s="265">
        <v>42156</v>
      </c>
      <c r="H804" s="111">
        <v>369.01</v>
      </c>
      <c r="I804" s="266">
        <f t="shared" si="43"/>
        <v>0</v>
      </c>
      <c r="J804" s="295">
        <v>1</v>
      </c>
      <c r="K804" s="266">
        <f t="shared" si="44"/>
        <v>3.6901000000000002</v>
      </c>
      <c r="M804" s="29">
        <f t="shared" si="45"/>
        <v>42</v>
      </c>
      <c r="P804" s="29">
        <v>0</v>
      </c>
      <c r="Q804" s="29">
        <v>66.42</v>
      </c>
      <c r="R804" s="29">
        <v>435.43</v>
      </c>
      <c r="S804" s="29">
        <v>0</v>
      </c>
      <c r="T804" s="29">
        <v>1</v>
      </c>
      <c r="U804" s="29">
        <v>4.3543000000000003</v>
      </c>
    </row>
    <row r="805" spans="1:21">
      <c r="A805" s="29">
        <v>14</v>
      </c>
      <c r="B805" s="111">
        <v>4</v>
      </c>
      <c r="C805" s="111">
        <v>26838</v>
      </c>
      <c r="D805" s="111" t="s">
        <v>758</v>
      </c>
      <c r="E805" s="111" t="s">
        <v>448</v>
      </c>
      <c r="F805" s="265">
        <v>42114</v>
      </c>
      <c r="G805" s="265">
        <v>42156</v>
      </c>
      <c r="H805" s="111">
        <v>1946.15</v>
      </c>
      <c r="I805" s="266">
        <f t="shared" si="43"/>
        <v>0</v>
      </c>
      <c r="J805" s="295">
        <v>1</v>
      </c>
      <c r="K805" s="266">
        <f t="shared" si="44"/>
        <v>19.461500000000001</v>
      </c>
      <c r="M805" s="29">
        <f t="shared" si="45"/>
        <v>42</v>
      </c>
      <c r="P805" s="29">
        <v>0</v>
      </c>
      <c r="Q805" s="29">
        <v>350.31</v>
      </c>
      <c r="R805" s="29">
        <v>2296.46</v>
      </c>
      <c r="S805" s="29">
        <v>0</v>
      </c>
      <c r="T805" s="29">
        <v>1</v>
      </c>
      <c r="U805" s="29">
        <v>22.964600000000001</v>
      </c>
    </row>
    <row r="806" spans="1:21">
      <c r="A806" s="29">
        <v>15</v>
      </c>
      <c r="B806" s="111">
        <v>4</v>
      </c>
      <c r="C806" s="111">
        <v>26886</v>
      </c>
      <c r="D806" s="111" t="s">
        <v>758</v>
      </c>
      <c r="E806" s="111" t="s">
        <v>448</v>
      </c>
      <c r="F806" s="265">
        <v>42115</v>
      </c>
      <c r="G806" s="265">
        <v>42156</v>
      </c>
      <c r="H806" s="111">
        <v>334.09</v>
      </c>
      <c r="I806" s="266">
        <f t="shared" si="43"/>
        <v>0</v>
      </c>
      <c r="J806" s="295">
        <v>1</v>
      </c>
      <c r="K806" s="266">
        <f t="shared" si="44"/>
        <v>3.3409</v>
      </c>
      <c r="M806" s="29">
        <f t="shared" si="45"/>
        <v>41</v>
      </c>
      <c r="P806" s="29">
        <v>0</v>
      </c>
      <c r="Q806" s="29">
        <v>60.14</v>
      </c>
      <c r="R806" s="29">
        <v>394.23</v>
      </c>
      <c r="S806" s="29">
        <v>0</v>
      </c>
      <c r="T806" s="29">
        <v>1</v>
      </c>
      <c r="U806" s="29">
        <v>3.9422999999999999</v>
      </c>
    </row>
    <row r="807" spans="1:21">
      <c r="A807" s="29">
        <v>16</v>
      </c>
      <c r="B807" s="111">
        <v>4</v>
      </c>
      <c r="C807" s="111">
        <v>26896</v>
      </c>
      <c r="D807" s="111" t="s">
        <v>758</v>
      </c>
      <c r="E807" s="111" t="s">
        <v>448</v>
      </c>
      <c r="F807" s="265">
        <v>42115</v>
      </c>
      <c r="G807" s="265">
        <v>42164</v>
      </c>
      <c r="H807" s="111">
        <v>4014.89</v>
      </c>
      <c r="I807" s="266">
        <f t="shared" si="43"/>
        <v>0</v>
      </c>
      <c r="J807" s="295">
        <v>1</v>
      </c>
      <c r="K807" s="266">
        <f t="shared" si="44"/>
        <v>40.148899999999998</v>
      </c>
      <c r="M807" s="29">
        <f t="shared" si="45"/>
        <v>49</v>
      </c>
      <c r="P807" s="29">
        <v>0</v>
      </c>
      <c r="Q807" s="29">
        <v>722.68</v>
      </c>
      <c r="R807" s="29">
        <v>4737.57</v>
      </c>
      <c r="S807" s="29">
        <v>0</v>
      </c>
      <c r="T807" s="29">
        <v>1</v>
      </c>
      <c r="U807" s="29">
        <v>47.375700000000002</v>
      </c>
    </row>
    <row r="808" spans="1:21">
      <c r="A808" s="29">
        <v>17</v>
      </c>
      <c r="B808" s="111">
        <v>4</v>
      </c>
      <c r="C808" s="111">
        <v>27059</v>
      </c>
      <c r="D808" s="111" t="s">
        <v>758</v>
      </c>
      <c r="E808" s="111" t="s">
        <v>448</v>
      </c>
      <c r="F808" s="265">
        <v>42117</v>
      </c>
      <c r="G808" s="265">
        <v>42164</v>
      </c>
      <c r="H808" s="111">
        <v>2582.52</v>
      </c>
      <c r="I808" s="266">
        <f t="shared" si="43"/>
        <v>0</v>
      </c>
      <c r="J808" s="295">
        <v>1</v>
      </c>
      <c r="K808" s="266">
        <f t="shared" si="44"/>
        <v>25.825199999999999</v>
      </c>
      <c r="M808" s="29">
        <f t="shared" si="45"/>
        <v>47</v>
      </c>
      <c r="P808" s="29">
        <v>0</v>
      </c>
      <c r="Q808" s="29">
        <v>464.85</v>
      </c>
      <c r="R808" s="29">
        <v>3047.37</v>
      </c>
      <c r="S808" s="29">
        <v>0</v>
      </c>
      <c r="T808" s="29">
        <v>1</v>
      </c>
      <c r="U808" s="29">
        <v>30.473700000000001</v>
      </c>
    </row>
    <row r="809" spans="1:21">
      <c r="A809" s="29">
        <v>18</v>
      </c>
      <c r="B809" s="111">
        <v>4</v>
      </c>
      <c r="C809" s="111">
        <v>27216</v>
      </c>
      <c r="D809" s="111" t="s">
        <v>758</v>
      </c>
      <c r="E809" s="111" t="s">
        <v>448</v>
      </c>
      <c r="F809" s="265">
        <v>42119</v>
      </c>
      <c r="G809" s="265">
        <v>42164</v>
      </c>
      <c r="H809" s="111">
        <v>1899.4</v>
      </c>
      <c r="I809" s="266">
        <f t="shared" si="43"/>
        <v>0</v>
      </c>
      <c r="J809" s="295">
        <v>1</v>
      </c>
      <c r="K809" s="266">
        <f t="shared" si="44"/>
        <v>18.994</v>
      </c>
      <c r="M809" s="29">
        <f t="shared" si="45"/>
        <v>45</v>
      </c>
      <c r="P809" s="29">
        <v>0</v>
      </c>
      <c r="Q809" s="29">
        <v>341.89</v>
      </c>
      <c r="R809" s="29">
        <v>2241.29</v>
      </c>
      <c r="S809" s="29">
        <v>0</v>
      </c>
      <c r="T809" s="29">
        <v>1</v>
      </c>
      <c r="U809" s="29">
        <v>22.4129</v>
      </c>
    </row>
    <row r="810" spans="1:21">
      <c r="A810" s="29">
        <v>19</v>
      </c>
      <c r="B810" s="111">
        <v>4</v>
      </c>
      <c r="C810" s="111">
        <v>27302</v>
      </c>
      <c r="D810" s="111" t="s">
        <v>758</v>
      </c>
      <c r="E810" s="111" t="s">
        <v>448</v>
      </c>
      <c r="F810" s="265">
        <v>42121</v>
      </c>
      <c r="G810" s="265">
        <v>42164</v>
      </c>
      <c r="H810" s="111">
        <v>1168.5</v>
      </c>
      <c r="I810" s="266">
        <f t="shared" si="43"/>
        <v>0</v>
      </c>
      <c r="J810" s="295">
        <v>1</v>
      </c>
      <c r="K810" s="266">
        <f t="shared" si="44"/>
        <v>11.685</v>
      </c>
      <c r="M810" s="29">
        <f t="shared" si="45"/>
        <v>43</v>
      </c>
      <c r="P810" s="29">
        <v>0</v>
      </c>
      <c r="Q810" s="29">
        <v>210.33</v>
      </c>
      <c r="R810" s="29">
        <v>1378.83</v>
      </c>
      <c r="S810" s="29">
        <v>0</v>
      </c>
      <c r="T810" s="29">
        <v>1</v>
      </c>
      <c r="U810" s="29">
        <v>13.7883</v>
      </c>
    </row>
    <row r="811" spans="1:21">
      <c r="A811" s="29">
        <v>20</v>
      </c>
      <c r="B811" s="111">
        <v>4</v>
      </c>
      <c r="C811" s="111">
        <v>27301</v>
      </c>
      <c r="D811" s="111" t="s">
        <v>758</v>
      </c>
      <c r="E811" s="111" t="s">
        <v>448</v>
      </c>
      <c r="F811" s="265">
        <v>42121</v>
      </c>
      <c r="G811" s="265">
        <v>42164</v>
      </c>
      <c r="H811" s="111">
        <v>2503.41</v>
      </c>
      <c r="I811" s="266">
        <f t="shared" si="43"/>
        <v>0</v>
      </c>
      <c r="J811" s="295">
        <v>1</v>
      </c>
      <c r="K811" s="266">
        <f t="shared" si="44"/>
        <v>25.034099999999999</v>
      </c>
      <c r="M811" s="29">
        <f t="shared" si="45"/>
        <v>43</v>
      </c>
      <c r="P811" s="29">
        <v>323.19</v>
      </c>
      <c r="Q811" s="29">
        <v>392.44</v>
      </c>
      <c r="R811" s="29">
        <v>2895.85</v>
      </c>
      <c r="S811" s="29">
        <v>0</v>
      </c>
      <c r="T811" s="29">
        <v>1</v>
      </c>
      <c r="U811" s="29">
        <v>28.958500000000001</v>
      </c>
    </row>
    <row r="812" spans="1:21">
      <c r="A812" s="29">
        <v>21</v>
      </c>
      <c r="B812" s="111">
        <v>4</v>
      </c>
      <c r="C812" s="111">
        <v>27303</v>
      </c>
      <c r="D812" s="111" t="s">
        <v>758</v>
      </c>
      <c r="E812" s="111" t="s">
        <v>448</v>
      </c>
      <c r="F812" s="265">
        <v>42121</v>
      </c>
      <c r="G812" s="265">
        <v>42164</v>
      </c>
      <c r="H812" s="111">
        <v>3333.85</v>
      </c>
      <c r="I812" s="266">
        <f t="shared" si="43"/>
        <v>0</v>
      </c>
      <c r="J812" s="295">
        <v>1</v>
      </c>
      <c r="K812" s="266">
        <f t="shared" si="44"/>
        <v>33.338499999999996</v>
      </c>
      <c r="M812" s="29">
        <f t="shared" si="45"/>
        <v>43</v>
      </c>
      <c r="P812" s="29">
        <v>0</v>
      </c>
      <c r="Q812" s="29">
        <v>600.09</v>
      </c>
      <c r="R812" s="29">
        <v>3933.94</v>
      </c>
      <c r="S812" s="29">
        <v>0</v>
      </c>
      <c r="T812" s="29">
        <v>1</v>
      </c>
      <c r="U812" s="29">
        <v>39.339399999999998</v>
      </c>
    </row>
    <row r="813" spans="1:21">
      <c r="A813" s="29">
        <v>22</v>
      </c>
      <c r="B813" s="111">
        <v>4</v>
      </c>
      <c r="C813" s="111">
        <v>27330</v>
      </c>
      <c r="D813" s="111" t="s">
        <v>758</v>
      </c>
      <c r="E813" s="111" t="s">
        <v>448</v>
      </c>
      <c r="F813" s="265">
        <v>42121</v>
      </c>
      <c r="G813" s="265">
        <v>42164</v>
      </c>
      <c r="H813" s="111">
        <v>5795.81</v>
      </c>
      <c r="I813" s="266">
        <f t="shared" si="43"/>
        <v>0</v>
      </c>
      <c r="J813" s="295">
        <v>1</v>
      </c>
      <c r="K813" s="266">
        <f t="shared" si="44"/>
        <v>57.958100000000002</v>
      </c>
      <c r="M813" s="29">
        <f t="shared" si="45"/>
        <v>43</v>
      </c>
      <c r="P813" s="29">
        <v>0</v>
      </c>
      <c r="Q813" s="29">
        <v>1043.25</v>
      </c>
      <c r="R813" s="29">
        <v>6839.06</v>
      </c>
      <c r="S813" s="29">
        <v>0</v>
      </c>
      <c r="T813" s="29">
        <v>1</v>
      </c>
      <c r="U813" s="29">
        <v>68.390600000000006</v>
      </c>
    </row>
    <row r="814" spans="1:21">
      <c r="A814" s="29">
        <v>23</v>
      </c>
      <c r="B814" s="111">
        <v>4</v>
      </c>
      <c r="C814" s="111">
        <v>27416</v>
      </c>
      <c r="D814" s="111" t="s">
        <v>759</v>
      </c>
      <c r="E814" s="111" t="s">
        <v>448</v>
      </c>
      <c r="F814" s="265">
        <v>42122</v>
      </c>
      <c r="G814" s="265">
        <v>42177</v>
      </c>
      <c r="H814" s="111">
        <v>2262.33</v>
      </c>
      <c r="I814" s="266">
        <f t="shared" si="43"/>
        <v>0</v>
      </c>
      <c r="J814" s="295">
        <v>1</v>
      </c>
      <c r="K814" s="266">
        <f t="shared" si="44"/>
        <v>22.6233</v>
      </c>
      <c r="M814" s="29">
        <f t="shared" si="45"/>
        <v>55</v>
      </c>
      <c r="P814" s="29">
        <v>0</v>
      </c>
      <c r="Q814" s="29">
        <v>407.22</v>
      </c>
      <c r="R814" s="29">
        <v>2669.55</v>
      </c>
      <c r="S814" s="29">
        <v>0</v>
      </c>
      <c r="T814" s="29">
        <v>1</v>
      </c>
      <c r="U814" s="29">
        <v>26.695499999999999</v>
      </c>
    </row>
    <row r="815" spans="1:21">
      <c r="A815" s="29">
        <v>24</v>
      </c>
      <c r="B815" s="111">
        <v>4</v>
      </c>
      <c r="C815" s="111">
        <v>27474</v>
      </c>
      <c r="D815" s="111" t="s">
        <v>758</v>
      </c>
      <c r="E815" s="111" t="s">
        <v>448</v>
      </c>
      <c r="F815" s="265">
        <v>42122</v>
      </c>
      <c r="G815" s="265">
        <v>42164</v>
      </c>
      <c r="H815" s="111">
        <v>1211.6099999999999</v>
      </c>
      <c r="I815" s="266">
        <f t="shared" si="43"/>
        <v>0</v>
      </c>
      <c r="J815" s="295">
        <v>1</v>
      </c>
      <c r="K815" s="266">
        <f t="shared" si="44"/>
        <v>12.116099999999999</v>
      </c>
      <c r="M815" s="29">
        <f t="shared" si="45"/>
        <v>42</v>
      </c>
      <c r="P815" s="29">
        <v>0</v>
      </c>
      <c r="Q815" s="29">
        <v>218.09</v>
      </c>
      <c r="R815" s="29">
        <v>1429.7</v>
      </c>
      <c r="S815" s="29">
        <v>0</v>
      </c>
      <c r="T815" s="29">
        <v>1</v>
      </c>
      <c r="U815" s="29">
        <v>14.297000000000001</v>
      </c>
    </row>
    <row r="816" spans="1:21">
      <c r="A816" s="29">
        <v>25</v>
      </c>
      <c r="B816" s="111">
        <v>4</v>
      </c>
      <c r="C816" s="111">
        <v>27469</v>
      </c>
      <c r="D816" s="111" t="s">
        <v>758</v>
      </c>
      <c r="E816" s="111" t="s">
        <v>448</v>
      </c>
      <c r="F816" s="265">
        <v>42122</v>
      </c>
      <c r="G816" s="265">
        <v>42164</v>
      </c>
      <c r="H816" s="111">
        <v>1409.39</v>
      </c>
      <c r="I816" s="266">
        <f t="shared" si="43"/>
        <v>0</v>
      </c>
      <c r="J816" s="295">
        <v>1</v>
      </c>
      <c r="K816" s="266">
        <f t="shared" si="44"/>
        <v>14.093900000000001</v>
      </c>
      <c r="M816" s="29">
        <f t="shared" si="45"/>
        <v>42</v>
      </c>
      <c r="P816" s="29">
        <v>0</v>
      </c>
      <c r="Q816" s="29">
        <v>253.69</v>
      </c>
      <c r="R816" s="29">
        <v>1663.08</v>
      </c>
      <c r="S816" s="29">
        <v>0</v>
      </c>
      <c r="T816" s="29">
        <v>1</v>
      </c>
      <c r="U816" s="29">
        <v>16.630800000000001</v>
      </c>
    </row>
    <row r="817" spans="1:21">
      <c r="A817" s="29">
        <v>26</v>
      </c>
      <c r="B817" s="111">
        <v>4</v>
      </c>
      <c r="C817" s="111">
        <v>27473</v>
      </c>
      <c r="D817" s="111" t="s">
        <v>758</v>
      </c>
      <c r="E817" s="111" t="s">
        <v>448</v>
      </c>
      <c r="F817" s="265">
        <v>42122</v>
      </c>
      <c r="G817" s="265">
        <v>42164</v>
      </c>
      <c r="H817" s="111">
        <v>377.37</v>
      </c>
      <c r="I817" s="266">
        <f t="shared" si="43"/>
        <v>0</v>
      </c>
      <c r="J817" s="295">
        <v>1</v>
      </c>
      <c r="K817" s="266">
        <f t="shared" si="44"/>
        <v>3.7737000000000003</v>
      </c>
      <c r="M817" s="29">
        <f t="shared" si="45"/>
        <v>42</v>
      </c>
      <c r="P817" s="29">
        <v>0</v>
      </c>
      <c r="Q817" s="29">
        <v>67.930000000000007</v>
      </c>
      <c r="R817" s="29">
        <v>445.3</v>
      </c>
      <c r="S817" s="29">
        <v>0</v>
      </c>
      <c r="T817" s="29">
        <v>1</v>
      </c>
      <c r="U817" s="29">
        <v>4.4530000000000003</v>
      </c>
    </row>
    <row r="818" spans="1:21">
      <c r="A818" s="29">
        <v>27</v>
      </c>
      <c r="B818" s="111">
        <v>4</v>
      </c>
      <c r="C818" s="111">
        <v>27492</v>
      </c>
      <c r="D818" s="111" t="s">
        <v>758</v>
      </c>
      <c r="E818" s="111" t="s">
        <v>448</v>
      </c>
      <c r="F818" s="265">
        <v>42122</v>
      </c>
      <c r="G818" s="265">
        <v>42164</v>
      </c>
      <c r="H818" s="111">
        <v>10606.21</v>
      </c>
      <c r="I818" s="266">
        <f t="shared" si="43"/>
        <v>0</v>
      </c>
      <c r="J818" s="295">
        <v>1</v>
      </c>
      <c r="K818" s="266">
        <f t="shared" si="44"/>
        <v>106.06209999999999</v>
      </c>
      <c r="M818" s="29">
        <f t="shared" si="45"/>
        <v>42</v>
      </c>
      <c r="P818" s="29">
        <v>0</v>
      </c>
      <c r="Q818" s="29">
        <v>1909.12</v>
      </c>
      <c r="R818" s="29">
        <v>12515.33</v>
      </c>
      <c r="S818" s="29">
        <v>0</v>
      </c>
      <c r="T818" s="29">
        <v>1</v>
      </c>
      <c r="U818" s="29">
        <v>125.1533</v>
      </c>
    </row>
    <row r="819" spans="1:21">
      <c r="A819" s="29">
        <v>28</v>
      </c>
      <c r="B819" s="111">
        <v>4</v>
      </c>
      <c r="C819" s="111">
        <v>27497</v>
      </c>
      <c r="D819" s="111" t="s">
        <v>758</v>
      </c>
      <c r="E819" s="111" t="s">
        <v>448</v>
      </c>
      <c r="F819" s="265">
        <v>42122</v>
      </c>
      <c r="G819" s="265">
        <v>42164</v>
      </c>
      <c r="H819" s="111">
        <v>5623.08</v>
      </c>
      <c r="I819" s="266">
        <f t="shared" si="43"/>
        <v>0</v>
      </c>
      <c r="J819" s="295">
        <v>1</v>
      </c>
      <c r="K819" s="266">
        <f t="shared" si="44"/>
        <v>56.230800000000002</v>
      </c>
      <c r="M819" s="29">
        <f t="shared" si="45"/>
        <v>42</v>
      </c>
      <c r="P819" s="29">
        <v>0</v>
      </c>
      <c r="Q819" s="29">
        <v>1012.15</v>
      </c>
      <c r="R819" s="29">
        <v>6635.23</v>
      </c>
      <c r="S819" s="29">
        <v>0</v>
      </c>
      <c r="T819" s="29">
        <v>1</v>
      </c>
      <c r="U819" s="29">
        <v>66.3523</v>
      </c>
    </row>
    <row r="820" spans="1:21">
      <c r="A820" s="29">
        <v>29</v>
      </c>
      <c r="B820" s="111">
        <v>4</v>
      </c>
      <c r="C820" s="111">
        <v>27548</v>
      </c>
      <c r="D820" s="111" t="s">
        <v>758</v>
      </c>
      <c r="E820" s="111" t="s">
        <v>448</v>
      </c>
      <c r="F820" s="265">
        <v>42122</v>
      </c>
      <c r="G820" s="265">
        <v>42164</v>
      </c>
      <c r="H820" s="111">
        <v>1944</v>
      </c>
      <c r="I820" s="266">
        <f t="shared" si="43"/>
        <v>0</v>
      </c>
      <c r="J820" s="295">
        <v>1</v>
      </c>
      <c r="K820" s="266">
        <f t="shared" si="44"/>
        <v>19.440000000000001</v>
      </c>
      <c r="M820" s="29">
        <f t="shared" si="45"/>
        <v>42</v>
      </c>
      <c r="P820" s="29">
        <v>0</v>
      </c>
      <c r="Q820" s="29">
        <v>349.92</v>
      </c>
      <c r="R820" s="29">
        <v>2293.92</v>
      </c>
      <c r="S820" s="29">
        <v>0</v>
      </c>
      <c r="T820" s="29">
        <v>1</v>
      </c>
      <c r="U820" s="29">
        <v>22.9392</v>
      </c>
    </row>
    <row r="821" spans="1:21">
      <c r="A821" s="29">
        <v>30</v>
      </c>
      <c r="B821" s="111">
        <v>4</v>
      </c>
      <c r="C821" s="111">
        <v>27533</v>
      </c>
      <c r="D821" s="111" t="s">
        <v>759</v>
      </c>
      <c r="E821" s="111" t="s">
        <v>448</v>
      </c>
      <c r="F821" s="265">
        <v>42122</v>
      </c>
      <c r="G821" s="265">
        <v>42171</v>
      </c>
      <c r="H821" s="111">
        <v>491.4</v>
      </c>
      <c r="I821" s="266">
        <f t="shared" si="43"/>
        <v>0</v>
      </c>
      <c r="J821" s="295">
        <v>1</v>
      </c>
      <c r="K821" s="266">
        <f t="shared" si="44"/>
        <v>4.9139999999999997</v>
      </c>
      <c r="M821" s="29">
        <f t="shared" si="45"/>
        <v>49</v>
      </c>
      <c r="P821" s="29">
        <v>0</v>
      </c>
      <c r="Q821" s="29">
        <v>88.45</v>
      </c>
      <c r="R821" s="29">
        <v>579.85</v>
      </c>
      <c r="S821" s="29">
        <v>0</v>
      </c>
      <c r="T821" s="29">
        <v>1</v>
      </c>
      <c r="U821" s="29">
        <v>5.7984999999999998</v>
      </c>
    </row>
    <row r="822" spans="1:21">
      <c r="A822" s="29">
        <v>31</v>
      </c>
      <c r="B822" s="111">
        <v>4</v>
      </c>
      <c r="C822" s="111">
        <v>27677</v>
      </c>
      <c r="D822" s="111" t="s">
        <v>759</v>
      </c>
      <c r="E822" s="111" t="s">
        <v>448</v>
      </c>
      <c r="F822" s="265">
        <v>42123</v>
      </c>
      <c r="G822" s="265">
        <v>42171</v>
      </c>
      <c r="H822" s="111">
        <v>2264.5700000000002</v>
      </c>
      <c r="I822" s="266">
        <f t="shared" si="43"/>
        <v>0</v>
      </c>
      <c r="J822" s="295">
        <v>1</v>
      </c>
      <c r="K822" s="266">
        <f t="shared" si="44"/>
        <v>22.645700000000001</v>
      </c>
      <c r="M822" s="29">
        <f t="shared" si="45"/>
        <v>48</v>
      </c>
      <c r="P822" s="29">
        <v>0</v>
      </c>
      <c r="Q822" s="29">
        <v>407.62</v>
      </c>
      <c r="R822" s="29">
        <v>2672.19</v>
      </c>
      <c r="S822" s="29">
        <v>0</v>
      </c>
      <c r="T822" s="29">
        <v>1</v>
      </c>
      <c r="U822" s="29">
        <v>26.721900000000002</v>
      </c>
    </row>
    <row r="823" spans="1:21">
      <c r="A823" s="29">
        <v>32</v>
      </c>
      <c r="B823" s="111">
        <v>4</v>
      </c>
      <c r="C823" s="111">
        <v>27679</v>
      </c>
      <c r="D823" s="111" t="s">
        <v>759</v>
      </c>
      <c r="E823" s="111" t="s">
        <v>448</v>
      </c>
      <c r="F823" s="265">
        <v>42123</v>
      </c>
      <c r="G823" s="265">
        <v>42177</v>
      </c>
      <c r="H823" s="111">
        <v>1253.02</v>
      </c>
      <c r="I823" s="266">
        <f t="shared" si="43"/>
        <v>0</v>
      </c>
      <c r="J823" s="295">
        <v>1</v>
      </c>
      <c r="K823" s="266">
        <f t="shared" si="44"/>
        <v>12.530200000000001</v>
      </c>
      <c r="M823" s="29">
        <f t="shared" si="45"/>
        <v>54</v>
      </c>
      <c r="P823" s="29">
        <v>0</v>
      </c>
      <c r="Q823" s="29">
        <v>225.54</v>
      </c>
      <c r="R823" s="29">
        <v>1478.56</v>
      </c>
      <c r="S823" s="29">
        <v>0</v>
      </c>
      <c r="T823" s="29">
        <v>1</v>
      </c>
      <c r="U823" s="29">
        <v>14.785600000000001</v>
      </c>
    </row>
    <row r="824" spans="1:21">
      <c r="A824" s="29">
        <v>33</v>
      </c>
      <c r="B824" s="111">
        <v>4</v>
      </c>
      <c r="C824" s="111">
        <v>27678</v>
      </c>
      <c r="D824" s="111" t="s">
        <v>759</v>
      </c>
      <c r="E824" s="111" t="s">
        <v>448</v>
      </c>
      <c r="F824" s="265">
        <v>42123</v>
      </c>
      <c r="G824" s="265">
        <v>42177</v>
      </c>
      <c r="H824" s="111">
        <v>1951.82</v>
      </c>
      <c r="I824" s="266">
        <f t="shared" ref="I824:I855" si="46">S824/1.18</f>
        <v>0</v>
      </c>
      <c r="J824" s="295">
        <v>1</v>
      </c>
      <c r="K824" s="266">
        <f t="shared" ref="K824:K855" si="47">(H824-I824)*J824%</f>
        <v>19.5182</v>
      </c>
      <c r="M824" s="29">
        <f t="shared" ref="M824:M855" si="48">G824-F824</f>
        <v>54</v>
      </c>
      <c r="P824" s="29">
        <v>0</v>
      </c>
      <c r="Q824" s="29">
        <v>351.33</v>
      </c>
      <c r="R824" s="29">
        <v>2303.15</v>
      </c>
      <c r="S824" s="29">
        <v>0</v>
      </c>
      <c r="T824" s="29">
        <v>1</v>
      </c>
      <c r="U824" s="29">
        <v>23.031500000000001</v>
      </c>
    </row>
    <row r="825" spans="1:21">
      <c r="A825" s="29">
        <v>34</v>
      </c>
      <c r="B825" s="111">
        <v>4</v>
      </c>
      <c r="C825" s="111">
        <v>27697</v>
      </c>
      <c r="D825" s="111" t="s">
        <v>758</v>
      </c>
      <c r="E825" s="111" t="s">
        <v>448</v>
      </c>
      <c r="F825" s="265">
        <v>42123</v>
      </c>
      <c r="G825" s="265">
        <v>42164</v>
      </c>
      <c r="H825" s="111">
        <v>3546.27</v>
      </c>
      <c r="I825" s="266">
        <f t="shared" si="46"/>
        <v>0</v>
      </c>
      <c r="J825" s="295">
        <v>1</v>
      </c>
      <c r="K825" s="266">
        <f t="shared" si="47"/>
        <v>35.462699999999998</v>
      </c>
      <c r="M825" s="29">
        <f t="shared" si="48"/>
        <v>41</v>
      </c>
      <c r="P825" s="29">
        <v>0</v>
      </c>
      <c r="Q825" s="29">
        <v>638.33000000000004</v>
      </c>
      <c r="R825" s="29">
        <v>4184.6000000000004</v>
      </c>
      <c r="S825" s="29">
        <v>0</v>
      </c>
      <c r="T825" s="29">
        <v>1</v>
      </c>
      <c r="U825" s="29">
        <v>41.845999999999997</v>
      </c>
    </row>
    <row r="826" spans="1:21">
      <c r="A826" s="29">
        <v>35</v>
      </c>
      <c r="B826" s="111">
        <v>4</v>
      </c>
      <c r="C826" s="111">
        <v>27740</v>
      </c>
      <c r="D826" s="111" t="s">
        <v>758</v>
      </c>
      <c r="E826" s="111" t="s">
        <v>448</v>
      </c>
      <c r="F826" s="265">
        <v>42124</v>
      </c>
      <c r="G826" s="265">
        <v>42173</v>
      </c>
      <c r="H826" s="111">
        <v>3290.07</v>
      </c>
      <c r="I826" s="266">
        <f t="shared" si="46"/>
        <v>1008.7796610169491</v>
      </c>
      <c r="J826" s="295">
        <v>1</v>
      </c>
      <c r="K826" s="266">
        <f t="shared" si="47"/>
        <v>22.81290338983051</v>
      </c>
      <c r="M826" s="29">
        <f t="shared" si="48"/>
        <v>49</v>
      </c>
      <c r="P826" s="29">
        <v>0</v>
      </c>
      <c r="Q826" s="29">
        <v>592.21</v>
      </c>
      <c r="R826" s="29">
        <v>3882.28</v>
      </c>
      <c r="S826" s="29">
        <v>1190.3599999999999</v>
      </c>
      <c r="T826" s="29">
        <v>1</v>
      </c>
      <c r="U826" s="29">
        <v>26.9192</v>
      </c>
    </row>
    <row r="827" spans="1:21">
      <c r="A827" s="29">
        <v>36</v>
      </c>
      <c r="B827" s="111">
        <v>4</v>
      </c>
      <c r="C827" s="111">
        <v>27872</v>
      </c>
      <c r="D827" s="111" t="s">
        <v>758</v>
      </c>
      <c r="E827" s="111" t="s">
        <v>448</v>
      </c>
      <c r="F827" s="265">
        <v>42124</v>
      </c>
      <c r="G827" s="265">
        <v>42164</v>
      </c>
      <c r="H827" s="111">
        <v>102.72</v>
      </c>
      <c r="I827" s="266">
        <f t="shared" si="46"/>
        <v>0</v>
      </c>
      <c r="J827" s="295">
        <v>1</v>
      </c>
      <c r="K827" s="266">
        <f t="shared" si="47"/>
        <v>1.0272000000000001</v>
      </c>
      <c r="M827" s="29">
        <f t="shared" si="48"/>
        <v>40</v>
      </c>
      <c r="P827" s="29">
        <v>0</v>
      </c>
      <c r="Q827" s="29">
        <v>18.489999999999998</v>
      </c>
      <c r="R827" s="29">
        <v>121.21</v>
      </c>
      <c r="S827" s="29">
        <v>0</v>
      </c>
      <c r="T827" s="29">
        <v>1</v>
      </c>
      <c r="U827" s="29">
        <v>1.2121</v>
      </c>
    </row>
    <row r="828" spans="1:21">
      <c r="A828" s="29">
        <v>37</v>
      </c>
      <c r="B828" s="111">
        <v>4</v>
      </c>
      <c r="C828" s="111">
        <v>28393</v>
      </c>
      <c r="D828" s="111" t="s">
        <v>759</v>
      </c>
      <c r="E828" s="111" t="s">
        <v>448</v>
      </c>
      <c r="F828" s="265">
        <v>42135</v>
      </c>
      <c r="G828" s="265">
        <v>42185</v>
      </c>
      <c r="H828" s="111">
        <v>746.01</v>
      </c>
      <c r="I828" s="266">
        <f t="shared" si="46"/>
        <v>0</v>
      </c>
      <c r="J828" s="295">
        <v>1</v>
      </c>
      <c r="K828" s="266">
        <f t="shared" si="47"/>
        <v>7.4600999999999997</v>
      </c>
      <c r="M828" s="29">
        <f t="shared" si="48"/>
        <v>50</v>
      </c>
      <c r="P828" s="29">
        <v>0</v>
      </c>
      <c r="Q828" s="29">
        <v>134.28</v>
      </c>
      <c r="R828" s="29">
        <v>880.29</v>
      </c>
      <c r="S828" s="29">
        <v>0</v>
      </c>
      <c r="T828" s="29">
        <v>1</v>
      </c>
      <c r="U828" s="29">
        <v>8.8028999999999993</v>
      </c>
    </row>
    <row r="829" spans="1:21">
      <c r="A829" s="29">
        <v>38</v>
      </c>
      <c r="B829" s="111">
        <v>4</v>
      </c>
      <c r="C829" s="111">
        <v>28395</v>
      </c>
      <c r="D829" s="111" t="s">
        <v>757</v>
      </c>
      <c r="E829" s="111" t="s">
        <v>448</v>
      </c>
      <c r="F829" s="265">
        <v>42135</v>
      </c>
      <c r="G829" s="265">
        <v>42178</v>
      </c>
      <c r="H829" s="111">
        <v>122.59</v>
      </c>
      <c r="I829" s="266">
        <f t="shared" si="46"/>
        <v>0</v>
      </c>
      <c r="J829" s="295">
        <v>1</v>
      </c>
      <c r="K829" s="266">
        <f t="shared" si="47"/>
        <v>1.2259</v>
      </c>
      <c r="M829" s="29">
        <f t="shared" si="48"/>
        <v>43</v>
      </c>
      <c r="P829" s="29">
        <v>0</v>
      </c>
      <c r="Q829" s="29">
        <v>22.07</v>
      </c>
      <c r="R829" s="29">
        <v>144.66</v>
      </c>
      <c r="S829" s="29">
        <v>0</v>
      </c>
      <c r="T829" s="29">
        <v>1</v>
      </c>
      <c r="U829" s="29">
        <v>1.4466000000000001</v>
      </c>
    </row>
    <row r="830" spans="1:21">
      <c r="A830" s="29">
        <v>39</v>
      </c>
      <c r="B830" s="111">
        <v>4</v>
      </c>
      <c r="C830" s="111">
        <v>28020</v>
      </c>
      <c r="D830" s="111" t="s">
        <v>758</v>
      </c>
      <c r="E830" s="111" t="s">
        <v>448</v>
      </c>
      <c r="F830" s="265">
        <v>42128</v>
      </c>
      <c r="G830" s="265">
        <v>42173</v>
      </c>
      <c r="H830" s="111">
        <v>2769.51</v>
      </c>
      <c r="I830" s="266">
        <f t="shared" si="46"/>
        <v>0</v>
      </c>
      <c r="J830" s="295">
        <v>1</v>
      </c>
      <c r="K830" s="266">
        <f t="shared" si="47"/>
        <v>27.695100000000004</v>
      </c>
      <c r="M830" s="29">
        <f t="shared" si="48"/>
        <v>45</v>
      </c>
      <c r="P830" s="29">
        <v>0</v>
      </c>
      <c r="Q830" s="29">
        <v>498.51</v>
      </c>
      <c r="R830" s="29">
        <v>3268.02</v>
      </c>
      <c r="S830" s="29">
        <v>0</v>
      </c>
      <c r="T830" s="29">
        <v>1</v>
      </c>
      <c r="U830" s="29">
        <v>32.680199999999999</v>
      </c>
    </row>
    <row r="831" spans="1:21">
      <c r="A831" s="29">
        <v>40</v>
      </c>
      <c r="B831" s="111">
        <v>4</v>
      </c>
      <c r="C831" s="111">
        <v>28018</v>
      </c>
      <c r="D831" s="111" t="s">
        <v>759</v>
      </c>
      <c r="E831" s="111" t="s">
        <v>448</v>
      </c>
      <c r="F831" s="265">
        <v>42128</v>
      </c>
      <c r="G831" s="265">
        <v>42177</v>
      </c>
      <c r="H831" s="111">
        <v>1701.3</v>
      </c>
      <c r="I831" s="266">
        <f t="shared" si="46"/>
        <v>0</v>
      </c>
      <c r="J831" s="295">
        <v>1</v>
      </c>
      <c r="K831" s="266">
        <f t="shared" si="47"/>
        <v>17.012999999999998</v>
      </c>
      <c r="M831" s="29">
        <f t="shared" si="48"/>
        <v>49</v>
      </c>
      <c r="P831" s="29">
        <v>0</v>
      </c>
      <c r="Q831" s="29">
        <v>306.23</v>
      </c>
      <c r="R831" s="29">
        <v>2007.53</v>
      </c>
      <c r="S831" s="29">
        <v>0</v>
      </c>
      <c r="T831" s="29">
        <v>1</v>
      </c>
      <c r="U831" s="29">
        <v>20.075299999999999</v>
      </c>
    </row>
    <row r="832" spans="1:21">
      <c r="A832" s="29">
        <v>41</v>
      </c>
      <c r="B832" s="111">
        <v>4</v>
      </c>
      <c r="C832" s="111">
        <v>28017</v>
      </c>
      <c r="D832" s="111" t="s">
        <v>759</v>
      </c>
      <c r="E832" s="111" t="s">
        <v>448</v>
      </c>
      <c r="F832" s="265">
        <v>42128</v>
      </c>
      <c r="G832" s="265">
        <v>42177</v>
      </c>
      <c r="H832" s="111">
        <v>202.39</v>
      </c>
      <c r="I832" s="266">
        <f t="shared" si="46"/>
        <v>0</v>
      </c>
      <c r="J832" s="295">
        <v>1</v>
      </c>
      <c r="K832" s="266">
        <f t="shared" si="47"/>
        <v>2.0238999999999998</v>
      </c>
      <c r="M832" s="29">
        <f t="shared" si="48"/>
        <v>49</v>
      </c>
      <c r="P832" s="29">
        <v>0</v>
      </c>
      <c r="Q832" s="29">
        <v>36.43</v>
      </c>
      <c r="R832" s="29">
        <v>238.82</v>
      </c>
      <c r="S832" s="29">
        <v>0</v>
      </c>
      <c r="T832" s="29">
        <v>1</v>
      </c>
      <c r="U832" s="29">
        <v>2.3881999999999999</v>
      </c>
    </row>
    <row r="833" spans="1:21">
      <c r="A833" s="29">
        <v>42</v>
      </c>
      <c r="B833" s="111">
        <v>4</v>
      </c>
      <c r="C833" s="111">
        <v>28019</v>
      </c>
      <c r="D833" s="111" t="s">
        <v>758</v>
      </c>
      <c r="E833" s="111" t="s">
        <v>448</v>
      </c>
      <c r="F833" s="265">
        <v>42128</v>
      </c>
      <c r="G833" s="265">
        <v>42173</v>
      </c>
      <c r="H833" s="111">
        <v>238.97</v>
      </c>
      <c r="I833" s="266">
        <f t="shared" si="46"/>
        <v>0</v>
      </c>
      <c r="J833" s="295">
        <v>1</v>
      </c>
      <c r="K833" s="266">
        <f t="shared" si="47"/>
        <v>2.3896999999999999</v>
      </c>
      <c r="M833" s="29">
        <f t="shared" si="48"/>
        <v>45</v>
      </c>
      <c r="P833" s="29">
        <v>0</v>
      </c>
      <c r="Q833" s="29">
        <v>43.01</v>
      </c>
      <c r="R833" s="29">
        <v>281.98</v>
      </c>
      <c r="S833" s="29">
        <v>0</v>
      </c>
      <c r="T833" s="29">
        <v>1</v>
      </c>
      <c r="U833" s="29">
        <v>2.8197999999999999</v>
      </c>
    </row>
    <row r="834" spans="1:21">
      <c r="A834" s="29">
        <v>43</v>
      </c>
      <c r="B834" s="111">
        <v>4</v>
      </c>
      <c r="C834" s="111">
        <v>28062</v>
      </c>
      <c r="D834" s="111" t="s">
        <v>757</v>
      </c>
      <c r="E834" s="111" t="s">
        <v>448</v>
      </c>
      <c r="F834" s="265">
        <v>42129</v>
      </c>
      <c r="G834" s="265">
        <v>42178</v>
      </c>
      <c r="H834" s="111">
        <v>246.26</v>
      </c>
      <c r="I834" s="266">
        <f t="shared" si="46"/>
        <v>0</v>
      </c>
      <c r="J834" s="295">
        <v>1</v>
      </c>
      <c r="K834" s="266">
        <f t="shared" si="47"/>
        <v>2.4626000000000001</v>
      </c>
      <c r="M834" s="29">
        <f t="shared" si="48"/>
        <v>49</v>
      </c>
      <c r="P834" s="29">
        <v>0</v>
      </c>
      <c r="Q834" s="29">
        <v>44.33</v>
      </c>
      <c r="R834" s="29">
        <v>290.58999999999997</v>
      </c>
      <c r="S834" s="29">
        <v>0</v>
      </c>
      <c r="T834" s="29">
        <v>1</v>
      </c>
      <c r="U834" s="29">
        <v>2.9058999999999999</v>
      </c>
    </row>
    <row r="835" spans="1:21">
      <c r="A835" s="29">
        <v>44</v>
      </c>
      <c r="B835" s="111">
        <v>4</v>
      </c>
      <c r="C835" s="111">
        <v>28045</v>
      </c>
      <c r="D835" s="111" t="s">
        <v>759</v>
      </c>
      <c r="E835" s="111" t="s">
        <v>448</v>
      </c>
      <c r="F835" s="265">
        <v>42129</v>
      </c>
      <c r="G835" s="265">
        <v>42177</v>
      </c>
      <c r="H835" s="111">
        <v>340.56</v>
      </c>
      <c r="I835" s="266">
        <f t="shared" si="46"/>
        <v>0</v>
      </c>
      <c r="J835" s="295">
        <v>1</v>
      </c>
      <c r="K835" s="266">
        <f t="shared" si="47"/>
        <v>3.4056000000000002</v>
      </c>
      <c r="M835" s="29">
        <f t="shared" si="48"/>
        <v>48</v>
      </c>
      <c r="P835" s="29">
        <v>0</v>
      </c>
      <c r="Q835" s="29">
        <v>61.3</v>
      </c>
      <c r="R835" s="29">
        <v>401.86</v>
      </c>
      <c r="S835" s="29">
        <v>0</v>
      </c>
      <c r="T835" s="29">
        <v>1</v>
      </c>
      <c r="U835" s="29">
        <v>4.0186000000000002</v>
      </c>
    </row>
    <row r="836" spans="1:21">
      <c r="A836" s="29">
        <v>45</v>
      </c>
      <c r="B836" s="111">
        <v>4</v>
      </c>
      <c r="C836" s="111">
        <v>28064</v>
      </c>
      <c r="D836" s="111" t="s">
        <v>759</v>
      </c>
      <c r="E836" s="111" t="s">
        <v>448</v>
      </c>
      <c r="F836" s="265">
        <v>42129</v>
      </c>
      <c r="G836" s="265">
        <v>42185</v>
      </c>
      <c r="H836" s="111">
        <v>2441.25</v>
      </c>
      <c r="I836" s="266">
        <f t="shared" si="46"/>
        <v>0</v>
      </c>
      <c r="J836" s="295">
        <v>1</v>
      </c>
      <c r="K836" s="266">
        <f t="shared" si="47"/>
        <v>24.412500000000001</v>
      </c>
      <c r="M836" s="29">
        <f t="shared" si="48"/>
        <v>56</v>
      </c>
      <c r="P836" s="29">
        <v>0</v>
      </c>
      <c r="Q836" s="29">
        <v>439.43</v>
      </c>
      <c r="R836" s="29">
        <v>2880.68</v>
      </c>
      <c r="S836" s="29">
        <v>0</v>
      </c>
      <c r="T836" s="29">
        <v>1</v>
      </c>
      <c r="U836" s="29">
        <v>28.806799999999999</v>
      </c>
    </row>
    <row r="837" spans="1:21">
      <c r="A837" s="29">
        <v>46</v>
      </c>
      <c r="B837" s="111">
        <v>4</v>
      </c>
      <c r="C837" s="111">
        <v>28066</v>
      </c>
      <c r="D837" s="111" t="s">
        <v>758</v>
      </c>
      <c r="E837" s="111" t="s">
        <v>448</v>
      </c>
      <c r="F837" s="265">
        <v>42129</v>
      </c>
      <c r="G837" s="265">
        <v>42173</v>
      </c>
      <c r="H837" s="111">
        <v>253.2</v>
      </c>
      <c r="I837" s="266">
        <f t="shared" si="46"/>
        <v>0</v>
      </c>
      <c r="J837" s="295">
        <v>1</v>
      </c>
      <c r="K837" s="266">
        <f t="shared" si="47"/>
        <v>2.532</v>
      </c>
      <c r="M837" s="29">
        <f t="shared" si="48"/>
        <v>44</v>
      </c>
      <c r="P837" s="29">
        <v>0</v>
      </c>
      <c r="Q837" s="29">
        <v>45.58</v>
      </c>
      <c r="R837" s="29">
        <v>298.77999999999997</v>
      </c>
      <c r="S837" s="29">
        <v>0</v>
      </c>
      <c r="T837" s="29">
        <v>1</v>
      </c>
      <c r="U837" s="29">
        <v>2.9878</v>
      </c>
    </row>
    <row r="838" spans="1:21">
      <c r="A838" s="29">
        <v>47</v>
      </c>
      <c r="B838" s="111">
        <v>4</v>
      </c>
      <c r="C838" s="111">
        <v>28046</v>
      </c>
      <c r="D838" s="111" t="s">
        <v>759</v>
      </c>
      <c r="E838" s="111" t="s">
        <v>448</v>
      </c>
      <c r="F838" s="265">
        <v>42129</v>
      </c>
      <c r="G838" s="265">
        <v>42177</v>
      </c>
      <c r="H838" s="111">
        <v>1056.3</v>
      </c>
      <c r="I838" s="266">
        <f t="shared" si="46"/>
        <v>0</v>
      </c>
      <c r="J838" s="295">
        <v>1</v>
      </c>
      <c r="K838" s="266">
        <f t="shared" si="47"/>
        <v>10.563000000000001</v>
      </c>
      <c r="M838" s="29">
        <f t="shared" si="48"/>
        <v>48</v>
      </c>
      <c r="P838" s="29">
        <v>0</v>
      </c>
      <c r="Q838" s="29">
        <v>190.13</v>
      </c>
      <c r="R838" s="29">
        <v>1246.43</v>
      </c>
      <c r="S838" s="29">
        <v>0</v>
      </c>
      <c r="T838" s="29">
        <v>1</v>
      </c>
      <c r="U838" s="29">
        <v>12.4643</v>
      </c>
    </row>
    <row r="839" spans="1:21">
      <c r="A839" s="29">
        <v>48</v>
      </c>
      <c r="B839" s="111">
        <v>4</v>
      </c>
      <c r="C839" s="111">
        <v>28107</v>
      </c>
      <c r="D839" s="111" t="s">
        <v>759</v>
      </c>
      <c r="E839" s="111" t="s">
        <v>448</v>
      </c>
      <c r="F839" s="265">
        <v>42130</v>
      </c>
      <c r="G839" s="265">
        <v>42185</v>
      </c>
      <c r="H839" s="111">
        <v>11453.67</v>
      </c>
      <c r="I839" s="266">
        <f t="shared" si="46"/>
        <v>0</v>
      </c>
      <c r="J839" s="295">
        <v>1</v>
      </c>
      <c r="K839" s="266">
        <f t="shared" si="47"/>
        <v>114.5367</v>
      </c>
      <c r="M839" s="29">
        <f t="shared" si="48"/>
        <v>55</v>
      </c>
      <c r="P839" s="29">
        <v>0</v>
      </c>
      <c r="Q839" s="29">
        <v>2061.66</v>
      </c>
      <c r="R839" s="29">
        <v>13515.33</v>
      </c>
      <c r="S839" s="29">
        <v>0</v>
      </c>
      <c r="T839" s="29">
        <v>1</v>
      </c>
      <c r="U839" s="29">
        <v>135.1533</v>
      </c>
    </row>
    <row r="840" spans="1:21">
      <c r="A840" s="29">
        <v>49</v>
      </c>
      <c r="B840" s="111">
        <v>4</v>
      </c>
      <c r="C840" s="111">
        <v>28232</v>
      </c>
      <c r="D840" s="111" t="s">
        <v>758</v>
      </c>
      <c r="E840" s="111" t="s">
        <v>448</v>
      </c>
      <c r="F840" s="265">
        <v>42131</v>
      </c>
      <c r="G840" s="265">
        <v>42173</v>
      </c>
      <c r="H840" s="111">
        <v>830.86</v>
      </c>
      <c r="I840" s="266">
        <f t="shared" si="46"/>
        <v>0</v>
      </c>
      <c r="J840" s="295">
        <v>1</v>
      </c>
      <c r="K840" s="266">
        <f t="shared" si="47"/>
        <v>8.3086000000000002</v>
      </c>
      <c r="M840" s="29">
        <f t="shared" si="48"/>
        <v>42</v>
      </c>
      <c r="P840" s="29">
        <v>0</v>
      </c>
      <c r="Q840" s="29">
        <v>149.55000000000001</v>
      </c>
      <c r="R840" s="29">
        <v>980.41</v>
      </c>
      <c r="S840" s="29">
        <v>0</v>
      </c>
      <c r="T840" s="29">
        <v>1</v>
      </c>
      <c r="U840" s="29">
        <v>9.8041</v>
      </c>
    </row>
    <row r="841" spans="1:21">
      <c r="A841" s="29">
        <v>50</v>
      </c>
      <c r="B841" s="111">
        <v>4</v>
      </c>
      <c r="C841" s="111">
        <v>28147</v>
      </c>
      <c r="D841" s="111" t="s">
        <v>759</v>
      </c>
      <c r="E841" s="111" t="s">
        <v>448</v>
      </c>
      <c r="F841" s="265">
        <v>42130</v>
      </c>
      <c r="G841" s="265">
        <v>42177</v>
      </c>
      <c r="H841" s="111">
        <v>598.85</v>
      </c>
      <c r="I841" s="266">
        <f t="shared" si="46"/>
        <v>0</v>
      </c>
      <c r="J841" s="295">
        <v>1</v>
      </c>
      <c r="K841" s="266">
        <f t="shared" si="47"/>
        <v>5.9885000000000002</v>
      </c>
      <c r="M841" s="29">
        <f t="shared" si="48"/>
        <v>47</v>
      </c>
      <c r="P841" s="29">
        <v>0</v>
      </c>
      <c r="Q841" s="29">
        <v>107.79</v>
      </c>
      <c r="R841" s="29">
        <v>706.64</v>
      </c>
      <c r="S841" s="29">
        <v>0</v>
      </c>
      <c r="T841" s="29">
        <v>1</v>
      </c>
      <c r="U841" s="29">
        <v>7.0663999999999998</v>
      </c>
    </row>
    <row r="842" spans="1:21">
      <c r="A842" s="29">
        <v>51</v>
      </c>
      <c r="B842" s="111">
        <v>4</v>
      </c>
      <c r="C842" s="111">
        <v>28190</v>
      </c>
      <c r="D842" s="111" t="s">
        <v>758</v>
      </c>
      <c r="E842" s="111" t="s">
        <v>448</v>
      </c>
      <c r="F842" s="265">
        <v>42131</v>
      </c>
      <c r="G842" s="265">
        <v>42173</v>
      </c>
      <c r="H842" s="111">
        <v>7240.62</v>
      </c>
      <c r="I842" s="266">
        <f t="shared" si="46"/>
        <v>0</v>
      </c>
      <c r="J842" s="295">
        <v>1</v>
      </c>
      <c r="K842" s="266">
        <f t="shared" si="47"/>
        <v>72.406199999999998</v>
      </c>
      <c r="M842" s="29">
        <f t="shared" si="48"/>
        <v>42</v>
      </c>
      <c r="P842" s="29">
        <v>0</v>
      </c>
      <c r="Q842" s="29">
        <v>1303.31</v>
      </c>
      <c r="R842" s="29">
        <v>8543.93</v>
      </c>
      <c r="S842" s="29">
        <v>0</v>
      </c>
      <c r="T842" s="29">
        <v>1</v>
      </c>
      <c r="U842" s="29">
        <v>85.439300000000003</v>
      </c>
    </row>
    <row r="843" spans="1:21">
      <c r="A843" s="29">
        <v>52</v>
      </c>
      <c r="B843" s="111">
        <v>4</v>
      </c>
      <c r="C843" s="111">
        <v>28177</v>
      </c>
      <c r="D843" s="111" t="s">
        <v>758</v>
      </c>
      <c r="E843" s="111" t="s">
        <v>448</v>
      </c>
      <c r="F843" s="265">
        <v>42131</v>
      </c>
      <c r="G843" s="265">
        <v>42173</v>
      </c>
      <c r="H843" s="111">
        <v>2505.91</v>
      </c>
      <c r="I843" s="266">
        <f t="shared" si="46"/>
        <v>0</v>
      </c>
      <c r="J843" s="295">
        <v>1</v>
      </c>
      <c r="K843" s="266">
        <f t="shared" si="47"/>
        <v>25.059100000000001</v>
      </c>
      <c r="M843" s="29">
        <f t="shared" si="48"/>
        <v>42</v>
      </c>
      <c r="P843" s="29">
        <v>0</v>
      </c>
      <c r="Q843" s="29">
        <v>451.06</v>
      </c>
      <c r="R843" s="29">
        <v>2956.97</v>
      </c>
      <c r="S843" s="29">
        <v>0</v>
      </c>
      <c r="T843" s="29">
        <v>1</v>
      </c>
      <c r="U843" s="29">
        <v>29.569700000000001</v>
      </c>
    </row>
    <row r="844" spans="1:21">
      <c r="A844" s="29">
        <v>53</v>
      </c>
      <c r="B844" s="111">
        <v>4</v>
      </c>
      <c r="C844" s="111">
        <v>28306</v>
      </c>
      <c r="D844" s="111" t="s">
        <v>759</v>
      </c>
      <c r="E844" s="111" t="s">
        <v>448</v>
      </c>
      <c r="F844" s="265">
        <v>42132</v>
      </c>
      <c r="G844" s="265">
        <v>42185</v>
      </c>
      <c r="H844" s="111">
        <v>5466.14</v>
      </c>
      <c r="I844" s="266">
        <f t="shared" si="46"/>
        <v>202.38983050847457</v>
      </c>
      <c r="J844" s="295">
        <v>1</v>
      </c>
      <c r="K844" s="266">
        <f t="shared" si="47"/>
        <v>52.637501694915258</v>
      </c>
      <c r="M844" s="29">
        <f t="shared" si="48"/>
        <v>53</v>
      </c>
      <c r="P844" s="29">
        <v>0</v>
      </c>
      <c r="Q844" s="29">
        <v>983.91</v>
      </c>
      <c r="R844" s="29">
        <v>6450.05</v>
      </c>
      <c r="S844" s="29">
        <v>238.82</v>
      </c>
      <c r="T844" s="29">
        <v>1</v>
      </c>
      <c r="U844" s="29">
        <v>62.112299999999998</v>
      </c>
    </row>
    <row r="845" spans="1:21">
      <c r="A845" s="29">
        <v>54</v>
      </c>
      <c r="B845" s="111">
        <v>4</v>
      </c>
      <c r="C845" s="111">
        <v>28369</v>
      </c>
      <c r="D845" s="111" t="s">
        <v>759</v>
      </c>
      <c r="E845" s="111" t="s">
        <v>448</v>
      </c>
      <c r="F845" s="265">
        <v>42135</v>
      </c>
      <c r="G845" s="265">
        <v>42185</v>
      </c>
      <c r="H845" s="111">
        <v>165.21</v>
      </c>
      <c r="I845" s="266">
        <f t="shared" si="46"/>
        <v>0</v>
      </c>
      <c r="J845" s="295">
        <v>1</v>
      </c>
      <c r="K845" s="266">
        <f t="shared" si="47"/>
        <v>1.6521000000000001</v>
      </c>
      <c r="M845" s="29">
        <f t="shared" si="48"/>
        <v>50</v>
      </c>
      <c r="P845" s="29">
        <v>0</v>
      </c>
      <c r="Q845" s="29">
        <v>29.74</v>
      </c>
      <c r="R845" s="29">
        <v>194.95</v>
      </c>
      <c r="S845" s="29">
        <v>0</v>
      </c>
      <c r="T845" s="29">
        <v>1</v>
      </c>
      <c r="U845" s="29">
        <v>1.9495</v>
      </c>
    </row>
    <row r="846" spans="1:21">
      <c r="A846" s="29">
        <v>55</v>
      </c>
      <c r="B846" s="111">
        <v>4</v>
      </c>
      <c r="C846" s="111">
        <v>28335</v>
      </c>
      <c r="D846" s="111" t="s">
        <v>759</v>
      </c>
      <c r="E846" s="111" t="s">
        <v>448</v>
      </c>
      <c r="F846" s="265">
        <v>42133</v>
      </c>
      <c r="G846" s="265">
        <v>42185</v>
      </c>
      <c r="H846" s="111">
        <v>2353.8200000000002</v>
      </c>
      <c r="I846" s="266">
        <f t="shared" si="46"/>
        <v>0</v>
      </c>
      <c r="J846" s="295">
        <v>1</v>
      </c>
      <c r="K846" s="266">
        <f t="shared" si="47"/>
        <v>23.538200000000003</v>
      </c>
      <c r="M846" s="29">
        <f t="shared" si="48"/>
        <v>52</v>
      </c>
      <c r="P846" s="29">
        <v>0</v>
      </c>
      <c r="Q846" s="29">
        <v>423.69</v>
      </c>
      <c r="R846" s="29">
        <v>2777.51</v>
      </c>
      <c r="S846" s="29">
        <v>0</v>
      </c>
      <c r="T846" s="29">
        <v>1</v>
      </c>
      <c r="U846" s="29">
        <v>27.775099999999998</v>
      </c>
    </row>
    <row r="847" spans="1:21">
      <c r="A847" s="29">
        <v>56</v>
      </c>
      <c r="B847" s="111">
        <v>4</v>
      </c>
      <c r="C847" s="111">
        <v>28403</v>
      </c>
      <c r="D847" s="111" t="s">
        <v>758</v>
      </c>
      <c r="E847" s="111" t="s">
        <v>448</v>
      </c>
      <c r="F847" s="265">
        <v>42135</v>
      </c>
      <c r="G847" s="265">
        <v>42173</v>
      </c>
      <c r="H847" s="111">
        <v>5783.68</v>
      </c>
      <c r="I847" s="266">
        <f t="shared" si="46"/>
        <v>0</v>
      </c>
      <c r="J847" s="295">
        <v>1</v>
      </c>
      <c r="K847" s="266">
        <f t="shared" si="47"/>
        <v>57.836800000000004</v>
      </c>
      <c r="M847" s="29">
        <f t="shared" si="48"/>
        <v>38</v>
      </c>
      <c r="P847" s="29">
        <v>0</v>
      </c>
      <c r="Q847" s="29">
        <v>1041.06</v>
      </c>
      <c r="R847" s="29">
        <v>6824.74</v>
      </c>
      <c r="S847" s="29">
        <v>0</v>
      </c>
      <c r="T847" s="29">
        <v>1</v>
      </c>
      <c r="U847" s="29">
        <v>68.247399999999999</v>
      </c>
    </row>
    <row r="848" spans="1:21">
      <c r="A848" s="29">
        <v>57</v>
      </c>
      <c r="B848" s="111">
        <v>4</v>
      </c>
      <c r="C848" s="111">
        <v>28443</v>
      </c>
      <c r="D848" s="111" t="s">
        <v>758</v>
      </c>
      <c r="E848" s="111" t="s">
        <v>448</v>
      </c>
      <c r="F848" s="265">
        <v>42136</v>
      </c>
      <c r="G848" s="265">
        <v>42173</v>
      </c>
      <c r="H848" s="111">
        <v>426.01</v>
      </c>
      <c r="I848" s="266">
        <f t="shared" si="46"/>
        <v>0</v>
      </c>
      <c r="J848" s="295">
        <v>1</v>
      </c>
      <c r="K848" s="266">
        <f t="shared" si="47"/>
        <v>4.2600999999999996</v>
      </c>
      <c r="M848" s="29">
        <f t="shared" si="48"/>
        <v>37</v>
      </c>
      <c r="P848" s="29">
        <v>0</v>
      </c>
      <c r="Q848" s="29">
        <v>76.680000000000007</v>
      </c>
      <c r="R848" s="29">
        <v>502.69</v>
      </c>
      <c r="S848" s="29">
        <v>0</v>
      </c>
      <c r="T848" s="29">
        <v>1</v>
      </c>
      <c r="U848" s="29">
        <v>5.0269000000000004</v>
      </c>
    </row>
    <row r="849" spans="1:21">
      <c r="A849" s="29">
        <v>58</v>
      </c>
      <c r="B849" s="111">
        <v>4</v>
      </c>
      <c r="C849" s="111">
        <v>28444</v>
      </c>
      <c r="D849" s="111" t="s">
        <v>759</v>
      </c>
      <c r="E849" s="111" t="s">
        <v>448</v>
      </c>
      <c r="F849" s="265">
        <v>42136</v>
      </c>
      <c r="G849" s="265">
        <v>42185</v>
      </c>
      <c r="H849" s="111">
        <v>982.8</v>
      </c>
      <c r="I849" s="266">
        <f t="shared" si="46"/>
        <v>0</v>
      </c>
      <c r="J849" s="295">
        <v>1</v>
      </c>
      <c r="K849" s="266">
        <f t="shared" si="47"/>
        <v>9.8279999999999994</v>
      </c>
      <c r="M849" s="29">
        <f t="shared" si="48"/>
        <v>49</v>
      </c>
      <c r="P849" s="29">
        <v>0</v>
      </c>
      <c r="Q849" s="29">
        <v>176.9</v>
      </c>
      <c r="R849" s="29">
        <v>1159.7</v>
      </c>
      <c r="S849" s="29">
        <v>0</v>
      </c>
      <c r="T849" s="29">
        <v>1</v>
      </c>
      <c r="U849" s="29">
        <v>11.597</v>
      </c>
    </row>
    <row r="850" spans="1:21">
      <c r="A850" s="29">
        <v>59</v>
      </c>
      <c r="B850" s="111">
        <v>4</v>
      </c>
      <c r="C850" s="111">
        <v>28463</v>
      </c>
      <c r="D850" s="111" t="s">
        <v>759</v>
      </c>
      <c r="E850" s="111" t="s">
        <v>448</v>
      </c>
      <c r="F850" s="265">
        <v>42136</v>
      </c>
      <c r="G850" s="265">
        <v>42185</v>
      </c>
      <c r="H850" s="111">
        <v>2376.15</v>
      </c>
      <c r="I850" s="266">
        <f t="shared" si="46"/>
        <v>0</v>
      </c>
      <c r="J850" s="295">
        <v>1</v>
      </c>
      <c r="K850" s="266">
        <f t="shared" si="47"/>
        <v>23.761500000000002</v>
      </c>
      <c r="M850" s="29">
        <f t="shared" si="48"/>
        <v>49</v>
      </c>
      <c r="P850" s="29">
        <v>0</v>
      </c>
      <c r="Q850" s="29">
        <v>427.71</v>
      </c>
      <c r="R850" s="29">
        <v>2803.86</v>
      </c>
      <c r="S850" s="29">
        <v>0</v>
      </c>
      <c r="T850" s="29">
        <v>1</v>
      </c>
      <c r="U850" s="29">
        <v>28.038599999999999</v>
      </c>
    </row>
    <row r="851" spans="1:21">
      <c r="A851" s="29">
        <v>60</v>
      </c>
      <c r="B851" s="111">
        <v>4</v>
      </c>
      <c r="C851" s="111">
        <v>28533</v>
      </c>
      <c r="D851" s="111" t="s">
        <v>758</v>
      </c>
      <c r="E851" s="111" t="s">
        <v>448</v>
      </c>
      <c r="F851" s="265">
        <v>42137</v>
      </c>
      <c r="G851" s="265">
        <v>42173</v>
      </c>
      <c r="H851" s="111">
        <v>2353.5500000000002</v>
      </c>
      <c r="I851" s="266">
        <f t="shared" si="46"/>
        <v>0</v>
      </c>
      <c r="J851" s="295">
        <v>1</v>
      </c>
      <c r="K851" s="266">
        <f t="shared" si="47"/>
        <v>23.535500000000003</v>
      </c>
      <c r="M851" s="29">
        <f t="shared" si="48"/>
        <v>36</v>
      </c>
      <c r="P851" s="29">
        <v>0</v>
      </c>
      <c r="Q851" s="29">
        <v>423.64</v>
      </c>
      <c r="R851" s="29">
        <v>2777.19</v>
      </c>
      <c r="S851" s="29">
        <v>0</v>
      </c>
      <c r="T851" s="29">
        <v>1</v>
      </c>
      <c r="U851" s="29">
        <v>27.771899999999999</v>
      </c>
    </row>
    <row r="852" spans="1:21">
      <c r="A852" s="29">
        <v>61</v>
      </c>
      <c r="B852" s="111">
        <v>4</v>
      </c>
      <c r="C852" s="111">
        <v>28538</v>
      </c>
      <c r="D852" s="111" t="s">
        <v>758</v>
      </c>
      <c r="E852" s="111" t="s">
        <v>448</v>
      </c>
      <c r="F852" s="265">
        <v>42137</v>
      </c>
      <c r="G852" s="265">
        <v>42173</v>
      </c>
      <c r="H852" s="111">
        <v>532.42999999999995</v>
      </c>
      <c r="I852" s="266">
        <f t="shared" si="46"/>
        <v>0</v>
      </c>
      <c r="J852" s="295">
        <v>1</v>
      </c>
      <c r="K852" s="266">
        <f t="shared" si="47"/>
        <v>5.3243</v>
      </c>
      <c r="M852" s="29">
        <f t="shared" si="48"/>
        <v>36</v>
      </c>
      <c r="P852" s="29">
        <v>0</v>
      </c>
      <c r="Q852" s="29">
        <v>95.84</v>
      </c>
      <c r="R852" s="29">
        <v>628.27</v>
      </c>
      <c r="S852" s="29">
        <v>0</v>
      </c>
      <c r="T852" s="29">
        <v>1</v>
      </c>
      <c r="U852" s="29">
        <v>6.2827000000000002</v>
      </c>
    </row>
    <row r="853" spans="1:21">
      <c r="A853" s="29">
        <v>62</v>
      </c>
      <c r="B853" s="111">
        <v>4</v>
      </c>
      <c r="C853" s="111">
        <v>28703</v>
      </c>
      <c r="D853" s="111" t="s">
        <v>758</v>
      </c>
      <c r="E853" s="111" t="s">
        <v>448</v>
      </c>
      <c r="F853" s="265">
        <v>42139</v>
      </c>
      <c r="G853" s="265">
        <v>42178</v>
      </c>
      <c r="H853" s="111">
        <v>6031.66</v>
      </c>
      <c r="I853" s="266">
        <f t="shared" si="46"/>
        <v>667.89830508474586</v>
      </c>
      <c r="J853" s="295">
        <v>1</v>
      </c>
      <c r="K853" s="266">
        <f t="shared" si="47"/>
        <v>53.637616949152545</v>
      </c>
      <c r="M853" s="29">
        <f t="shared" si="48"/>
        <v>39</v>
      </c>
      <c r="P853" s="29">
        <v>0</v>
      </c>
      <c r="Q853" s="29">
        <v>1085.7</v>
      </c>
      <c r="R853" s="29">
        <v>7117.36</v>
      </c>
      <c r="S853" s="29">
        <v>788.12</v>
      </c>
      <c r="T853" s="29">
        <v>1</v>
      </c>
      <c r="U853" s="29">
        <v>63.292400000000001</v>
      </c>
    </row>
    <row r="854" spans="1:21">
      <c r="A854" s="29">
        <v>63</v>
      </c>
      <c r="B854" s="111">
        <v>4</v>
      </c>
      <c r="C854" s="111">
        <v>28742</v>
      </c>
      <c r="D854" s="111" t="s">
        <v>758</v>
      </c>
      <c r="E854" s="111" t="s">
        <v>448</v>
      </c>
      <c r="F854" s="265">
        <v>42139</v>
      </c>
      <c r="G854" s="265">
        <v>42173</v>
      </c>
      <c r="H854" s="111">
        <v>42.2</v>
      </c>
      <c r="I854" s="266">
        <f t="shared" si="46"/>
        <v>0</v>
      </c>
      <c r="J854" s="295">
        <v>1</v>
      </c>
      <c r="K854" s="266">
        <f t="shared" si="47"/>
        <v>0.42200000000000004</v>
      </c>
      <c r="M854" s="29">
        <f t="shared" si="48"/>
        <v>34</v>
      </c>
      <c r="P854" s="29">
        <v>0</v>
      </c>
      <c r="Q854" s="29">
        <v>7.6</v>
      </c>
      <c r="R854" s="29">
        <v>49.8</v>
      </c>
      <c r="S854" s="29">
        <v>0</v>
      </c>
      <c r="T854" s="29">
        <v>1</v>
      </c>
      <c r="U854" s="29">
        <v>0.498</v>
      </c>
    </row>
    <row r="855" spans="1:21">
      <c r="A855" s="29">
        <v>64</v>
      </c>
      <c r="B855" s="111">
        <v>4</v>
      </c>
      <c r="C855" s="111">
        <v>28959</v>
      </c>
      <c r="D855" s="111" t="s">
        <v>757</v>
      </c>
      <c r="E855" s="111" t="s">
        <v>448</v>
      </c>
      <c r="F855" s="265">
        <v>42143</v>
      </c>
      <c r="G855" s="265">
        <v>42178</v>
      </c>
      <c r="H855" s="111">
        <v>378.88</v>
      </c>
      <c r="I855" s="266">
        <f t="shared" si="46"/>
        <v>0</v>
      </c>
      <c r="J855" s="295">
        <v>1</v>
      </c>
      <c r="K855" s="266">
        <f t="shared" si="47"/>
        <v>3.7888000000000002</v>
      </c>
      <c r="M855" s="29">
        <f t="shared" si="48"/>
        <v>35</v>
      </c>
      <c r="P855" s="29">
        <v>0</v>
      </c>
      <c r="Q855" s="29">
        <v>68.2</v>
      </c>
      <c r="R855" s="29">
        <v>447.08</v>
      </c>
      <c r="S855" s="29">
        <v>0</v>
      </c>
      <c r="T855" s="29">
        <v>1</v>
      </c>
      <c r="U855" s="29">
        <v>4.4707999999999997</v>
      </c>
    </row>
    <row r="856" spans="1:21">
      <c r="A856" s="29">
        <v>65</v>
      </c>
      <c r="B856" s="111">
        <v>4</v>
      </c>
      <c r="C856" s="111">
        <v>29105</v>
      </c>
      <c r="D856" s="111" t="s">
        <v>772</v>
      </c>
      <c r="E856" s="111" t="s">
        <v>448</v>
      </c>
      <c r="F856" s="265">
        <v>42145</v>
      </c>
      <c r="G856" s="265">
        <v>42157</v>
      </c>
      <c r="H856" s="111">
        <v>9492</v>
      </c>
      <c r="I856" s="266">
        <f t="shared" ref="I856:I873" si="49">S856/1.18</f>
        <v>0</v>
      </c>
      <c r="J856" s="295">
        <v>0.5</v>
      </c>
      <c r="K856" s="266">
        <f t="shared" ref="K856:K869" si="50">(H856-I856)*J856%</f>
        <v>47.46</v>
      </c>
      <c r="M856" s="29">
        <f t="shared" ref="M856:M873" si="51">G856-F856</f>
        <v>12</v>
      </c>
      <c r="P856" s="29">
        <v>0</v>
      </c>
      <c r="Q856" s="29">
        <v>1708.56</v>
      </c>
      <c r="R856" s="29">
        <v>11200.56</v>
      </c>
      <c r="S856" s="29">
        <v>0</v>
      </c>
      <c r="T856" s="29">
        <v>1</v>
      </c>
      <c r="U856" s="29">
        <v>112.0056</v>
      </c>
    </row>
    <row r="857" spans="1:21">
      <c r="A857" s="29">
        <v>66</v>
      </c>
      <c r="B857" s="111">
        <v>4</v>
      </c>
      <c r="C857" s="111">
        <v>29180</v>
      </c>
      <c r="D857" s="111" t="s">
        <v>767</v>
      </c>
      <c r="E857" s="111" t="s">
        <v>448</v>
      </c>
      <c r="F857" s="265">
        <v>42146</v>
      </c>
      <c r="G857" s="265">
        <v>42170</v>
      </c>
      <c r="H857" s="111">
        <v>908.45</v>
      </c>
      <c r="I857" s="266">
        <f t="shared" si="49"/>
        <v>0</v>
      </c>
      <c r="J857" s="295">
        <v>1</v>
      </c>
      <c r="K857" s="266">
        <f t="shared" si="50"/>
        <v>9.0845000000000002</v>
      </c>
      <c r="M857" s="29">
        <f t="shared" si="51"/>
        <v>24</v>
      </c>
      <c r="P857" s="29">
        <v>0</v>
      </c>
      <c r="Q857" s="29">
        <v>163.52000000000001</v>
      </c>
      <c r="R857" s="29">
        <v>1071.97</v>
      </c>
      <c r="S857" s="29">
        <v>0</v>
      </c>
      <c r="T857" s="29">
        <v>1</v>
      </c>
      <c r="U857" s="29">
        <v>10.7197</v>
      </c>
    </row>
    <row r="858" spans="1:21">
      <c r="A858" s="29">
        <v>67</v>
      </c>
      <c r="B858" s="111">
        <v>4</v>
      </c>
      <c r="C858" s="111">
        <v>29207</v>
      </c>
      <c r="D858" s="111" t="s">
        <v>760</v>
      </c>
      <c r="E858" s="111" t="s">
        <v>448</v>
      </c>
      <c r="F858" s="265">
        <v>42146</v>
      </c>
      <c r="G858" s="265">
        <v>42179</v>
      </c>
      <c r="H858" s="111">
        <v>1015.79</v>
      </c>
      <c r="I858" s="266">
        <f t="shared" si="49"/>
        <v>0</v>
      </c>
      <c r="J858" s="295">
        <v>1</v>
      </c>
      <c r="K858" s="266">
        <f t="shared" si="50"/>
        <v>10.1579</v>
      </c>
      <c r="M858" s="29">
        <f t="shared" si="51"/>
        <v>33</v>
      </c>
      <c r="P858" s="29">
        <v>0</v>
      </c>
      <c r="Q858" s="29">
        <v>182.84</v>
      </c>
      <c r="R858" s="29">
        <v>1198.6300000000001</v>
      </c>
      <c r="S858" s="29">
        <v>0</v>
      </c>
      <c r="T858" s="29">
        <v>1</v>
      </c>
      <c r="U858" s="29">
        <v>11.9863</v>
      </c>
    </row>
    <row r="859" spans="1:21">
      <c r="A859" s="29">
        <v>68</v>
      </c>
      <c r="B859" s="111">
        <v>4</v>
      </c>
      <c r="C859" s="111">
        <v>29169</v>
      </c>
      <c r="D859" s="111" t="s">
        <v>757</v>
      </c>
      <c r="E859" s="111" t="s">
        <v>448</v>
      </c>
      <c r="F859" s="265">
        <v>42146</v>
      </c>
      <c r="G859" s="265">
        <v>42178</v>
      </c>
      <c r="H859" s="111">
        <v>224.9</v>
      </c>
      <c r="I859" s="266">
        <f t="shared" si="49"/>
        <v>42.991525423728817</v>
      </c>
      <c r="J859" s="295">
        <v>1</v>
      </c>
      <c r="K859" s="266">
        <f t="shared" si="50"/>
        <v>1.8190847457627122</v>
      </c>
      <c r="M859" s="29">
        <f t="shared" si="51"/>
        <v>32</v>
      </c>
      <c r="P859" s="29">
        <v>0</v>
      </c>
      <c r="Q859" s="29">
        <v>40.479999999999997</v>
      </c>
      <c r="R859" s="29">
        <v>265.38</v>
      </c>
      <c r="S859" s="29">
        <v>50.73</v>
      </c>
      <c r="T859" s="29">
        <v>1</v>
      </c>
      <c r="U859" s="29">
        <v>2.1465000000000001</v>
      </c>
    </row>
    <row r="860" spans="1:21">
      <c r="A860" s="29">
        <v>69</v>
      </c>
      <c r="B860" s="111">
        <v>4</v>
      </c>
      <c r="C860" s="111">
        <v>29305</v>
      </c>
      <c r="D860" s="111" t="s">
        <v>772</v>
      </c>
      <c r="E860" s="111" t="s">
        <v>448</v>
      </c>
      <c r="F860" s="265">
        <v>42149</v>
      </c>
      <c r="G860" s="265">
        <v>42157</v>
      </c>
      <c r="H860" s="111">
        <v>4068</v>
      </c>
      <c r="I860" s="266">
        <f t="shared" si="49"/>
        <v>0</v>
      </c>
      <c r="J860" s="295">
        <v>0.5</v>
      </c>
      <c r="K860" s="266">
        <f t="shared" si="50"/>
        <v>20.34</v>
      </c>
      <c r="M860" s="29">
        <f t="shared" si="51"/>
        <v>8</v>
      </c>
      <c r="P860" s="29">
        <v>0</v>
      </c>
      <c r="Q860" s="29">
        <v>732.24</v>
      </c>
      <c r="R860" s="29">
        <v>4800.24</v>
      </c>
      <c r="S860" s="29">
        <v>0</v>
      </c>
      <c r="T860" s="29">
        <v>1</v>
      </c>
      <c r="U860" s="29">
        <v>48.002400000000002</v>
      </c>
    </row>
    <row r="861" spans="1:21">
      <c r="A861" s="29">
        <v>70</v>
      </c>
      <c r="B861" s="111">
        <v>4</v>
      </c>
      <c r="C861" s="111">
        <v>29350</v>
      </c>
      <c r="D861" s="111" t="s">
        <v>767</v>
      </c>
      <c r="E861" s="111" t="s">
        <v>448</v>
      </c>
      <c r="F861" s="265">
        <v>42149</v>
      </c>
      <c r="G861" s="265">
        <v>42170</v>
      </c>
      <c r="H861" s="111">
        <v>118.8</v>
      </c>
      <c r="I861" s="266">
        <f t="shared" si="49"/>
        <v>0</v>
      </c>
      <c r="J861" s="295">
        <v>1</v>
      </c>
      <c r="K861" s="266">
        <f t="shared" si="50"/>
        <v>1.1879999999999999</v>
      </c>
      <c r="M861" s="29">
        <f t="shared" si="51"/>
        <v>21</v>
      </c>
      <c r="P861" s="29">
        <v>0</v>
      </c>
      <c r="Q861" s="29">
        <v>21.38</v>
      </c>
      <c r="R861" s="29">
        <v>140.18</v>
      </c>
      <c r="S861" s="29">
        <v>0</v>
      </c>
      <c r="T861" s="29">
        <v>1</v>
      </c>
      <c r="U861" s="29">
        <v>1.4017999999999999</v>
      </c>
    </row>
    <row r="862" spans="1:21">
      <c r="A862" s="29">
        <v>71</v>
      </c>
      <c r="B862" s="111">
        <v>4</v>
      </c>
      <c r="C862" s="111">
        <v>29678</v>
      </c>
      <c r="D862" s="111" t="s">
        <v>758</v>
      </c>
      <c r="E862" s="111" t="s">
        <v>448</v>
      </c>
      <c r="F862" s="265">
        <v>42152</v>
      </c>
      <c r="G862" s="265">
        <v>42165</v>
      </c>
      <c r="H862" s="111">
        <v>1916.63</v>
      </c>
      <c r="I862" s="266">
        <f t="shared" si="49"/>
        <v>1916.6271186440679</v>
      </c>
      <c r="J862" s="295">
        <v>1</v>
      </c>
      <c r="K862" s="266">
        <f t="shared" si="50"/>
        <v>2.8813559322315995E-5</v>
      </c>
      <c r="M862" s="29">
        <f t="shared" si="51"/>
        <v>13</v>
      </c>
      <c r="P862" s="29">
        <v>0</v>
      </c>
      <c r="Q862" s="29">
        <v>344.99</v>
      </c>
      <c r="R862" s="29">
        <v>2261.62</v>
      </c>
      <c r="S862" s="29">
        <v>2261.62</v>
      </c>
      <c r="T862" s="29">
        <v>1</v>
      </c>
      <c r="U862" s="29">
        <v>0</v>
      </c>
    </row>
    <row r="863" spans="1:21">
      <c r="A863" s="29">
        <v>72</v>
      </c>
      <c r="B863" s="111">
        <v>4</v>
      </c>
      <c r="C863" s="111">
        <v>29710</v>
      </c>
      <c r="D863" s="111" t="s">
        <v>760</v>
      </c>
      <c r="E863" s="111" t="s">
        <v>448</v>
      </c>
      <c r="F863" s="265">
        <v>42153</v>
      </c>
      <c r="G863" s="265">
        <v>42179</v>
      </c>
      <c r="H863" s="111">
        <v>222.58</v>
      </c>
      <c r="I863" s="266">
        <f t="shared" si="49"/>
        <v>0</v>
      </c>
      <c r="J863" s="295">
        <v>1</v>
      </c>
      <c r="K863" s="266">
        <f t="shared" si="50"/>
        <v>2.2258</v>
      </c>
      <c r="M863" s="29">
        <f t="shared" si="51"/>
        <v>26</v>
      </c>
      <c r="P863" s="29">
        <v>0</v>
      </c>
      <c r="Q863" s="29">
        <v>40.06</v>
      </c>
      <c r="R863" s="29">
        <v>262.64</v>
      </c>
      <c r="S863" s="29">
        <v>0</v>
      </c>
      <c r="T863" s="29">
        <v>1</v>
      </c>
      <c r="U863" s="29">
        <v>2.6263999999999998</v>
      </c>
    </row>
    <row r="864" spans="1:21">
      <c r="A864" s="29">
        <v>73</v>
      </c>
      <c r="B864" s="111">
        <v>4</v>
      </c>
      <c r="C864" s="111">
        <v>29825</v>
      </c>
      <c r="D864" s="111" t="s">
        <v>764</v>
      </c>
      <c r="E864" s="111" t="s">
        <v>448</v>
      </c>
      <c r="F864" s="265">
        <v>42154</v>
      </c>
      <c r="G864" s="265">
        <v>42163</v>
      </c>
      <c r="H864" s="111">
        <v>6102</v>
      </c>
      <c r="I864" s="266">
        <f t="shared" si="49"/>
        <v>0</v>
      </c>
      <c r="J864" s="295">
        <v>0.5</v>
      </c>
      <c r="K864" s="266">
        <f t="shared" si="50"/>
        <v>30.51</v>
      </c>
      <c r="M864" s="29">
        <f t="shared" si="51"/>
        <v>9</v>
      </c>
      <c r="P864" s="29">
        <v>0</v>
      </c>
      <c r="Q864" s="29">
        <v>1098.3599999999999</v>
      </c>
      <c r="R864" s="29">
        <v>7200.36</v>
      </c>
      <c r="S864" s="29">
        <v>0</v>
      </c>
      <c r="T864" s="29">
        <v>1</v>
      </c>
      <c r="U864" s="29">
        <v>72.003600000000006</v>
      </c>
    </row>
    <row r="865" spans="1:21">
      <c r="A865" s="29">
        <v>74</v>
      </c>
      <c r="B865" s="111">
        <v>4</v>
      </c>
      <c r="C865" s="111">
        <v>29907</v>
      </c>
      <c r="D865" s="111" t="s">
        <v>772</v>
      </c>
      <c r="E865" s="111" t="s">
        <v>448</v>
      </c>
      <c r="F865" s="265">
        <v>42156</v>
      </c>
      <c r="G865" s="265">
        <v>42161</v>
      </c>
      <c r="H865" s="111">
        <v>18984</v>
      </c>
      <c r="I865" s="266">
        <f t="shared" si="49"/>
        <v>0</v>
      </c>
      <c r="J865" s="295">
        <v>0.5</v>
      </c>
      <c r="K865" s="266">
        <f t="shared" si="50"/>
        <v>94.92</v>
      </c>
      <c r="M865" s="29">
        <f t="shared" si="51"/>
        <v>5</v>
      </c>
      <c r="P865" s="29">
        <v>0</v>
      </c>
      <c r="Q865" s="29">
        <v>3417.12</v>
      </c>
      <c r="R865" s="29">
        <v>22401.119999999999</v>
      </c>
      <c r="S865" s="29">
        <v>0</v>
      </c>
      <c r="T865" s="29">
        <v>1</v>
      </c>
      <c r="U865" s="29">
        <v>224.0112</v>
      </c>
    </row>
    <row r="866" spans="1:21">
      <c r="A866" s="29">
        <v>75</v>
      </c>
      <c r="B866" s="111">
        <v>1</v>
      </c>
      <c r="C866" s="111">
        <v>306995</v>
      </c>
      <c r="D866" s="111" t="s">
        <v>767</v>
      </c>
      <c r="E866" s="111" t="s">
        <v>448</v>
      </c>
      <c r="F866" s="265">
        <v>42158</v>
      </c>
      <c r="G866" s="265">
        <v>42170</v>
      </c>
      <c r="H866" s="111">
        <v>79.55</v>
      </c>
      <c r="I866" s="266">
        <f t="shared" si="49"/>
        <v>0</v>
      </c>
      <c r="J866" s="295">
        <v>1</v>
      </c>
      <c r="K866" s="266">
        <f t="shared" si="50"/>
        <v>0.79549999999999998</v>
      </c>
      <c r="M866" s="29">
        <f t="shared" si="51"/>
        <v>12</v>
      </c>
      <c r="P866" s="29">
        <v>0</v>
      </c>
      <c r="Q866" s="29">
        <v>14.32</v>
      </c>
      <c r="R866" s="29">
        <v>93.87</v>
      </c>
      <c r="S866" s="29">
        <v>0</v>
      </c>
      <c r="T866" s="29">
        <v>1</v>
      </c>
      <c r="U866" s="29">
        <v>0.93869999999999998</v>
      </c>
    </row>
    <row r="867" spans="1:21">
      <c r="A867" s="29">
        <v>76</v>
      </c>
      <c r="B867" s="111">
        <v>4</v>
      </c>
      <c r="C867" s="111">
        <v>30016</v>
      </c>
      <c r="D867" s="111" t="s">
        <v>772</v>
      </c>
      <c r="E867" s="111" t="s">
        <v>448</v>
      </c>
      <c r="F867" s="265">
        <v>42158</v>
      </c>
      <c r="G867" s="265">
        <v>42161</v>
      </c>
      <c r="H867" s="111">
        <v>8136</v>
      </c>
      <c r="I867" s="266">
        <f t="shared" si="49"/>
        <v>0</v>
      </c>
      <c r="J867" s="295">
        <v>0.5</v>
      </c>
      <c r="K867" s="266">
        <f t="shared" si="50"/>
        <v>40.68</v>
      </c>
      <c r="M867" s="29">
        <f t="shared" si="51"/>
        <v>3</v>
      </c>
      <c r="P867" s="29">
        <v>0</v>
      </c>
      <c r="Q867" s="29">
        <v>1464.48</v>
      </c>
      <c r="R867" s="29">
        <v>9600.48</v>
      </c>
      <c r="S867" s="29">
        <v>0</v>
      </c>
      <c r="T867" s="29">
        <v>1</v>
      </c>
      <c r="U867" s="29">
        <v>96.004800000000003</v>
      </c>
    </row>
    <row r="868" spans="1:21">
      <c r="A868" s="29">
        <v>77</v>
      </c>
      <c r="B868" s="111">
        <v>4</v>
      </c>
      <c r="C868" s="111">
        <v>30203</v>
      </c>
      <c r="D868" s="111" t="s">
        <v>767</v>
      </c>
      <c r="E868" s="111" t="s">
        <v>448</v>
      </c>
      <c r="F868" s="265">
        <v>42160</v>
      </c>
      <c r="G868" s="265">
        <v>42170</v>
      </c>
      <c r="H868" s="111">
        <v>941.38</v>
      </c>
      <c r="I868" s="266">
        <f t="shared" si="49"/>
        <v>0</v>
      </c>
      <c r="J868" s="295">
        <v>1</v>
      </c>
      <c r="K868" s="266">
        <f t="shared" si="50"/>
        <v>9.4138000000000002</v>
      </c>
      <c r="M868" s="29">
        <f t="shared" si="51"/>
        <v>10</v>
      </c>
      <c r="P868" s="29">
        <v>0</v>
      </c>
      <c r="Q868" s="29">
        <v>169.45</v>
      </c>
      <c r="R868" s="29">
        <v>1110.83</v>
      </c>
      <c r="S868" s="29">
        <v>0</v>
      </c>
      <c r="T868" s="29">
        <v>1</v>
      </c>
      <c r="U868" s="29">
        <v>11.1083</v>
      </c>
    </row>
    <row r="869" spans="1:21">
      <c r="A869" s="29">
        <v>78</v>
      </c>
      <c r="B869" s="111">
        <v>4</v>
      </c>
      <c r="C869" s="111">
        <v>29824</v>
      </c>
      <c r="D869" s="111" t="s">
        <v>761</v>
      </c>
      <c r="E869" s="111" t="s">
        <v>448</v>
      </c>
      <c r="F869" s="265">
        <v>42154</v>
      </c>
      <c r="G869" s="265">
        <v>42163</v>
      </c>
      <c r="H869" s="111">
        <v>24142.92</v>
      </c>
      <c r="I869" s="266">
        <f t="shared" si="49"/>
        <v>0</v>
      </c>
      <c r="J869" s="295">
        <v>0.5</v>
      </c>
      <c r="K869" s="266">
        <f t="shared" si="50"/>
        <v>120.71459999999999</v>
      </c>
      <c r="M869" s="29">
        <f t="shared" si="51"/>
        <v>9</v>
      </c>
      <c r="P869" s="29">
        <v>0</v>
      </c>
      <c r="Q869" s="29">
        <v>4345.7299999999996</v>
      </c>
      <c r="R869" s="29">
        <v>28488.65</v>
      </c>
      <c r="S869" s="29">
        <v>0</v>
      </c>
      <c r="T869" s="29">
        <v>1</v>
      </c>
      <c r="U869" s="29">
        <v>284.88650000000001</v>
      </c>
    </row>
    <row r="870" spans="1:21">
      <c r="A870" s="29">
        <v>79</v>
      </c>
      <c r="B870" s="111">
        <v>4</v>
      </c>
      <c r="C870" s="270">
        <v>29787</v>
      </c>
      <c r="D870" s="111" t="s">
        <v>764</v>
      </c>
      <c r="E870" s="111" t="s">
        <v>448</v>
      </c>
      <c r="F870" s="265">
        <v>42154</v>
      </c>
      <c r="G870" s="265">
        <v>42163</v>
      </c>
      <c r="H870" s="111">
        <v>17119</v>
      </c>
      <c r="I870" s="266">
        <f t="shared" si="49"/>
        <v>0</v>
      </c>
      <c r="J870" s="295">
        <v>0.5</v>
      </c>
      <c r="K870" s="266">
        <v>74.070999999999998</v>
      </c>
      <c r="M870" s="29">
        <f t="shared" si="51"/>
        <v>9</v>
      </c>
      <c r="P870" s="29">
        <v>0</v>
      </c>
      <c r="Q870" s="29">
        <v>3081.42</v>
      </c>
      <c r="R870" s="29">
        <v>20200.419999999998</v>
      </c>
      <c r="S870" s="29">
        <v>0</v>
      </c>
      <c r="T870" s="29">
        <v>1</v>
      </c>
      <c r="U870" s="29">
        <v>202.0042</v>
      </c>
    </row>
    <row r="871" spans="1:21">
      <c r="A871" s="29">
        <v>80</v>
      </c>
      <c r="B871" s="111">
        <v>4</v>
      </c>
      <c r="C871" s="111">
        <v>893</v>
      </c>
      <c r="D871" s="111" t="s">
        <v>762</v>
      </c>
      <c r="E871" s="111" t="s">
        <v>448</v>
      </c>
      <c r="F871" s="265">
        <v>42164</v>
      </c>
      <c r="G871" s="265">
        <v>42165</v>
      </c>
      <c r="H871" s="111">
        <v>454.41</v>
      </c>
      <c r="I871" s="266">
        <f t="shared" si="49"/>
        <v>0</v>
      </c>
      <c r="J871" s="295">
        <v>1</v>
      </c>
      <c r="K871" s="266">
        <f>(H871-I871)*J871%</f>
        <v>4.5441000000000003</v>
      </c>
      <c r="M871" s="29">
        <f t="shared" si="51"/>
        <v>1</v>
      </c>
      <c r="P871" s="29">
        <v>0</v>
      </c>
      <c r="Q871" s="29">
        <v>81.790000000000006</v>
      </c>
      <c r="R871" s="29">
        <v>536.20000000000005</v>
      </c>
      <c r="S871" s="29">
        <v>0</v>
      </c>
      <c r="T871" s="29">
        <v>1</v>
      </c>
      <c r="U871" s="29">
        <v>5.3620000000000001</v>
      </c>
    </row>
    <row r="872" spans="1:21">
      <c r="A872" s="29">
        <v>81</v>
      </c>
      <c r="B872" s="111">
        <v>4</v>
      </c>
      <c r="C872" s="111">
        <v>902</v>
      </c>
      <c r="D872" s="111" t="s">
        <v>762</v>
      </c>
      <c r="E872" s="111" t="s">
        <v>448</v>
      </c>
      <c r="F872" s="265">
        <v>42167</v>
      </c>
      <c r="G872" s="265">
        <v>42168</v>
      </c>
      <c r="H872" s="111">
        <v>516.32000000000005</v>
      </c>
      <c r="I872" s="266">
        <f t="shared" si="49"/>
        <v>0</v>
      </c>
      <c r="J872" s="295">
        <v>1</v>
      </c>
      <c r="K872" s="266">
        <f>(H872-I872)*J872%</f>
        <v>5.1632000000000007</v>
      </c>
      <c r="M872" s="29">
        <f t="shared" si="51"/>
        <v>1</v>
      </c>
      <c r="P872" s="29">
        <v>0</v>
      </c>
      <c r="Q872" s="29">
        <v>92.94</v>
      </c>
      <c r="R872" s="29">
        <v>609.26</v>
      </c>
      <c r="S872" s="29">
        <v>0</v>
      </c>
      <c r="T872" s="29">
        <v>1</v>
      </c>
      <c r="U872" s="29">
        <v>6.0926</v>
      </c>
    </row>
    <row r="873" spans="1:21">
      <c r="A873" s="29">
        <v>82</v>
      </c>
      <c r="B873" s="111">
        <v>4</v>
      </c>
      <c r="C873" s="111">
        <v>908</v>
      </c>
      <c r="D873" s="111" t="s">
        <v>762</v>
      </c>
      <c r="E873" s="111" t="s">
        <v>448</v>
      </c>
      <c r="F873" s="265">
        <v>42179</v>
      </c>
      <c r="G873" s="265">
        <v>42181</v>
      </c>
      <c r="H873" s="111">
        <v>91.42</v>
      </c>
      <c r="I873" s="266">
        <f t="shared" si="49"/>
        <v>0</v>
      </c>
      <c r="J873" s="295">
        <v>1</v>
      </c>
      <c r="K873" s="266">
        <f>(H873-I873)*J873%</f>
        <v>0.91420000000000001</v>
      </c>
      <c r="M873" s="29">
        <f t="shared" si="51"/>
        <v>2</v>
      </c>
      <c r="P873" s="29">
        <v>0</v>
      </c>
      <c r="Q873" s="29">
        <v>16.46</v>
      </c>
      <c r="R873" s="29">
        <v>107.88</v>
      </c>
      <c r="S873" s="29">
        <v>0</v>
      </c>
      <c r="T873" s="29">
        <v>1</v>
      </c>
      <c r="U873" s="29">
        <v>1.0788</v>
      </c>
    </row>
    <row r="874" spans="1:21">
      <c r="G874" s="107" t="s">
        <v>765</v>
      </c>
      <c r="H874" s="304">
        <f>SUM(H792:H873)</f>
        <v>233287.12000000005</v>
      </c>
      <c r="J874" s="305" t="s">
        <v>383</v>
      </c>
      <c r="K874" s="304">
        <f>SUM(K792:K873)</f>
        <v>1837.3771762711865</v>
      </c>
    </row>
    <row r="877" spans="1:21">
      <c r="B877" s="59"/>
      <c r="C877" s="59"/>
      <c r="D877" s="59" t="s">
        <v>792</v>
      </c>
      <c r="E877" s="59"/>
      <c r="F877" s="59"/>
      <c r="G877" s="59"/>
      <c r="H877" s="59"/>
      <c r="I877" s="59"/>
      <c r="J877" s="293"/>
      <c r="K877" s="59"/>
    </row>
    <row r="878" spans="1:21">
      <c r="B878" s="59"/>
      <c r="C878" s="59"/>
      <c r="D878" s="59"/>
      <c r="E878" s="59"/>
      <c r="F878" s="59"/>
      <c r="G878" s="59"/>
      <c r="H878" s="59"/>
      <c r="I878" s="59"/>
      <c r="J878" s="293"/>
      <c r="K878" s="59"/>
    </row>
    <row r="879" spans="1:21">
      <c r="B879" s="264" t="s">
        <v>369</v>
      </c>
      <c r="C879" s="264" t="s">
        <v>370</v>
      </c>
      <c r="D879" s="264" t="s">
        <v>371</v>
      </c>
      <c r="E879" s="264" t="s">
        <v>372</v>
      </c>
      <c r="F879" s="264" t="s">
        <v>373</v>
      </c>
      <c r="G879" s="264" t="s">
        <v>393</v>
      </c>
      <c r="H879" s="264" t="s">
        <v>375</v>
      </c>
      <c r="I879" s="264" t="s">
        <v>376</v>
      </c>
      <c r="J879" s="294" t="s">
        <v>377</v>
      </c>
      <c r="K879" s="264" t="s">
        <v>378</v>
      </c>
    </row>
    <row r="881" spans="2:20">
      <c r="B881" s="29">
        <v>4</v>
      </c>
      <c r="C881" s="33">
        <v>29105</v>
      </c>
      <c r="D881" s="33" t="s">
        <v>772</v>
      </c>
      <c r="E881" s="33" t="s">
        <v>448</v>
      </c>
      <c r="F881" s="280">
        <v>42145</v>
      </c>
      <c r="G881" s="280">
        <v>42157</v>
      </c>
      <c r="H881" s="33">
        <v>9492</v>
      </c>
      <c r="I881" s="33">
        <v>0</v>
      </c>
      <c r="J881" s="301">
        <v>1708.56</v>
      </c>
      <c r="K881" s="33">
        <v>11200.56</v>
      </c>
      <c r="L881" s="33">
        <v>0</v>
      </c>
      <c r="M881" s="33">
        <v>1</v>
      </c>
      <c r="N881" s="33">
        <v>112.0056</v>
      </c>
      <c r="O881" s="33">
        <v>12520</v>
      </c>
      <c r="P881" s="33">
        <v>965757</v>
      </c>
    </row>
    <row r="882" spans="2:20">
      <c r="B882" s="29">
        <v>4</v>
      </c>
      <c r="C882" s="33">
        <v>29105</v>
      </c>
      <c r="D882" s="33" t="s">
        <v>772</v>
      </c>
      <c r="E882" s="33" t="s">
        <v>448</v>
      </c>
      <c r="F882" s="280">
        <v>42145</v>
      </c>
      <c r="G882" s="280">
        <v>42157</v>
      </c>
      <c r="H882" s="33">
        <v>9492</v>
      </c>
      <c r="I882" s="33">
        <v>0</v>
      </c>
      <c r="J882" s="301">
        <v>1708.56</v>
      </c>
      <c r="K882" s="33">
        <v>11200.56</v>
      </c>
      <c r="L882" s="33">
        <v>0</v>
      </c>
      <c r="M882" s="33">
        <v>1</v>
      </c>
      <c r="N882" s="33">
        <v>112.0056</v>
      </c>
      <c r="O882" s="33">
        <v>12520</v>
      </c>
      <c r="P882" s="33">
        <v>965757</v>
      </c>
    </row>
    <row r="883" spans="2:20">
      <c r="B883" s="29">
        <v>4</v>
      </c>
      <c r="C883" s="33">
        <v>29105</v>
      </c>
      <c r="D883" s="33" t="s">
        <v>772</v>
      </c>
      <c r="E883" s="33" t="s">
        <v>448</v>
      </c>
      <c r="F883" s="280">
        <v>42145</v>
      </c>
      <c r="G883" s="280">
        <v>42157</v>
      </c>
      <c r="H883" s="33">
        <v>9492</v>
      </c>
      <c r="I883" s="33">
        <v>0</v>
      </c>
      <c r="J883" s="301">
        <v>1708.56</v>
      </c>
      <c r="K883" s="33">
        <v>11200.56</v>
      </c>
      <c r="L883" s="33">
        <v>0</v>
      </c>
      <c r="M883" s="33">
        <v>1</v>
      </c>
      <c r="N883" s="33">
        <v>112.0056</v>
      </c>
      <c r="O883" s="33">
        <v>12519</v>
      </c>
      <c r="P883" s="33">
        <v>965757</v>
      </c>
    </row>
    <row r="884" spans="2:20">
      <c r="B884" s="29">
        <v>4</v>
      </c>
      <c r="C884" s="29">
        <v>29305</v>
      </c>
      <c r="D884" s="29" t="s">
        <v>772</v>
      </c>
      <c r="E884" s="29" t="s">
        <v>448</v>
      </c>
      <c r="F884" s="263">
        <v>42149</v>
      </c>
      <c r="G884" s="263">
        <v>42157</v>
      </c>
      <c r="H884" s="29">
        <v>4068</v>
      </c>
      <c r="I884" s="29">
        <v>0</v>
      </c>
      <c r="J884" s="292">
        <v>732.24</v>
      </c>
      <c r="K884" s="29">
        <v>4800.24</v>
      </c>
      <c r="L884" s="29">
        <v>0</v>
      </c>
      <c r="M884" s="29">
        <v>1</v>
      </c>
      <c r="N884" s="29">
        <v>48.002400000000002</v>
      </c>
      <c r="O884" s="29">
        <v>12519</v>
      </c>
      <c r="P884" s="29">
        <v>966124</v>
      </c>
    </row>
    <row r="885" spans="2:20">
      <c r="B885" s="29">
        <v>4</v>
      </c>
      <c r="C885" s="29">
        <v>29305</v>
      </c>
      <c r="D885" s="29" t="s">
        <v>772</v>
      </c>
      <c r="E885" s="29" t="s">
        <v>448</v>
      </c>
      <c r="F885" s="263">
        <v>42149</v>
      </c>
      <c r="G885" s="263">
        <v>42157</v>
      </c>
      <c r="H885" s="29">
        <v>4068</v>
      </c>
      <c r="I885" s="29">
        <v>0</v>
      </c>
      <c r="J885" s="292">
        <v>732.24</v>
      </c>
      <c r="K885" s="29">
        <v>4800.24</v>
      </c>
      <c r="L885" s="29">
        <v>0</v>
      </c>
      <c r="M885" s="29">
        <v>1</v>
      </c>
      <c r="N885" s="29">
        <v>48.002400000000002</v>
      </c>
      <c r="O885" s="29">
        <v>12519</v>
      </c>
      <c r="P885" s="29">
        <v>966124</v>
      </c>
    </row>
    <row r="886" spans="2:20">
      <c r="B886" s="29">
        <v>4</v>
      </c>
      <c r="C886" s="29">
        <v>29305</v>
      </c>
      <c r="D886" s="29" t="s">
        <v>772</v>
      </c>
      <c r="E886" s="29" t="s">
        <v>448</v>
      </c>
      <c r="F886" s="263">
        <v>42149</v>
      </c>
      <c r="G886" s="263">
        <v>42157</v>
      </c>
      <c r="H886" s="29">
        <v>4068</v>
      </c>
      <c r="I886" s="29">
        <v>0</v>
      </c>
      <c r="J886" s="292">
        <v>732.24</v>
      </c>
      <c r="K886" s="29">
        <v>4800.24</v>
      </c>
      <c r="L886" s="29">
        <v>0</v>
      </c>
      <c r="M886" s="29">
        <v>1</v>
      </c>
      <c r="N886" s="29">
        <v>48.002400000000002</v>
      </c>
      <c r="O886" s="29">
        <v>12519</v>
      </c>
      <c r="P886" s="29">
        <v>966124</v>
      </c>
    </row>
    <row r="887" spans="2:20">
      <c r="B887" s="29">
        <v>4</v>
      </c>
      <c r="C887" s="33">
        <v>29787</v>
      </c>
      <c r="D887" s="33" t="s">
        <v>764</v>
      </c>
      <c r="E887" s="33" t="s">
        <v>448</v>
      </c>
      <c r="F887" s="280">
        <v>42154</v>
      </c>
      <c r="G887" s="280">
        <v>42163</v>
      </c>
      <c r="H887" s="33">
        <v>17119</v>
      </c>
      <c r="I887" s="33">
        <v>0</v>
      </c>
      <c r="J887" s="301">
        <v>3081.42</v>
      </c>
      <c r="K887" s="33">
        <v>20200.419999999998</v>
      </c>
      <c r="L887" s="33">
        <v>0</v>
      </c>
      <c r="M887" s="33">
        <v>1</v>
      </c>
      <c r="N887" s="33">
        <v>202.0042</v>
      </c>
      <c r="O887" s="33">
        <v>12520</v>
      </c>
      <c r="P887" s="33">
        <v>966787</v>
      </c>
      <c r="Q887" s="33">
        <v>2881</v>
      </c>
      <c r="R887" s="29">
        <f>H887-Q887</f>
        <v>14238</v>
      </c>
      <c r="S887" s="29">
        <f>R887*0.5%</f>
        <v>71.19</v>
      </c>
    </row>
    <row r="888" spans="2:20">
      <c r="B888" s="29">
        <v>4</v>
      </c>
      <c r="C888" s="33">
        <v>29787</v>
      </c>
      <c r="D888" s="33" t="s">
        <v>764</v>
      </c>
      <c r="E888" s="33" t="s">
        <v>448</v>
      </c>
      <c r="F888" s="280">
        <v>42154</v>
      </c>
      <c r="G888" s="280">
        <v>42163</v>
      </c>
      <c r="H888" s="33">
        <v>17119</v>
      </c>
      <c r="I888" s="33">
        <v>0</v>
      </c>
      <c r="J888" s="301">
        <v>3081.42</v>
      </c>
      <c r="K888" s="33">
        <v>20200.419999999998</v>
      </c>
      <c r="L888" s="33">
        <v>0</v>
      </c>
      <c r="M888" s="33">
        <v>1</v>
      </c>
      <c r="N888" s="33">
        <v>202.0042</v>
      </c>
      <c r="O888" s="33">
        <v>12520</v>
      </c>
      <c r="P888" s="33">
        <v>966787</v>
      </c>
      <c r="S888" s="29">
        <f>Q887*0.1%</f>
        <v>2.8810000000000002</v>
      </c>
      <c r="T888" s="29">
        <f>S888+S887</f>
        <v>74.070999999999998</v>
      </c>
    </row>
    <row r="889" spans="2:20">
      <c r="B889" s="29">
        <v>4</v>
      </c>
      <c r="C889" s="33">
        <v>29787</v>
      </c>
      <c r="D889" s="33" t="s">
        <v>764</v>
      </c>
      <c r="E889" s="33" t="s">
        <v>448</v>
      </c>
      <c r="F889" s="280">
        <v>42154</v>
      </c>
      <c r="G889" s="280">
        <v>42163</v>
      </c>
      <c r="H889" s="33">
        <v>17119</v>
      </c>
      <c r="I889" s="33">
        <v>0</v>
      </c>
      <c r="J889" s="301">
        <v>3081.42</v>
      </c>
      <c r="K889" s="33">
        <v>20200.419999999998</v>
      </c>
      <c r="L889" s="33">
        <v>0</v>
      </c>
      <c r="M889" s="33">
        <v>1</v>
      </c>
      <c r="N889" s="33">
        <v>202.0042</v>
      </c>
      <c r="O889" s="33">
        <v>12520</v>
      </c>
      <c r="P889" s="33">
        <v>966787</v>
      </c>
    </row>
    <row r="890" spans="2:20">
      <c r="B890" s="29">
        <v>4</v>
      </c>
      <c r="C890" s="33">
        <v>29787</v>
      </c>
      <c r="D890" s="33" t="s">
        <v>764</v>
      </c>
      <c r="E890" s="33" t="s">
        <v>448</v>
      </c>
      <c r="F890" s="280">
        <v>42154</v>
      </c>
      <c r="G890" s="280">
        <v>42163</v>
      </c>
      <c r="H890" s="33">
        <v>17119</v>
      </c>
      <c r="I890" s="33">
        <v>0</v>
      </c>
      <c r="J890" s="301">
        <v>3081.42</v>
      </c>
      <c r="K890" s="33">
        <v>20200.419999999998</v>
      </c>
      <c r="L890" s="33">
        <v>0</v>
      </c>
      <c r="M890" s="33">
        <v>1</v>
      </c>
      <c r="N890" s="33">
        <v>202.0042</v>
      </c>
      <c r="O890" s="33">
        <v>12519</v>
      </c>
      <c r="P890" s="33">
        <v>966787</v>
      </c>
    </row>
    <row r="891" spans="2:20">
      <c r="B891" s="29">
        <v>4</v>
      </c>
      <c r="C891" s="29">
        <v>29825</v>
      </c>
      <c r="D891" s="29" t="s">
        <v>764</v>
      </c>
      <c r="E891" s="29" t="s">
        <v>448</v>
      </c>
      <c r="F891" s="263">
        <v>42154</v>
      </c>
      <c r="G891" s="263">
        <v>42163</v>
      </c>
      <c r="H891" s="29">
        <v>6102</v>
      </c>
      <c r="I891" s="29">
        <v>0</v>
      </c>
      <c r="J891" s="292">
        <v>1098.3599999999999</v>
      </c>
      <c r="K891" s="29">
        <v>7200.36</v>
      </c>
      <c r="L891" s="29">
        <v>0</v>
      </c>
      <c r="M891" s="29">
        <v>1</v>
      </c>
      <c r="N891" s="29">
        <v>72.003600000000006</v>
      </c>
      <c r="O891" s="29">
        <v>12519</v>
      </c>
      <c r="P891" s="29">
        <v>966845</v>
      </c>
    </row>
    <row r="892" spans="2:20">
      <c r="B892" s="29">
        <v>4</v>
      </c>
      <c r="C892" s="29">
        <v>29825</v>
      </c>
      <c r="D892" s="29" t="s">
        <v>764</v>
      </c>
      <c r="E892" s="29" t="s">
        <v>448</v>
      </c>
      <c r="F892" s="263">
        <v>42154</v>
      </c>
      <c r="G892" s="263">
        <v>42163</v>
      </c>
      <c r="H892" s="29">
        <v>6102</v>
      </c>
      <c r="I892" s="29">
        <v>0</v>
      </c>
      <c r="J892" s="292">
        <v>1098.3599999999999</v>
      </c>
      <c r="K892" s="29">
        <v>7200.36</v>
      </c>
      <c r="L892" s="29">
        <v>0</v>
      </c>
      <c r="M892" s="29">
        <v>1</v>
      </c>
      <c r="N892" s="29">
        <v>72.003600000000006</v>
      </c>
      <c r="O892" s="29">
        <v>12519</v>
      </c>
      <c r="P892" s="29">
        <v>966845</v>
      </c>
    </row>
    <row r="893" spans="2:20">
      <c r="B893" s="29">
        <v>4</v>
      </c>
      <c r="C893" s="33">
        <v>29824</v>
      </c>
      <c r="D893" s="33" t="s">
        <v>761</v>
      </c>
      <c r="E893" s="33" t="s">
        <v>448</v>
      </c>
      <c r="F893" s="280">
        <v>42154</v>
      </c>
      <c r="G893" s="280">
        <v>42163</v>
      </c>
      <c r="H893" s="33">
        <v>24142.92</v>
      </c>
      <c r="I893" s="33">
        <v>0</v>
      </c>
      <c r="J893" s="301">
        <v>4345.7299999999996</v>
      </c>
      <c r="K893" s="33">
        <v>28488.65</v>
      </c>
      <c r="L893" s="33">
        <v>0</v>
      </c>
      <c r="M893" s="33">
        <v>1</v>
      </c>
      <c r="N893" s="33">
        <v>284.88650000000001</v>
      </c>
      <c r="O893" s="33">
        <v>12520</v>
      </c>
      <c r="P893" s="33">
        <v>966846</v>
      </c>
    </row>
    <row r="894" spans="2:20">
      <c r="B894" s="29">
        <v>4</v>
      </c>
      <c r="C894" s="33">
        <v>29824</v>
      </c>
      <c r="D894" s="33" t="s">
        <v>761</v>
      </c>
      <c r="E894" s="33" t="s">
        <v>448</v>
      </c>
      <c r="F894" s="280">
        <v>42154</v>
      </c>
      <c r="G894" s="280">
        <v>42163</v>
      </c>
      <c r="H894" s="33">
        <v>24142.92</v>
      </c>
      <c r="I894" s="33">
        <v>0</v>
      </c>
      <c r="J894" s="301">
        <v>4345.7299999999996</v>
      </c>
      <c r="K894" s="33">
        <v>28488.65</v>
      </c>
      <c r="L894" s="33">
        <v>0</v>
      </c>
      <c r="M894" s="33">
        <v>1</v>
      </c>
      <c r="N894" s="33">
        <v>284.88650000000001</v>
      </c>
      <c r="O894" s="33">
        <v>12520</v>
      </c>
      <c r="P894" s="33">
        <v>966846</v>
      </c>
    </row>
    <row r="895" spans="2:20">
      <c r="B895" s="29">
        <v>4</v>
      </c>
      <c r="C895" s="33">
        <v>29824</v>
      </c>
      <c r="D895" s="33" t="s">
        <v>761</v>
      </c>
      <c r="E895" s="33" t="s">
        <v>448</v>
      </c>
      <c r="F895" s="280">
        <v>42154</v>
      </c>
      <c r="G895" s="280">
        <v>42163</v>
      </c>
      <c r="H895" s="33">
        <v>24142.92</v>
      </c>
      <c r="I895" s="33">
        <v>0</v>
      </c>
      <c r="J895" s="301">
        <v>4345.7299999999996</v>
      </c>
      <c r="K895" s="33">
        <v>28488.65</v>
      </c>
      <c r="L895" s="33">
        <v>0</v>
      </c>
      <c r="M895" s="33">
        <v>1</v>
      </c>
      <c r="N895" s="33">
        <v>284.88650000000001</v>
      </c>
      <c r="O895" s="33">
        <v>12520</v>
      </c>
      <c r="P895" s="33">
        <v>966846</v>
      </c>
    </row>
    <row r="896" spans="2:20">
      <c r="B896" s="29">
        <v>4</v>
      </c>
      <c r="C896" s="33">
        <v>29824</v>
      </c>
      <c r="D896" s="33" t="s">
        <v>761</v>
      </c>
      <c r="E896" s="33" t="s">
        <v>448</v>
      </c>
      <c r="F896" s="280">
        <v>42154</v>
      </c>
      <c r="G896" s="280">
        <v>42163</v>
      </c>
      <c r="H896" s="33">
        <v>24142.92</v>
      </c>
      <c r="I896" s="33">
        <v>0</v>
      </c>
      <c r="J896" s="301">
        <v>4345.7299999999996</v>
      </c>
      <c r="K896" s="33">
        <v>28488.65</v>
      </c>
      <c r="L896" s="33">
        <v>0</v>
      </c>
      <c r="M896" s="33">
        <v>1</v>
      </c>
      <c r="N896" s="33">
        <v>284.88650000000001</v>
      </c>
      <c r="O896" s="33">
        <v>12519</v>
      </c>
      <c r="P896" s="33">
        <v>966846</v>
      </c>
    </row>
    <row r="897" spans="2:21">
      <c r="B897" s="29">
        <v>4</v>
      </c>
      <c r="C897" s="33">
        <v>29824</v>
      </c>
      <c r="D897" s="33" t="s">
        <v>761</v>
      </c>
      <c r="E897" s="33" t="s">
        <v>448</v>
      </c>
      <c r="F897" s="280">
        <v>42154</v>
      </c>
      <c r="G897" s="280">
        <v>42163</v>
      </c>
      <c r="H897" s="33">
        <v>24142.92</v>
      </c>
      <c r="I897" s="33">
        <v>0</v>
      </c>
      <c r="J897" s="301">
        <v>4345.7299999999996</v>
      </c>
      <c r="K897" s="33">
        <v>28488.65</v>
      </c>
      <c r="L897" s="33">
        <v>0</v>
      </c>
      <c r="M897" s="33">
        <v>1</v>
      </c>
      <c r="N897" s="33">
        <v>284.88650000000001</v>
      </c>
      <c r="O897" s="33">
        <v>12519</v>
      </c>
      <c r="P897" s="33">
        <v>966846</v>
      </c>
    </row>
    <row r="898" spans="2:21">
      <c r="B898" s="29">
        <v>4</v>
      </c>
      <c r="C898" s="29">
        <v>29907</v>
      </c>
      <c r="D898" s="29" t="s">
        <v>772</v>
      </c>
      <c r="E898" s="29" t="s">
        <v>448</v>
      </c>
      <c r="F898" s="263">
        <v>42156</v>
      </c>
      <c r="G898" s="263">
        <v>42161</v>
      </c>
      <c r="H898" s="29">
        <v>18984</v>
      </c>
      <c r="I898" s="29">
        <v>0</v>
      </c>
      <c r="J898" s="292">
        <v>3417.12</v>
      </c>
      <c r="K898" s="29">
        <v>22401.119999999999</v>
      </c>
      <c r="L898" s="29">
        <v>0</v>
      </c>
      <c r="M898" s="29">
        <v>1</v>
      </c>
      <c r="N898" s="29">
        <v>224.0112</v>
      </c>
      <c r="O898" s="29">
        <v>12520</v>
      </c>
      <c r="P898" s="29">
        <v>966949</v>
      </c>
    </row>
    <row r="899" spans="2:21">
      <c r="B899" s="29">
        <v>4</v>
      </c>
      <c r="C899" s="29">
        <v>29907</v>
      </c>
      <c r="D899" s="29" t="s">
        <v>772</v>
      </c>
      <c r="E899" s="29" t="s">
        <v>448</v>
      </c>
      <c r="F899" s="263">
        <v>42156</v>
      </c>
      <c r="G899" s="263">
        <v>42161</v>
      </c>
      <c r="H899" s="29">
        <v>18984</v>
      </c>
      <c r="I899" s="29">
        <v>0</v>
      </c>
      <c r="J899" s="292">
        <v>3417.12</v>
      </c>
      <c r="K899" s="29">
        <v>22401.119999999999</v>
      </c>
      <c r="L899" s="29">
        <v>0</v>
      </c>
      <c r="M899" s="29">
        <v>1</v>
      </c>
      <c r="N899" s="29">
        <v>224.0112</v>
      </c>
      <c r="O899" s="29">
        <v>12520</v>
      </c>
      <c r="P899" s="29">
        <v>966949</v>
      </c>
    </row>
    <row r="900" spans="2:21">
      <c r="B900" s="29">
        <v>4</v>
      </c>
      <c r="C900" s="29">
        <v>29907</v>
      </c>
      <c r="D900" s="29" t="s">
        <v>772</v>
      </c>
      <c r="E900" s="29" t="s">
        <v>448</v>
      </c>
      <c r="F900" s="263">
        <v>42156</v>
      </c>
      <c r="G900" s="263">
        <v>42161</v>
      </c>
      <c r="H900" s="29">
        <v>18984</v>
      </c>
      <c r="I900" s="29">
        <v>0</v>
      </c>
      <c r="J900" s="292">
        <v>3417.12</v>
      </c>
      <c r="K900" s="29">
        <v>22401.119999999999</v>
      </c>
      <c r="L900" s="29">
        <v>0</v>
      </c>
      <c r="M900" s="29">
        <v>1</v>
      </c>
      <c r="N900" s="29">
        <v>224.0112</v>
      </c>
      <c r="O900" s="29">
        <v>12520</v>
      </c>
      <c r="P900" s="29">
        <v>966949</v>
      </c>
    </row>
    <row r="901" spans="2:21">
      <c r="B901" s="29">
        <v>4</v>
      </c>
      <c r="C901" s="29">
        <v>29907</v>
      </c>
      <c r="D901" s="29" t="s">
        <v>772</v>
      </c>
      <c r="E901" s="29" t="s">
        <v>448</v>
      </c>
      <c r="F901" s="263">
        <v>42156</v>
      </c>
      <c r="G901" s="263">
        <v>42161</v>
      </c>
      <c r="H901" s="29">
        <v>18984</v>
      </c>
      <c r="I901" s="29">
        <v>0</v>
      </c>
      <c r="J901" s="292">
        <v>3417.12</v>
      </c>
      <c r="K901" s="29">
        <v>22401.119999999999</v>
      </c>
      <c r="L901" s="29">
        <v>0</v>
      </c>
      <c r="M901" s="29">
        <v>1</v>
      </c>
      <c r="N901" s="29">
        <v>224.0112</v>
      </c>
      <c r="O901" s="29">
        <v>12520</v>
      </c>
      <c r="P901" s="29">
        <v>966949</v>
      </c>
    </row>
    <row r="902" spans="2:21">
      <c r="B902" s="29">
        <v>4</v>
      </c>
      <c r="C902" s="29">
        <v>29907</v>
      </c>
      <c r="D902" s="29" t="s">
        <v>772</v>
      </c>
      <c r="E902" s="29" t="s">
        <v>448</v>
      </c>
      <c r="F902" s="263">
        <v>42156</v>
      </c>
      <c r="G902" s="263">
        <v>42161</v>
      </c>
      <c r="H902" s="29">
        <v>18984</v>
      </c>
      <c r="I902" s="29">
        <v>0</v>
      </c>
      <c r="J902" s="292">
        <v>3417.12</v>
      </c>
      <c r="K902" s="29">
        <v>22401.119999999999</v>
      </c>
      <c r="L902" s="29">
        <v>0</v>
      </c>
      <c r="M902" s="29">
        <v>1</v>
      </c>
      <c r="N902" s="29">
        <v>224.0112</v>
      </c>
      <c r="O902" s="29">
        <v>12519</v>
      </c>
      <c r="P902" s="29">
        <v>966949</v>
      </c>
    </row>
    <row r="903" spans="2:21">
      <c r="B903" s="29">
        <v>4</v>
      </c>
      <c r="C903" s="33">
        <v>30016</v>
      </c>
      <c r="D903" s="33" t="s">
        <v>772</v>
      </c>
      <c r="E903" s="33" t="s">
        <v>448</v>
      </c>
      <c r="F903" s="280">
        <v>42158</v>
      </c>
      <c r="G903" s="280">
        <v>42161</v>
      </c>
      <c r="H903" s="33">
        <v>8136</v>
      </c>
      <c r="I903" s="33">
        <v>0</v>
      </c>
      <c r="J903" s="301">
        <v>1464.48</v>
      </c>
      <c r="K903" s="33">
        <v>9600.48</v>
      </c>
      <c r="L903" s="33">
        <v>0</v>
      </c>
      <c r="M903" s="33">
        <v>1</v>
      </c>
      <c r="N903" s="33">
        <v>96.004800000000003</v>
      </c>
      <c r="O903" s="33">
        <v>12519</v>
      </c>
      <c r="P903" s="33">
        <v>967240</v>
      </c>
    </row>
    <row r="904" spans="2:21">
      <c r="B904" s="29">
        <v>4</v>
      </c>
      <c r="C904" s="33">
        <v>30016</v>
      </c>
      <c r="D904" s="33" t="s">
        <v>772</v>
      </c>
      <c r="E904" s="33" t="s">
        <v>448</v>
      </c>
      <c r="F904" s="280">
        <v>42158</v>
      </c>
      <c r="G904" s="280">
        <v>42161</v>
      </c>
      <c r="H904" s="33">
        <v>8136</v>
      </c>
      <c r="I904" s="33">
        <v>0</v>
      </c>
      <c r="J904" s="301">
        <v>1464.48</v>
      </c>
      <c r="K904" s="33">
        <v>9600.48</v>
      </c>
      <c r="L904" s="33">
        <v>0</v>
      </c>
      <c r="M904" s="33">
        <v>1</v>
      </c>
      <c r="N904" s="33">
        <v>96.004800000000003</v>
      </c>
      <c r="O904" s="33">
        <v>12519</v>
      </c>
      <c r="P904" s="33">
        <v>967240</v>
      </c>
    </row>
    <row r="906" spans="2:21">
      <c r="B906" s="59"/>
      <c r="C906" s="59"/>
      <c r="D906" s="59" t="s">
        <v>792</v>
      </c>
      <c r="E906" s="59"/>
      <c r="F906" s="59"/>
      <c r="G906" s="59"/>
      <c r="H906" s="59"/>
      <c r="I906" s="59"/>
      <c r="J906" s="293"/>
      <c r="K906" s="59"/>
    </row>
    <row r="907" spans="2:21">
      <c r="B907" s="59"/>
      <c r="C907" s="59"/>
      <c r="D907" s="59"/>
      <c r="E907" s="59"/>
      <c r="F907" s="59"/>
      <c r="G907" s="59"/>
      <c r="H907" s="59"/>
      <c r="I907" s="59"/>
      <c r="J907" s="293"/>
      <c r="K907" s="59"/>
    </row>
    <row r="908" spans="2:21">
      <c r="B908" s="264" t="s">
        <v>369</v>
      </c>
      <c r="C908" s="264" t="s">
        <v>370</v>
      </c>
      <c r="D908" s="264" t="s">
        <v>371</v>
      </c>
      <c r="E908" s="264" t="s">
        <v>372</v>
      </c>
      <c r="F908" s="264" t="s">
        <v>373</v>
      </c>
      <c r="G908" s="264" t="s">
        <v>393</v>
      </c>
      <c r="H908" s="264" t="s">
        <v>375</v>
      </c>
      <c r="I908" s="264" t="s">
        <v>376</v>
      </c>
      <c r="J908" s="294" t="s">
        <v>377</v>
      </c>
      <c r="K908" s="264" t="s">
        <v>378</v>
      </c>
    </row>
    <row r="909" spans="2:21">
      <c r="B909" s="111">
        <v>4</v>
      </c>
      <c r="C909" s="111">
        <v>25372</v>
      </c>
      <c r="D909" s="111" t="s">
        <v>766</v>
      </c>
      <c r="E909" s="111" t="s">
        <v>448</v>
      </c>
      <c r="F909" s="265">
        <v>42090</v>
      </c>
      <c r="G909" s="265">
        <v>42161</v>
      </c>
      <c r="H909" s="266">
        <f t="shared" ref="H909:H940" si="52">O909+P909</f>
        <v>98.65</v>
      </c>
      <c r="I909" s="266">
        <f t="shared" ref="I909:I940" si="53">S909/1.18</f>
        <v>6.7881355932203391</v>
      </c>
      <c r="J909" s="295">
        <f t="shared" ref="J909:J934" si="54">L909</f>
        <v>1</v>
      </c>
      <c r="K909" s="266">
        <f t="shared" ref="K909:K940" si="55">(H909-I909)*J909%</f>
        <v>0.91861864406779659</v>
      </c>
      <c r="L909" s="147">
        <f t="shared" ref="L909:L940" si="56">VLOOKUP(C909,$C$792:$K$873,8,0)</f>
        <v>1</v>
      </c>
      <c r="M909" s="263"/>
      <c r="N909" s="263"/>
      <c r="O909" s="29">
        <v>98.65</v>
      </c>
      <c r="P909" s="29">
        <v>0</v>
      </c>
      <c r="Q909" s="29">
        <v>17.760000000000002</v>
      </c>
      <c r="R909" s="29">
        <v>116.41</v>
      </c>
      <c r="S909" s="29">
        <v>8.01</v>
      </c>
      <c r="T909" s="29">
        <v>1</v>
      </c>
      <c r="U909" s="29">
        <v>1.0840000000000001</v>
      </c>
    </row>
    <row r="910" spans="2:21">
      <c r="B910" s="111">
        <v>4</v>
      </c>
      <c r="C910" s="111">
        <v>25406</v>
      </c>
      <c r="D910" s="111" t="s">
        <v>757</v>
      </c>
      <c r="E910" s="111" t="s">
        <v>448</v>
      </c>
      <c r="F910" s="265">
        <v>42091</v>
      </c>
      <c r="G910" s="265">
        <v>42161</v>
      </c>
      <c r="H910" s="266">
        <f t="shared" si="52"/>
        <v>507.15</v>
      </c>
      <c r="I910" s="266">
        <f t="shared" si="53"/>
        <v>155</v>
      </c>
      <c r="J910" s="295">
        <f t="shared" si="54"/>
        <v>1</v>
      </c>
      <c r="K910" s="266">
        <f t="shared" si="55"/>
        <v>3.5214999999999996</v>
      </c>
      <c r="L910" s="147">
        <f t="shared" si="56"/>
        <v>1</v>
      </c>
      <c r="M910" s="263"/>
      <c r="N910" s="263"/>
      <c r="O910" s="29">
        <v>507.15</v>
      </c>
      <c r="P910" s="29">
        <v>0</v>
      </c>
      <c r="Q910" s="29">
        <v>91.29</v>
      </c>
      <c r="R910" s="29">
        <v>598.44000000000005</v>
      </c>
      <c r="S910" s="29">
        <v>182.9</v>
      </c>
      <c r="T910" s="29">
        <v>1</v>
      </c>
      <c r="U910" s="29">
        <v>4.1554000000000002</v>
      </c>
    </row>
    <row r="911" spans="2:21">
      <c r="B911" s="111">
        <v>4</v>
      </c>
      <c r="C911" s="111">
        <v>26262</v>
      </c>
      <c r="D911" s="111" t="s">
        <v>759</v>
      </c>
      <c r="E911" s="111" t="s">
        <v>448</v>
      </c>
      <c r="F911" s="265">
        <v>42104</v>
      </c>
      <c r="G911" s="265">
        <v>42178</v>
      </c>
      <c r="H911" s="266">
        <f t="shared" si="52"/>
        <v>378.89</v>
      </c>
      <c r="I911" s="266">
        <f t="shared" si="53"/>
        <v>374.56779661016952</v>
      </c>
      <c r="J911" s="295">
        <f t="shared" si="54"/>
        <v>1</v>
      </c>
      <c r="K911" s="266">
        <f t="shared" si="55"/>
        <v>4.3222033898304632E-2</v>
      </c>
      <c r="L911" s="147">
        <f t="shared" si="56"/>
        <v>1</v>
      </c>
      <c r="M911" s="263"/>
      <c r="N911" s="263"/>
      <c r="O911" s="29">
        <v>378.89</v>
      </c>
      <c r="P911" s="29">
        <v>0</v>
      </c>
      <c r="Q911" s="29">
        <v>68.2</v>
      </c>
      <c r="R911" s="29">
        <v>447.09</v>
      </c>
      <c r="S911" s="29">
        <v>441.99</v>
      </c>
      <c r="T911" s="29">
        <v>1</v>
      </c>
      <c r="U911" s="29">
        <v>5.0999999999999997E-2</v>
      </c>
    </row>
    <row r="912" spans="2:21">
      <c r="B912" s="111">
        <v>4</v>
      </c>
      <c r="C912" s="111">
        <v>26599</v>
      </c>
      <c r="D912" s="111" t="s">
        <v>758</v>
      </c>
      <c r="E912" s="111" t="s">
        <v>448</v>
      </c>
      <c r="F912" s="265">
        <v>42110</v>
      </c>
      <c r="G912" s="265">
        <v>42156</v>
      </c>
      <c r="H912" s="266">
        <f t="shared" si="52"/>
        <v>1780.1</v>
      </c>
      <c r="I912" s="266">
        <f t="shared" si="53"/>
        <v>0</v>
      </c>
      <c r="J912" s="295">
        <f t="shared" si="54"/>
        <v>1</v>
      </c>
      <c r="K912" s="266">
        <f t="shared" si="55"/>
        <v>17.800999999999998</v>
      </c>
      <c r="L912" s="147">
        <f t="shared" si="56"/>
        <v>1</v>
      </c>
      <c r="M912" s="263"/>
      <c r="N912" s="263"/>
      <c r="O912" s="29">
        <v>1780.1</v>
      </c>
      <c r="P912" s="29">
        <v>0</v>
      </c>
      <c r="Q912" s="29">
        <v>320.42</v>
      </c>
      <c r="R912" s="29">
        <v>2100.52</v>
      </c>
      <c r="S912" s="29">
        <v>0</v>
      </c>
      <c r="T912" s="29">
        <v>1</v>
      </c>
      <c r="U912" s="29">
        <v>21.005199999999999</v>
      </c>
    </row>
    <row r="913" spans="2:21">
      <c r="B913" s="111">
        <v>4</v>
      </c>
      <c r="C913" s="111">
        <v>26598</v>
      </c>
      <c r="D913" s="111" t="s">
        <v>758</v>
      </c>
      <c r="E913" s="111" t="s">
        <v>448</v>
      </c>
      <c r="F913" s="265">
        <v>42110</v>
      </c>
      <c r="G913" s="265">
        <v>42156</v>
      </c>
      <c r="H913" s="266">
        <f t="shared" si="52"/>
        <v>458.58</v>
      </c>
      <c r="I913" s="266">
        <f t="shared" si="53"/>
        <v>0</v>
      </c>
      <c r="J913" s="295">
        <f t="shared" si="54"/>
        <v>1</v>
      </c>
      <c r="K913" s="266">
        <f t="shared" si="55"/>
        <v>4.5857999999999999</v>
      </c>
      <c r="L913" s="147">
        <f t="shared" si="56"/>
        <v>1</v>
      </c>
      <c r="M913" s="263"/>
      <c r="N913" s="263"/>
      <c r="O913" s="29">
        <v>458.58</v>
      </c>
      <c r="P913" s="29">
        <v>0</v>
      </c>
      <c r="Q913" s="29">
        <v>82.54</v>
      </c>
      <c r="R913" s="29">
        <v>541.12</v>
      </c>
      <c r="S913" s="29">
        <v>0</v>
      </c>
      <c r="T913" s="29">
        <v>1</v>
      </c>
      <c r="U913" s="29">
        <v>5.4112</v>
      </c>
    </row>
    <row r="914" spans="2:21">
      <c r="B914" s="111">
        <v>4</v>
      </c>
      <c r="C914" s="111">
        <v>26615</v>
      </c>
      <c r="D914" s="111" t="s">
        <v>758</v>
      </c>
      <c r="E914" s="111" t="s">
        <v>448</v>
      </c>
      <c r="F914" s="265">
        <v>42110</v>
      </c>
      <c r="G914" s="265">
        <v>42156</v>
      </c>
      <c r="H914" s="266">
        <f t="shared" si="52"/>
        <v>1269.18</v>
      </c>
      <c r="I914" s="266">
        <f t="shared" si="53"/>
        <v>0</v>
      </c>
      <c r="J914" s="295">
        <f t="shared" si="54"/>
        <v>1</v>
      </c>
      <c r="K914" s="266">
        <f t="shared" si="55"/>
        <v>12.691800000000001</v>
      </c>
      <c r="L914" s="147">
        <f t="shared" si="56"/>
        <v>1</v>
      </c>
      <c r="M914" s="263"/>
      <c r="N914" s="263"/>
      <c r="O914" s="29">
        <v>1269.18</v>
      </c>
      <c r="P914" s="29">
        <v>0</v>
      </c>
      <c r="Q914" s="29">
        <v>228.45</v>
      </c>
      <c r="R914" s="29">
        <v>1497.63</v>
      </c>
      <c r="S914" s="29">
        <v>0</v>
      </c>
      <c r="T914" s="29">
        <v>1</v>
      </c>
      <c r="U914" s="29">
        <v>14.9763</v>
      </c>
    </row>
    <row r="915" spans="2:21">
      <c r="B915" s="111">
        <v>4</v>
      </c>
      <c r="C915" s="111">
        <v>26637</v>
      </c>
      <c r="D915" s="111" t="s">
        <v>758</v>
      </c>
      <c r="E915" s="111" t="s">
        <v>448</v>
      </c>
      <c r="F915" s="265">
        <v>42110</v>
      </c>
      <c r="G915" s="265">
        <v>42156</v>
      </c>
      <c r="H915" s="266">
        <f t="shared" si="52"/>
        <v>8232.49</v>
      </c>
      <c r="I915" s="266">
        <f t="shared" si="53"/>
        <v>0</v>
      </c>
      <c r="J915" s="295">
        <f t="shared" si="54"/>
        <v>1</v>
      </c>
      <c r="K915" s="266">
        <f t="shared" si="55"/>
        <v>82.3249</v>
      </c>
      <c r="L915" s="147">
        <f t="shared" si="56"/>
        <v>1</v>
      </c>
      <c r="M915" s="263"/>
      <c r="N915" s="263"/>
      <c r="O915" s="29">
        <v>8232.49</v>
      </c>
      <c r="P915" s="29">
        <v>0</v>
      </c>
      <c r="Q915" s="29">
        <v>1481.85</v>
      </c>
      <c r="R915" s="29">
        <v>9714.34</v>
      </c>
      <c r="S915" s="29">
        <v>0</v>
      </c>
      <c r="T915" s="29">
        <v>1</v>
      </c>
      <c r="U915" s="29">
        <v>97.1434</v>
      </c>
    </row>
    <row r="916" spans="2:21">
      <c r="B916" s="111">
        <v>4</v>
      </c>
      <c r="C916" s="111">
        <v>26683</v>
      </c>
      <c r="D916" s="111" t="s">
        <v>768</v>
      </c>
      <c r="E916" s="111" t="s">
        <v>448</v>
      </c>
      <c r="F916" s="265">
        <v>42111</v>
      </c>
      <c r="G916" s="265">
        <v>42185</v>
      </c>
      <c r="H916" s="266">
        <f t="shared" si="52"/>
        <v>356.66</v>
      </c>
      <c r="I916" s="266">
        <f t="shared" si="53"/>
        <v>0</v>
      </c>
      <c r="J916" s="295">
        <f t="shared" si="54"/>
        <v>1</v>
      </c>
      <c r="K916" s="266">
        <f t="shared" si="55"/>
        <v>3.5666000000000002</v>
      </c>
      <c r="L916" s="147">
        <f t="shared" si="56"/>
        <v>1</v>
      </c>
      <c r="M916" s="263"/>
      <c r="N916" s="263"/>
      <c r="O916" s="29">
        <v>356.66</v>
      </c>
      <c r="P916" s="29">
        <v>0</v>
      </c>
      <c r="Q916" s="29">
        <v>64.2</v>
      </c>
      <c r="R916" s="29">
        <v>420.86</v>
      </c>
      <c r="S916" s="29">
        <v>0</v>
      </c>
      <c r="T916" s="29">
        <v>1</v>
      </c>
      <c r="U916" s="29">
        <v>4.2085999999999997</v>
      </c>
    </row>
    <row r="917" spans="2:21">
      <c r="B917" s="111">
        <v>4</v>
      </c>
      <c r="C917" s="111">
        <v>26682</v>
      </c>
      <c r="D917" s="111" t="s">
        <v>768</v>
      </c>
      <c r="E917" s="111" t="s">
        <v>448</v>
      </c>
      <c r="F917" s="265">
        <v>42111</v>
      </c>
      <c r="G917" s="265">
        <v>42185</v>
      </c>
      <c r="H917" s="266">
        <f t="shared" si="52"/>
        <v>913.17</v>
      </c>
      <c r="I917" s="266">
        <f t="shared" si="53"/>
        <v>0</v>
      </c>
      <c r="J917" s="295">
        <f t="shared" si="54"/>
        <v>1</v>
      </c>
      <c r="K917" s="266">
        <f t="shared" si="55"/>
        <v>9.1317000000000004</v>
      </c>
      <c r="L917" s="147">
        <f t="shared" si="56"/>
        <v>1</v>
      </c>
      <c r="M917" s="263"/>
      <c r="N917" s="263"/>
      <c r="O917" s="29">
        <v>913.17</v>
      </c>
      <c r="P917" s="29">
        <v>0</v>
      </c>
      <c r="Q917" s="29">
        <v>164.37</v>
      </c>
      <c r="R917" s="29">
        <v>1077.54</v>
      </c>
      <c r="S917" s="29">
        <v>0</v>
      </c>
      <c r="T917" s="29">
        <v>1</v>
      </c>
      <c r="U917" s="29">
        <v>10.775399999999999</v>
      </c>
    </row>
    <row r="918" spans="2:21">
      <c r="B918" s="111">
        <v>4</v>
      </c>
      <c r="C918" s="111">
        <v>26796</v>
      </c>
      <c r="D918" s="111" t="s">
        <v>758</v>
      </c>
      <c r="E918" s="111" t="s">
        <v>448</v>
      </c>
      <c r="F918" s="265">
        <v>42114</v>
      </c>
      <c r="G918" s="265">
        <v>42156</v>
      </c>
      <c r="H918" s="266">
        <f t="shared" si="52"/>
        <v>188.03</v>
      </c>
      <c r="I918" s="266">
        <f t="shared" si="53"/>
        <v>0</v>
      </c>
      <c r="J918" s="295">
        <f t="shared" si="54"/>
        <v>1</v>
      </c>
      <c r="K918" s="266">
        <f t="shared" si="55"/>
        <v>1.8803000000000001</v>
      </c>
      <c r="L918" s="147">
        <f t="shared" si="56"/>
        <v>1</v>
      </c>
      <c r="M918" s="263"/>
      <c r="N918" s="263"/>
      <c r="O918" s="29">
        <v>188.03</v>
      </c>
      <c r="P918" s="29">
        <v>0</v>
      </c>
      <c r="Q918" s="29">
        <v>33.85</v>
      </c>
      <c r="R918" s="29">
        <v>221.88</v>
      </c>
      <c r="S918" s="29">
        <v>0</v>
      </c>
      <c r="T918" s="29">
        <v>1</v>
      </c>
      <c r="U918" s="29">
        <v>2.2187999999999999</v>
      </c>
    </row>
    <row r="919" spans="2:21">
      <c r="B919" s="111">
        <v>4</v>
      </c>
      <c r="C919" s="111">
        <v>26762</v>
      </c>
      <c r="D919" s="111" t="s">
        <v>758</v>
      </c>
      <c r="E919" s="111" t="s">
        <v>448</v>
      </c>
      <c r="F919" s="265">
        <v>42112</v>
      </c>
      <c r="G919" s="265">
        <v>42156</v>
      </c>
      <c r="H919" s="266">
        <f t="shared" si="52"/>
        <v>2385.87</v>
      </c>
      <c r="I919" s="266">
        <f t="shared" si="53"/>
        <v>0</v>
      </c>
      <c r="J919" s="295">
        <f t="shared" si="54"/>
        <v>1</v>
      </c>
      <c r="K919" s="266">
        <f t="shared" si="55"/>
        <v>23.858699999999999</v>
      </c>
      <c r="L919" s="147">
        <f t="shared" si="56"/>
        <v>1</v>
      </c>
      <c r="M919" s="263"/>
      <c r="N919" s="263"/>
      <c r="O919" s="29">
        <v>2385.87</v>
      </c>
      <c r="P919" s="29">
        <v>0</v>
      </c>
      <c r="Q919" s="29">
        <v>429.46</v>
      </c>
      <c r="R919" s="29">
        <v>2815.33</v>
      </c>
      <c r="S919" s="29">
        <v>0</v>
      </c>
      <c r="T919" s="29">
        <v>1</v>
      </c>
      <c r="U919" s="29">
        <v>28.153300000000002</v>
      </c>
    </row>
    <row r="920" spans="2:21">
      <c r="B920" s="111">
        <v>4</v>
      </c>
      <c r="C920" s="111">
        <v>26856</v>
      </c>
      <c r="D920" s="111" t="s">
        <v>759</v>
      </c>
      <c r="E920" s="111" t="s">
        <v>448</v>
      </c>
      <c r="F920" s="265">
        <v>42114</v>
      </c>
      <c r="G920" s="265">
        <v>42164</v>
      </c>
      <c r="H920" s="266">
        <f t="shared" si="52"/>
        <v>2261.9299999999998</v>
      </c>
      <c r="I920" s="266">
        <f t="shared" si="53"/>
        <v>0</v>
      </c>
      <c r="J920" s="295">
        <f t="shared" si="54"/>
        <v>1</v>
      </c>
      <c r="K920" s="266">
        <f t="shared" si="55"/>
        <v>22.619299999999999</v>
      </c>
      <c r="L920" s="147">
        <f t="shared" si="56"/>
        <v>1</v>
      </c>
      <c r="M920" s="263"/>
      <c r="N920" s="263"/>
      <c r="O920" s="29">
        <v>2261.9299999999998</v>
      </c>
      <c r="P920" s="29">
        <v>0</v>
      </c>
      <c r="Q920" s="29">
        <v>407.15</v>
      </c>
      <c r="R920" s="29">
        <v>2669.08</v>
      </c>
      <c r="S920" s="29">
        <v>0</v>
      </c>
      <c r="T920" s="29">
        <v>1</v>
      </c>
      <c r="U920" s="29">
        <v>26.690799999999999</v>
      </c>
    </row>
    <row r="921" spans="2:21">
      <c r="B921" s="111">
        <v>4</v>
      </c>
      <c r="C921" s="111">
        <v>26813</v>
      </c>
      <c r="D921" s="111" t="s">
        <v>758</v>
      </c>
      <c r="E921" s="111" t="s">
        <v>448</v>
      </c>
      <c r="F921" s="265">
        <v>42114</v>
      </c>
      <c r="G921" s="265">
        <v>42156</v>
      </c>
      <c r="H921" s="266">
        <f t="shared" si="52"/>
        <v>369.01</v>
      </c>
      <c r="I921" s="266">
        <f t="shared" si="53"/>
        <v>0</v>
      </c>
      <c r="J921" s="295">
        <f t="shared" si="54"/>
        <v>1</v>
      </c>
      <c r="K921" s="266">
        <f t="shared" si="55"/>
        <v>3.6901000000000002</v>
      </c>
      <c r="L921" s="147">
        <f t="shared" si="56"/>
        <v>1</v>
      </c>
      <c r="M921" s="263"/>
      <c r="N921" s="263"/>
      <c r="O921" s="29">
        <v>369.01</v>
      </c>
      <c r="P921" s="29">
        <v>0</v>
      </c>
      <c r="Q921" s="29">
        <v>66.42</v>
      </c>
      <c r="R921" s="29">
        <v>435.43</v>
      </c>
      <c r="S921" s="29">
        <v>0</v>
      </c>
      <c r="T921" s="29">
        <v>1</v>
      </c>
      <c r="U921" s="29">
        <v>4.3543000000000003</v>
      </c>
    </row>
    <row r="922" spans="2:21">
      <c r="B922" s="111">
        <v>4</v>
      </c>
      <c r="C922" s="111">
        <v>26838</v>
      </c>
      <c r="D922" s="111" t="s">
        <v>758</v>
      </c>
      <c r="E922" s="111" t="s">
        <v>448</v>
      </c>
      <c r="F922" s="265">
        <v>42114</v>
      </c>
      <c r="G922" s="265">
        <v>42156</v>
      </c>
      <c r="H922" s="266">
        <f t="shared" si="52"/>
        <v>1946.15</v>
      </c>
      <c r="I922" s="266">
        <f t="shared" si="53"/>
        <v>0</v>
      </c>
      <c r="J922" s="295">
        <f t="shared" si="54"/>
        <v>1</v>
      </c>
      <c r="K922" s="266">
        <f t="shared" si="55"/>
        <v>19.461500000000001</v>
      </c>
      <c r="L922" s="147">
        <f t="shared" si="56"/>
        <v>1</v>
      </c>
      <c r="M922" s="263"/>
      <c r="N922" s="263"/>
      <c r="O922" s="29">
        <v>1946.15</v>
      </c>
      <c r="P922" s="29">
        <v>0</v>
      </c>
      <c r="Q922" s="29">
        <v>350.31</v>
      </c>
      <c r="R922" s="29">
        <v>2296.46</v>
      </c>
      <c r="S922" s="29">
        <v>0</v>
      </c>
      <c r="T922" s="29">
        <v>1</v>
      </c>
      <c r="U922" s="29">
        <v>22.964600000000001</v>
      </c>
    </row>
    <row r="923" spans="2:21">
      <c r="B923" s="111">
        <v>4</v>
      </c>
      <c r="C923" s="111">
        <v>26886</v>
      </c>
      <c r="D923" s="111" t="s">
        <v>758</v>
      </c>
      <c r="E923" s="111" t="s">
        <v>448</v>
      </c>
      <c r="F923" s="265">
        <v>42115</v>
      </c>
      <c r="G923" s="265">
        <v>42156</v>
      </c>
      <c r="H923" s="266">
        <f t="shared" si="52"/>
        <v>334.09</v>
      </c>
      <c r="I923" s="266">
        <f t="shared" si="53"/>
        <v>0</v>
      </c>
      <c r="J923" s="295">
        <f t="shared" si="54"/>
        <v>1</v>
      </c>
      <c r="K923" s="266">
        <f t="shared" si="55"/>
        <v>3.3409</v>
      </c>
      <c r="L923" s="147">
        <f t="shared" si="56"/>
        <v>1</v>
      </c>
      <c r="M923" s="263"/>
      <c r="N923" s="263"/>
      <c r="O923" s="29">
        <v>334.09</v>
      </c>
      <c r="P923" s="29">
        <v>0</v>
      </c>
      <c r="Q923" s="29">
        <v>60.14</v>
      </c>
      <c r="R923" s="29">
        <v>394.23</v>
      </c>
      <c r="S923" s="29">
        <v>0</v>
      </c>
      <c r="T923" s="29">
        <v>1</v>
      </c>
      <c r="U923" s="29">
        <v>3.9422999999999999</v>
      </c>
    </row>
    <row r="924" spans="2:21">
      <c r="B924" s="111">
        <v>4</v>
      </c>
      <c r="C924" s="111">
        <v>26896</v>
      </c>
      <c r="D924" s="111" t="s">
        <v>758</v>
      </c>
      <c r="E924" s="111" t="s">
        <v>448</v>
      </c>
      <c r="F924" s="265">
        <v>42115</v>
      </c>
      <c r="G924" s="265">
        <v>42164</v>
      </c>
      <c r="H924" s="266">
        <f t="shared" si="52"/>
        <v>4014.89</v>
      </c>
      <c r="I924" s="266">
        <f t="shared" si="53"/>
        <v>0</v>
      </c>
      <c r="J924" s="295">
        <f t="shared" si="54"/>
        <v>1</v>
      </c>
      <c r="K924" s="266">
        <f t="shared" si="55"/>
        <v>40.148899999999998</v>
      </c>
      <c r="L924" s="147">
        <f t="shared" si="56"/>
        <v>1</v>
      </c>
      <c r="M924" s="263"/>
      <c r="N924" s="263"/>
      <c r="O924" s="29">
        <v>4014.89</v>
      </c>
      <c r="P924" s="29">
        <v>0</v>
      </c>
      <c r="Q924" s="29">
        <v>722.68</v>
      </c>
      <c r="R924" s="29">
        <v>4737.57</v>
      </c>
      <c r="S924" s="29">
        <v>0</v>
      </c>
      <c r="T924" s="29">
        <v>1</v>
      </c>
      <c r="U924" s="29">
        <v>47.375700000000002</v>
      </c>
    </row>
    <row r="925" spans="2:21">
      <c r="B925" s="111">
        <v>4</v>
      </c>
      <c r="C925" s="111">
        <v>27059</v>
      </c>
      <c r="D925" s="111" t="s">
        <v>758</v>
      </c>
      <c r="E925" s="111" t="s">
        <v>448</v>
      </c>
      <c r="F925" s="265">
        <v>42117</v>
      </c>
      <c r="G925" s="265">
        <v>42164</v>
      </c>
      <c r="H925" s="266">
        <f t="shared" si="52"/>
        <v>2582.52</v>
      </c>
      <c r="I925" s="266">
        <f t="shared" si="53"/>
        <v>0</v>
      </c>
      <c r="J925" s="295">
        <f t="shared" si="54"/>
        <v>1</v>
      </c>
      <c r="K925" s="266">
        <f t="shared" si="55"/>
        <v>25.825199999999999</v>
      </c>
      <c r="L925" s="147">
        <f t="shared" si="56"/>
        <v>1</v>
      </c>
      <c r="M925" s="263"/>
      <c r="N925" s="263"/>
      <c r="O925" s="29">
        <v>2582.52</v>
      </c>
      <c r="P925" s="29">
        <v>0</v>
      </c>
      <c r="Q925" s="29">
        <v>464.85</v>
      </c>
      <c r="R925" s="29">
        <v>3047.37</v>
      </c>
      <c r="S925" s="29">
        <v>0</v>
      </c>
      <c r="T925" s="29">
        <v>1</v>
      </c>
      <c r="U925" s="29">
        <v>30.473700000000001</v>
      </c>
    </row>
    <row r="926" spans="2:21">
      <c r="B926" s="111">
        <v>4</v>
      </c>
      <c r="C926" s="111">
        <v>27216</v>
      </c>
      <c r="D926" s="111" t="s">
        <v>758</v>
      </c>
      <c r="E926" s="111" t="s">
        <v>448</v>
      </c>
      <c r="F926" s="265">
        <v>42119</v>
      </c>
      <c r="G926" s="265">
        <v>42164</v>
      </c>
      <c r="H926" s="266">
        <f t="shared" si="52"/>
        <v>1899.4</v>
      </c>
      <c r="I926" s="266">
        <f t="shared" si="53"/>
        <v>0</v>
      </c>
      <c r="J926" s="295">
        <f t="shared" si="54"/>
        <v>1</v>
      </c>
      <c r="K926" s="266">
        <f t="shared" si="55"/>
        <v>18.994</v>
      </c>
      <c r="L926" s="147">
        <f t="shared" si="56"/>
        <v>1</v>
      </c>
      <c r="M926" s="263"/>
      <c r="N926" s="263"/>
      <c r="O926" s="29">
        <v>1899.4</v>
      </c>
      <c r="P926" s="29">
        <v>0</v>
      </c>
      <c r="Q926" s="29">
        <v>341.89</v>
      </c>
      <c r="R926" s="29">
        <v>2241.29</v>
      </c>
      <c r="S926" s="29">
        <v>0</v>
      </c>
      <c r="T926" s="29">
        <v>1</v>
      </c>
      <c r="U926" s="29">
        <v>22.4129</v>
      </c>
    </row>
    <row r="927" spans="2:21">
      <c r="B927" s="111">
        <v>4</v>
      </c>
      <c r="C927" s="111">
        <v>27302</v>
      </c>
      <c r="D927" s="111" t="s">
        <v>758</v>
      </c>
      <c r="E927" s="111" t="s">
        <v>448</v>
      </c>
      <c r="F927" s="265">
        <v>42121</v>
      </c>
      <c r="G927" s="265">
        <v>42164</v>
      </c>
      <c r="H927" s="266">
        <f t="shared" si="52"/>
        <v>1168.5</v>
      </c>
      <c r="I927" s="266">
        <f t="shared" si="53"/>
        <v>0</v>
      </c>
      <c r="J927" s="295">
        <f t="shared" si="54"/>
        <v>1</v>
      </c>
      <c r="K927" s="266">
        <f t="shared" si="55"/>
        <v>11.685</v>
      </c>
      <c r="L927" s="147">
        <f t="shared" si="56"/>
        <v>1</v>
      </c>
      <c r="M927" s="263"/>
      <c r="N927" s="263"/>
      <c r="O927" s="29">
        <v>1168.5</v>
      </c>
      <c r="P927" s="29">
        <v>0</v>
      </c>
      <c r="Q927" s="29">
        <v>210.33</v>
      </c>
      <c r="R927" s="29">
        <v>1378.83</v>
      </c>
      <c r="S927" s="29">
        <v>0</v>
      </c>
      <c r="T927" s="29">
        <v>1</v>
      </c>
      <c r="U927" s="29">
        <v>13.7883</v>
      </c>
    </row>
    <row r="928" spans="2:21">
      <c r="B928" s="111">
        <v>4</v>
      </c>
      <c r="C928" s="111">
        <v>27301</v>
      </c>
      <c r="D928" s="111" t="s">
        <v>758</v>
      </c>
      <c r="E928" s="111" t="s">
        <v>448</v>
      </c>
      <c r="F928" s="265">
        <v>42121</v>
      </c>
      <c r="G928" s="265">
        <v>42164</v>
      </c>
      <c r="H928" s="266">
        <f t="shared" si="52"/>
        <v>2503.41</v>
      </c>
      <c r="I928" s="266">
        <f t="shared" si="53"/>
        <v>0</v>
      </c>
      <c r="J928" s="295">
        <f t="shared" si="54"/>
        <v>1</v>
      </c>
      <c r="K928" s="266">
        <f t="shared" si="55"/>
        <v>25.034099999999999</v>
      </c>
      <c r="L928" s="147">
        <f t="shared" si="56"/>
        <v>1</v>
      </c>
      <c r="M928" s="263"/>
      <c r="N928" s="263"/>
      <c r="O928" s="29">
        <v>2180.2199999999998</v>
      </c>
      <c r="P928" s="29">
        <v>323.19</v>
      </c>
      <c r="Q928" s="29">
        <v>392.44</v>
      </c>
      <c r="R928" s="29">
        <v>2895.85</v>
      </c>
      <c r="S928" s="29">
        <v>0</v>
      </c>
      <c r="T928" s="29">
        <v>1</v>
      </c>
      <c r="U928" s="29">
        <v>28.958500000000001</v>
      </c>
    </row>
    <row r="929" spans="2:21">
      <c r="B929" s="111">
        <v>4</v>
      </c>
      <c r="C929" s="111">
        <v>27303</v>
      </c>
      <c r="D929" s="111" t="s">
        <v>758</v>
      </c>
      <c r="E929" s="111" t="s">
        <v>448</v>
      </c>
      <c r="F929" s="265">
        <v>42121</v>
      </c>
      <c r="G929" s="265">
        <v>42164</v>
      </c>
      <c r="H929" s="266">
        <f t="shared" si="52"/>
        <v>3333.85</v>
      </c>
      <c r="I929" s="266">
        <f t="shared" si="53"/>
        <v>0</v>
      </c>
      <c r="J929" s="295">
        <f t="shared" si="54"/>
        <v>1</v>
      </c>
      <c r="K929" s="266">
        <f t="shared" si="55"/>
        <v>33.338499999999996</v>
      </c>
      <c r="L929" s="147">
        <f t="shared" si="56"/>
        <v>1</v>
      </c>
      <c r="M929" s="263"/>
      <c r="N929" s="263"/>
      <c r="O929" s="29">
        <v>3333.85</v>
      </c>
      <c r="P929" s="29">
        <v>0</v>
      </c>
      <c r="Q929" s="29">
        <v>600.09</v>
      </c>
      <c r="R929" s="29">
        <v>3933.94</v>
      </c>
      <c r="S929" s="29">
        <v>0</v>
      </c>
      <c r="T929" s="29">
        <v>1</v>
      </c>
      <c r="U929" s="29">
        <v>39.339399999999998</v>
      </c>
    </row>
    <row r="930" spans="2:21">
      <c r="B930" s="111">
        <v>4</v>
      </c>
      <c r="C930" s="111">
        <v>27330</v>
      </c>
      <c r="D930" s="111" t="s">
        <v>758</v>
      </c>
      <c r="E930" s="111" t="s">
        <v>448</v>
      </c>
      <c r="F930" s="265">
        <v>42121</v>
      </c>
      <c r="G930" s="265">
        <v>42164</v>
      </c>
      <c r="H930" s="266">
        <f t="shared" si="52"/>
        <v>5795.81</v>
      </c>
      <c r="I930" s="266">
        <f t="shared" si="53"/>
        <v>0</v>
      </c>
      <c r="J930" s="295">
        <f t="shared" si="54"/>
        <v>1</v>
      </c>
      <c r="K930" s="266">
        <f t="shared" si="55"/>
        <v>57.958100000000002</v>
      </c>
      <c r="L930" s="147">
        <f t="shared" si="56"/>
        <v>1</v>
      </c>
      <c r="M930" s="263"/>
      <c r="N930" s="263"/>
      <c r="O930" s="29">
        <v>5795.81</v>
      </c>
      <c r="P930" s="29">
        <v>0</v>
      </c>
      <c r="Q930" s="29">
        <v>1043.25</v>
      </c>
      <c r="R930" s="29">
        <v>6839.06</v>
      </c>
      <c r="S930" s="29">
        <v>0</v>
      </c>
      <c r="T930" s="29">
        <v>1</v>
      </c>
      <c r="U930" s="29">
        <v>68.390600000000006</v>
      </c>
    </row>
    <row r="931" spans="2:21">
      <c r="B931" s="111">
        <v>4</v>
      </c>
      <c r="C931" s="111">
        <v>27416</v>
      </c>
      <c r="D931" s="111" t="s">
        <v>759</v>
      </c>
      <c r="E931" s="111" t="s">
        <v>448</v>
      </c>
      <c r="F931" s="265">
        <v>42122</v>
      </c>
      <c r="G931" s="265">
        <v>42177</v>
      </c>
      <c r="H931" s="266">
        <f t="shared" si="52"/>
        <v>2262.33</v>
      </c>
      <c r="I931" s="266">
        <f t="shared" si="53"/>
        <v>0</v>
      </c>
      <c r="J931" s="295">
        <f t="shared" si="54"/>
        <v>1</v>
      </c>
      <c r="K931" s="266">
        <f t="shared" si="55"/>
        <v>22.6233</v>
      </c>
      <c r="L931" s="147">
        <f t="shared" si="56"/>
        <v>1</v>
      </c>
      <c r="M931" s="263"/>
      <c r="N931" s="263"/>
      <c r="O931" s="29">
        <v>2262.33</v>
      </c>
      <c r="P931" s="29">
        <v>0</v>
      </c>
      <c r="Q931" s="29">
        <v>407.22</v>
      </c>
      <c r="R931" s="29">
        <v>2669.55</v>
      </c>
      <c r="S931" s="29">
        <v>0</v>
      </c>
      <c r="T931" s="29">
        <v>1</v>
      </c>
      <c r="U931" s="29">
        <v>26.695499999999999</v>
      </c>
    </row>
    <row r="932" spans="2:21">
      <c r="B932" s="111">
        <v>4</v>
      </c>
      <c r="C932" s="111">
        <v>27474</v>
      </c>
      <c r="D932" s="111" t="s">
        <v>758</v>
      </c>
      <c r="E932" s="111" t="s">
        <v>448</v>
      </c>
      <c r="F932" s="265">
        <v>42122</v>
      </c>
      <c r="G932" s="265">
        <v>42164</v>
      </c>
      <c r="H932" s="266">
        <f t="shared" si="52"/>
        <v>1211.6099999999999</v>
      </c>
      <c r="I932" s="266">
        <f t="shared" si="53"/>
        <v>0</v>
      </c>
      <c r="J932" s="295">
        <f t="shared" si="54"/>
        <v>1</v>
      </c>
      <c r="K932" s="266">
        <f t="shared" si="55"/>
        <v>12.116099999999999</v>
      </c>
      <c r="L932" s="147">
        <f t="shared" si="56"/>
        <v>1</v>
      </c>
      <c r="M932" s="263"/>
      <c r="N932" s="263"/>
      <c r="O932" s="29">
        <v>1211.6099999999999</v>
      </c>
      <c r="P932" s="29">
        <v>0</v>
      </c>
      <c r="Q932" s="29">
        <v>218.09</v>
      </c>
      <c r="R932" s="29">
        <v>1429.7</v>
      </c>
      <c r="S932" s="29">
        <v>0</v>
      </c>
      <c r="T932" s="29">
        <v>1</v>
      </c>
      <c r="U932" s="29">
        <v>14.297000000000001</v>
      </c>
    </row>
    <row r="933" spans="2:21">
      <c r="B933" s="111">
        <v>4</v>
      </c>
      <c r="C933" s="111">
        <v>27469</v>
      </c>
      <c r="D933" s="111" t="s">
        <v>758</v>
      </c>
      <c r="E933" s="111" t="s">
        <v>448</v>
      </c>
      <c r="F933" s="265">
        <v>42122</v>
      </c>
      <c r="G933" s="265">
        <v>42164</v>
      </c>
      <c r="H933" s="266">
        <f t="shared" si="52"/>
        <v>1409.39</v>
      </c>
      <c r="I933" s="266">
        <f t="shared" si="53"/>
        <v>0</v>
      </c>
      <c r="J933" s="295">
        <f t="shared" si="54"/>
        <v>1</v>
      </c>
      <c r="K933" s="266">
        <f t="shared" si="55"/>
        <v>14.093900000000001</v>
      </c>
      <c r="L933" s="147">
        <f t="shared" si="56"/>
        <v>1</v>
      </c>
      <c r="M933" s="263"/>
      <c r="N933" s="263"/>
      <c r="O933" s="29">
        <v>1409.39</v>
      </c>
      <c r="P933" s="29">
        <v>0</v>
      </c>
      <c r="Q933" s="29">
        <v>253.69</v>
      </c>
      <c r="R933" s="29">
        <v>1663.08</v>
      </c>
      <c r="S933" s="29">
        <v>0</v>
      </c>
      <c r="T933" s="29">
        <v>1</v>
      </c>
      <c r="U933" s="29">
        <v>16.630800000000001</v>
      </c>
    </row>
    <row r="934" spans="2:21">
      <c r="B934" s="111">
        <v>4</v>
      </c>
      <c r="C934" s="111">
        <v>27473</v>
      </c>
      <c r="D934" s="111" t="s">
        <v>758</v>
      </c>
      <c r="E934" s="111" t="s">
        <v>448</v>
      </c>
      <c r="F934" s="265">
        <v>42122</v>
      </c>
      <c r="G934" s="265">
        <v>42164</v>
      </c>
      <c r="H934" s="266">
        <f t="shared" si="52"/>
        <v>377.37</v>
      </c>
      <c r="I934" s="266">
        <f t="shared" si="53"/>
        <v>0</v>
      </c>
      <c r="J934" s="295">
        <f t="shared" si="54"/>
        <v>1</v>
      </c>
      <c r="K934" s="266">
        <f t="shared" si="55"/>
        <v>3.7737000000000003</v>
      </c>
      <c r="L934" s="147">
        <f t="shared" si="56"/>
        <v>1</v>
      </c>
      <c r="M934" s="263"/>
      <c r="N934" s="263"/>
      <c r="O934" s="29">
        <v>377.37</v>
      </c>
      <c r="P934" s="29">
        <v>0</v>
      </c>
      <c r="Q934" s="29">
        <v>67.930000000000007</v>
      </c>
      <c r="R934" s="29">
        <v>445.3</v>
      </c>
      <c r="S934" s="29">
        <v>0</v>
      </c>
      <c r="T934" s="29">
        <v>1</v>
      </c>
      <c r="U934" s="29">
        <v>4.4530000000000003</v>
      </c>
    </row>
    <row r="935" spans="2:21">
      <c r="B935" s="306">
        <v>6</v>
      </c>
      <c r="C935" s="306">
        <v>896</v>
      </c>
      <c r="D935" s="306" t="s">
        <v>381</v>
      </c>
      <c r="E935" s="306" t="s">
        <v>382</v>
      </c>
      <c r="F935" s="307">
        <v>42122</v>
      </c>
      <c r="G935" s="307">
        <v>42180</v>
      </c>
      <c r="H935" s="308">
        <f t="shared" si="52"/>
        <v>4800</v>
      </c>
      <c r="I935" s="308">
        <f t="shared" si="53"/>
        <v>0</v>
      </c>
      <c r="J935" s="309">
        <v>1</v>
      </c>
      <c r="K935" s="308">
        <f t="shared" si="55"/>
        <v>48</v>
      </c>
      <c r="L935" s="147" t="e">
        <f t="shared" si="56"/>
        <v>#N/A</v>
      </c>
      <c r="M935" s="263"/>
      <c r="N935" s="263"/>
      <c r="O935" s="29">
        <v>0</v>
      </c>
      <c r="P935" s="29">
        <v>4800</v>
      </c>
      <c r="Q935" s="29">
        <v>0</v>
      </c>
      <c r="R935" s="29">
        <v>4800</v>
      </c>
      <c r="S935" s="29">
        <v>0</v>
      </c>
      <c r="T935" s="29">
        <v>1</v>
      </c>
      <c r="U935" s="29">
        <v>48</v>
      </c>
    </row>
    <row r="936" spans="2:21">
      <c r="B936" s="111">
        <v>4</v>
      </c>
      <c r="C936" s="111">
        <v>27492</v>
      </c>
      <c r="D936" s="111" t="s">
        <v>758</v>
      </c>
      <c r="E936" s="111" t="s">
        <v>448</v>
      </c>
      <c r="F936" s="265">
        <v>42122</v>
      </c>
      <c r="G936" s="265">
        <v>42164</v>
      </c>
      <c r="H936" s="266">
        <f t="shared" si="52"/>
        <v>10606.21</v>
      </c>
      <c r="I936" s="266">
        <f t="shared" si="53"/>
        <v>0</v>
      </c>
      <c r="J936" s="295">
        <f t="shared" ref="J936:J956" si="57">L936</f>
        <v>1</v>
      </c>
      <c r="K936" s="266">
        <f t="shared" si="55"/>
        <v>106.06209999999999</v>
      </c>
      <c r="L936" s="147">
        <f t="shared" si="56"/>
        <v>1</v>
      </c>
      <c r="M936" s="263"/>
      <c r="N936" s="263"/>
      <c r="O936" s="29">
        <v>10606.21</v>
      </c>
      <c r="P936" s="29">
        <v>0</v>
      </c>
      <c r="Q936" s="29">
        <v>1909.12</v>
      </c>
      <c r="R936" s="29">
        <v>12515.33</v>
      </c>
      <c r="S936" s="29">
        <v>0</v>
      </c>
      <c r="T936" s="29">
        <v>1</v>
      </c>
      <c r="U936" s="29">
        <v>125.1533</v>
      </c>
    </row>
    <row r="937" spans="2:21">
      <c r="B937" s="111">
        <v>4</v>
      </c>
      <c r="C937" s="111">
        <v>27497</v>
      </c>
      <c r="D937" s="111" t="s">
        <v>758</v>
      </c>
      <c r="E937" s="111" t="s">
        <v>448</v>
      </c>
      <c r="F937" s="265">
        <v>42122</v>
      </c>
      <c r="G937" s="265">
        <v>42164</v>
      </c>
      <c r="H937" s="266">
        <f t="shared" si="52"/>
        <v>5623.08</v>
      </c>
      <c r="I937" s="266">
        <f t="shared" si="53"/>
        <v>0</v>
      </c>
      <c r="J937" s="295">
        <f t="shared" si="57"/>
        <v>1</v>
      </c>
      <c r="K937" s="266">
        <f t="shared" si="55"/>
        <v>56.230800000000002</v>
      </c>
      <c r="L937" s="147">
        <f t="shared" si="56"/>
        <v>1</v>
      </c>
      <c r="M937" s="263"/>
      <c r="N937" s="263"/>
      <c r="O937" s="29">
        <v>5623.08</v>
      </c>
      <c r="P937" s="29">
        <v>0</v>
      </c>
      <c r="Q937" s="29">
        <v>1012.15</v>
      </c>
      <c r="R937" s="29">
        <v>6635.23</v>
      </c>
      <c r="S937" s="29">
        <v>0</v>
      </c>
      <c r="T937" s="29">
        <v>1</v>
      </c>
      <c r="U937" s="29">
        <v>66.3523</v>
      </c>
    </row>
    <row r="938" spans="2:21">
      <c r="B938" s="111">
        <v>4</v>
      </c>
      <c r="C938" s="111">
        <v>27548</v>
      </c>
      <c r="D938" s="111" t="s">
        <v>758</v>
      </c>
      <c r="E938" s="111" t="s">
        <v>448</v>
      </c>
      <c r="F938" s="265">
        <v>42122</v>
      </c>
      <c r="G938" s="265">
        <v>42164</v>
      </c>
      <c r="H938" s="266">
        <f t="shared" si="52"/>
        <v>1944</v>
      </c>
      <c r="I938" s="266">
        <f t="shared" si="53"/>
        <v>0</v>
      </c>
      <c r="J938" s="295">
        <f t="shared" si="57"/>
        <v>1</v>
      </c>
      <c r="K938" s="266">
        <f t="shared" si="55"/>
        <v>19.440000000000001</v>
      </c>
      <c r="L938" s="147">
        <f t="shared" si="56"/>
        <v>1</v>
      </c>
      <c r="M938" s="263"/>
      <c r="N938" s="263"/>
      <c r="O938" s="29">
        <v>1944</v>
      </c>
      <c r="P938" s="29">
        <v>0</v>
      </c>
      <c r="Q938" s="29">
        <v>349.92</v>
      </c>
      <c r="R938" s="29">
        <v>2293.92</v>
      </c>
      <c r="S938" s="29">
        <v>0</v>
      </c>
      <c r="T938" s="29">
        <v>1</v>
      </c>
      <c r="U938" s="29">
        <v>22.9392</v>
      </c>
    </row>
    <row r="939" spans="2:21">
      <c r="B939" s="111">
        <v>4</v>
      </c>
      <c r="C939" s="111">
        <v>27533</v>
      </c>
      <c r="D939" s="111" t="s">
        <v>759</v>
      </c>
      <c r="E939" s="111" t="s">
        <v>448</v>
      </c>
      <c r="F939" s="265">
        <v>42122</v>
      </c>
      <c r="G939" s="265">
        <v>42171</v>
      </c>
      <c r="H939" s="266">
        <f t="shared" si="52"/>
        <v>491.4</v>
      </c>
      <c r="I939" s="266">
        <f t="shared" si="53"/>
        <v>0</v>
      </c>
      <c r="J939" s="295">
        <f t="shared" si="57"/>
        <v>1</v>
      </c>
      <c r="K939" s="266">
        <f t="shared" si="55"/>
        <v>4.9139999999999997</v>
      </c>
      <c r="L939" s="147">
        <f t="shared" si="56"/>
        <v>1</v>
      </c>
      <c r="M939" s="263"/>
      <c r="N939" s="263"/>
      <c r="O939" s="29">
        <v>491.4</v>
      </c>
      <c r="P939" s="29">
        <v>0</v>
      </c>
      <c r="Q939" s="29">
        <v>88.45</v>
      </c>
      <c r="R939" s="29">
        <v>579.85</v>
      </c>
      <c r="S939" s="29">
        <v>0</v>
      </c>
      <c r="T939" s="29">
        <v>1</v>
      </c>
      <c r="U939" s="29">
        <v>5.7984999999999998</v>
      </c>
    </row>
    <row r="940" spans="2:21">
      <c r="B940" s="111">
        <v>4</v>
      </c>
      <c r="C940" s="111">
        <v>27677</v>
      </c>
      <c r="D940" s="111" t="s">
        <v>759</v>
      </c>
      <c r="E940" s="111" t="s">
        <v>448</v>
      </c>
      <c r="F940" s="265">
        <v>42123</v>
      </c>
      <c r="G940" s="265">
        <v>42171</v>
      </c>
      <c r="H940" s="266">
        <f t="shared" si="52"/>
        <v>2264.5700000000002</v>
      </c>
      <c r="I940" s="266">
        <f t="shared" si="53"/>
        <v>0</v>
      </c>
      <c r="J940" s="295">
        <f t="shared" si="57"/>
        <v>1</v>
      </c>
      <c r="K940" s="266">
        <f t="shared" si="55"/>
        <v>22.645700000000001</v>
      </c>
      <c r="L940" s="147">
        <f t="shared" si="56"/>
        <v>1</v>
      </c>
      <c r="M940" s="263"/>
      <c r="N940" s="263"/>
      <c r="O940" s="29">
        <v>2264.5700000000002</v>
      </c>
      <c r="P940" s="29">
        <v>0</v>
      </c>
      <c r="Q940" s="29">
        <v>407.62</v>
      </c>
      <c r="R940" s="29">
        <v>2672.19</v>
      </c>
      <c r="S940" s="29">
        <v>0</v>
      </c>
      <c r="T940" s="29">
        <v>1</v>
      </c>
      <c r="U940" s="29">
        <v>26.721900000000002</v>
      </c>
    </row>
    <row r="941" spans="2:21">
      <c r="B941" s="111">
        <v>4</v>
      </c>
      <c r="C941" s="111">
        <v>27679</v>
      </c>
      <c r="D941" s="111" t="s">
        <v>759</v>
      </c>
      <c r="E941" s="111" t="s">
        <v>448</v>
      </c>
      <c r="F941" s="265">
        <v>42123</v>
      </c>
      <c r="G941" s="265">
        <v>42177</v>
      </c>
      <c r="H941" s="266">
        <f t="shared" ref="H941:H972" si="58">O941+P941</f>
        <v>1253.02</v>
      </c>
      <c r="I941" s="266">
        <f t="shared" ref="I941:I972" si="59">S941/1.18</f>
        <v>0</v>
      </c>
      <c r="J941" s="295">
        <f t="shared" si="57"/>
        <v>1</v>
      </c>
      <c r="K941" s="266">
        <f t="shared" ref="K941:K972" si="60">(H941-I941)*J941%</f>
        <v>12.530200000000001</v>
      </c>
      <c r="L941" s="147">
        <f t="shared" ref="L941:L972" si="61">VLOOKUP(C941,$C$792:$K$873,8,0)</f>
        <v>1</v>
      </c>
      <c r="M941" s="263"/>
      <c r="N941" s="263"/>
      <c r="O941" s="29">
        <v>1253.02</v>
      </c>
      <c r="P941" s="29">
        <v>0</v>
      </c>
      <c r="Q941" s="29">
        <v>225.54</v>
      </c>
      <c r="R941" s="29">
        <v>1478.56</v>
      </c>
      <c r="S941" s="29">
        <v>0</v>
      </c>
      <c r="T941" s="29">
        <v>1</v>
      </c>
      <c r="U941" s="29">
        <v>14.785600000000001</v>
      </c>
    </row>
    <row r="942" spans="2:21">
      <c r="B942" s="111">
        <v>4</v>
      </c>
      <c r="C942" s="111">
        <v>27678</v>
      </c>
      <c r="D942" s="111" t="s">
        <v>759</v>
      </c>
      <c r="E942" s="111" t="s">
        <v>448</v>
      </c>
      <c r="F942" s="265">
        <v>42123</v>
      </c>
      <c r="G942" s="265">
        <v>42177</v>
      </c>
      <c r="H942" s="266">
        <f t="shared" si="58"/>
        <v>1951.82</v>
      </c>
      <c r="I942" s="266">
        <f t="shared" si="59"/>
        <v>0</v>
      </c>
      <c r="J942" s="295">
        <f t="shared" si="57"/>
        <v>1</v>
      </c>
      <c r="K942" s="266">
        <f t="shared" si="60"/>
        <v>19.5182</v>
      </c>
      <c r="L942" s="147">
        <f t="shared" si="61"/>
        <v>1</v>
      </c>
      <c r="M942" s="263"/>
      <c r="N942" s="263"/>
      <c r="O942" s="29">
        <v>1951.82</v>
      </c>
      <c r="P942" s="29">
        <v>0</v>
      </c>
      <c r="Q942" s="29">
        <v>351.33</v>
      </c>
      <c r="R942" s="29">
        <v>2303.15</v>
      </c>
      <c r="S942" s="29">
        <v>0</v>
      </c>
      <c r="T942" s="29">
        <v>1</v>
      </c>
      <c r="U942" s="29">
        <v>23.031500000000001</v>
      </c>
    </row>
    <row r="943" spans="2:21">
      <c r="B943" s="111">
        <v>4</v>
      </c>
      <c r="C943" s="111">
        <v>27697</v>
      </c>
      <c r="D943" s="111" t="s">
        <v>758</v>
      </c>
      <c r="E943" s="111" t="s">
        <v>448</v>
      </c>
      <c r="F943" s="265">
        <v>42123</v>
      </c>
      <c r="G943" s="265">
        <v>42164</v>
      </c>
      <c r="H943" s="266">
        <f t="shared" si="58"/>
        <v>3546.27</v>
      </c>
      <c r="I943" s="266">
        <f t="shared" si="59"/>
        <v>0</v>
      </c>
      <c r="J943" s="295">
        <f t="shared" si="57"/>
        <v>1</v>
      </c>
      <c r="K943" s="266">
        <f t="shared" si="60"/>
        <v>35.462699999999998</v>
      </c>
      <c r="L943" s="147">
        <f t="shared" si="61"/>
        <v>1</v>
      </c>
      <c r="M943" s="263"/>
      <c r="N943" s="263"/>
      <c r="O943" s="29">
        <v>3546.27</v>
      </c>
      <c r="P943" s="29">
        <v>0</v>
      </c>
      <c r="Q943" s="29">
        <v>638.33000000000004</v>
      </c>
      <c r="R943" s="29">
        <v>4184.6000000000004</v>
      </c>
      <c r="S943" s="29">
        <v>0</v>
      </c>
      <c r="T943" s="29">
        <v>1</v>
      </c>
      <c r="U943" s="29">
        <v>41.845999999999997</v>
      </c>
    </row>
    <row r="944" spans="2:21">
      <c r="B944" s="111">
        <v>4</v>
      </c>
      <c r="C944" s="111">
        <v>27740</v>
      </c>
      <c r="D944" s="111" t="s">
        <v>758</v>
      </c>
      <c r="E944" s="111" t="s">
        <v>448</v>
      </c>
      <c r="F944" s="265">
        <v>42124</v>
      </c>
      <c r="G944" s="265">
        <v>42173</v>
      </c>
      <c r="H944" s="266">
        <f t="shared" si="58"/>
        <v>3290.07</v>
      </c>
      <c r="I944" s="266">
        <f t="shared" si="59"/>
        <v>1008.7796610169491</v>
      </c>
      <c r="J944" s="295">
        <f t="shared" si="57"/>
        <v>1</v>
      </c>
      <c r="K944" s="266">
        <f t="shared" si="60"/>
        <v>22.81290338983051</v>
      </c>
      <c r="L944" s="147">
        <f t="shared" si="61"/>
        <v>1</v>
      </c>
      <c r="M944" s="263"/>
      <c r="N944" s="263"/>
      <c r="O944" s="29">
        <v>3290.07</v>
      </c>
      <c r="P944" s="29">
        <v>0</v>
      </c>
      <c r="Q944" s="29">
        <v>592.21</v>
      </c>
      <c r="R944" s="29">
        <v>3882.28</v>
      </c>
      <c r="S944" s="29">
        <v>1190.3599999999999</v>
      </c>
      <c r="T944" s="29">
        <v>1</v>
      </c>
      <c r="U944" s="29">
        <v>26.9192</v>
      </c>
    </row>
    <row r="945" spans="2:21">
      <c r="B945" s="111">
        <v>4</v>
      </c>
      <c r="C945" s="111">
        <v>27872</v>
      </c>
      <c r="D945" s="111" t="s">
        <v>758</v>
      </c>
      <c r="E945" s="111" t="s">
        <v>448</v>
      </c>
      <c r="F945" s="265">
        <v>42124</v>
      </c>
      <c r="G945" s="265">
        <v>42164</v>
      </c>
      <c r="H945" s="266">
        <f t="shared" si="58"/>
        <v>102.72</v>
      </c>
      <c r="I945" s="266">
        <f t="shared" si="59"/>
        <v>0</v>
      </c>
      <c r="J945" s="295">
        <f t="shared" si="57"/>
        <v>1</v>
      </c>
      <c r="K945" s="266">
        <f t="shared" si="60"/>
        <v>1.0272000000000001</v>
      </c>
      <c r="L945" s="147">
        <f t="shared" si="61"/>
        <v>1</v>
      </c>
      <c r="M945" s="263"/>
      <c r="N945" s="263"/>
      <c r="O945" s="29">
        <v>102.72</v>
      </c>
      <c r="P945" s="29">
        <v>0</v>
      </c>
      <c r="Q945" s="29">
        <v>18.489999999999998</v>
      </c>
      <c r="R945" s="29">
        <v>121.21</v>
      </c>
      <c r="S945" s="29">
        <v>0</v>
      </c>
      <c r="T945" s="29">
        <v>1</v>
      </c>
      <c r="U945" s="29">
        <v>1.2121</v>
      </c>
    </row>
    <row r="946" spans="2:21">
      <c r="B946" s="111">
        <v>4</v>
      </c>
      <c r="C946" s="111">
        <v>28393</v>
      </c>
      <c r="D946" s="111" t="s">
        <v>759</v>
      </c>
      <c r="E946" s="111" t="s">
        <v>448</v>
      </c>
      <c r="F946" s="265">
        <v>42135</v>
      </c>
      <c r="G946" s="265">
        <v>42185</v>
      </c>
      <c r="H946" s="266">
        <f t="shared" si="58"/>
        <v>746.01</v>
      </c>
      <c r="I946" s="266">
        <f t="shared" si="59"/>
        <v>0</v>
      </c>
      <c r="J946" s="295">
        <f t="shared" si="57"/>
        <v>1</v>
      </c>
      <c r="K946" s="266">
        <f t="shared" si="60"/>
        <v>7.4600999999999997</v>
      </c>
      <c r="L946" s="147">
        <f t="shared" si="61"/>
        <v>1</v>
      </c>
      <c r="M946" s="263"/>
      <c r="N946" s="263"/>
      <c r="O946" s="29">
        <v>746.01</v>
      </c>
      <c r="P946" s="29">
        <v>0</v>
      </c>
      <c r="Q946" s="29">
        <v>134.28</v>
      </c>
      <c r="R946" s="29">
        <v>880.29</v>
      </c>
      <c r="S946" s="29">
        <v>0</v>
      </c>
      <c r="T946" s="29">
        <v>1</v>
      </c>
      <c r="U946" s="29">
        <v>8.8028999999999993</v>
      </c>
    </row>
    <row r="947" spans="2:21">
      <c r="B947" s="111">
        <v>4</v>
      </c>
      <c r="C947" s="111">
        <v>28395</v>
      </c>
      <c r="D947" s="111" t="s">
        <v>757</v>
      </c>
      <c r="E947" s="111" t="s">
        <v>448</v>
      </c>
      <c r="F947" s="265">
        <v>42135</v>
      </c>
      <c r="G947" s="265">
        <v>42178</v>
      </c>
      <c r="H947" s="266">
        <f t="shared" si="58"/>
        <v>122.59</v>
      </c>
      <c r="I947" s="266">
        <f t="shared" si="59"/>
        <v>0</v>
      </c>
      <c r="J947" s="295">
        <f t="shared" si="57"/>
        <v>1</v>
      </c>
      <c r="K947" s="266">
        <f t="shared" si="60"/>
        <v>1.2259</v>
      </c>
      <c r="L947" s="147">
        <f t="shared" si="61"/>
        <v>1</v>
      </c>
      <c r="M947" s="263"/>
      <c r="N947" s="263"/>
      <c r="O947" s="29">
        <v>122.59</v>
      </c>
      <c r="P947" s="29">
        <v>0</v>
      </c>
      <c r="Q947" s="29">
        <v>22.07</v>
      </c>
      <c r="R947" s="29">
        <v>144.66</v>
      </c>
      <c r="S947" s="29">
        <v>0</v>
      </c>
      <c r="T947" s="29">
        <v>1</v>
      </c>
      <c r="U947" s="29">
        <v>1.4466000000000001</v>
      </c>
    </row>
    <row r="948" spans="2:21">
      <c r="B948" s="111">
        <v>4</v>
      </c>
      <c r="C948" s="111">
        <v>28020</v>
      </c>
      <c r="D948" s="111" t="s">
        <v>758</v>
      </c>
      <c r="E948" s="111" t="s">
        <v>448</v>
      </c>
      <c r="F948" s="265">
        <v>42128</v>
      </c>
      <c r="G948" s="265">
        <v>42173</v>
      </c>
      <c r="H948" s="266">
        <f t="shared" si="58"/>
        <v>2769.51</v>
      </c>
      <c r="I948" s="266">
        <f t="shared" si="59"/>
        <v>0</v>
      </c>
      <c r="J948" s="295">
        <f t="shared" si="57"/>
        <v>1</v>
      </c>
      <c r="K948" s="266">
        <f t="shared" si="60"/>
        <v>27.695100000000004</v>
      </c>
      <c r="L948" s="147">
        <f t="shared" si="61"/>
        <v>1</v>
      </c>
      <c r="M948" s="263"/>
      <c r="N948" s="263"/>
      <c r="O948" s="29">
        <v>2769.51</v>
      </c>
      <c r="P948" s="29">
        <v>0</v>
      </c>
      <c r="Q948" s="29">
        <v>498.51</v>
      </c>
      <c r="R948" s="29">
        <v>3268.02</v>
      </c>
      <c r="S948" s="29">
        <v>0</v>
      </c>
      <c r="T948" s="29">
        <v>1</v>
      </c>
      <c r="U948" s="29">
        <v>32.680199999999999</v>
      </c>
    </row>
    <row r="949" spans="2:21">
      <c r="B949" s="111">
        <v>4</v>
      </c>
      <c r="C949" s="111">
        <v>28018</v>
      </c>
      <c r="D949" s="111" t="s">
        <v>759</v>
      </c>
      <c r="E949" s="111" t="s">
        <v>448</v>
      </c>
      <c r="F949" s="265">
        <v>42128</v>
      </c>
      <c r="G949" s="265">
        <v>42177</v>
      </c>
      <c r="H949" s="266">
        <f t="shared" si="58"/>
        <v>1701.3</v>
      </c>
      <c r="I949" s="266">
        <f t="shared" si="59"/>
        <v>0</v>
      </c>
      <c r="J949" s="295">
        <f t="shared" si="57"/>
        <v>1</v>
      </c>
      <c r="K949" s="266">
        <f t="shared" si="60"/>
        <v>17.012999999999998</v>
      </c>
      <c r="L949" s="147">
        <f t="shared" si="61"/>
        <v>1</v>
      </c>
      <c r="M949" s="263"/>
      <c r="N949" s="263"/>
      <c r="O949" s="29">
        <v>1701.3</v>
      </c>
      <c r="P949" s="29">
        <v>0</v>
      </c>
      <c r="Q949" s="29">
        <v>306.23</v>
      </c>
      <c r="R949" s="29">
        <v>2007.53</v>
      </c>
      <c r="S949" s="29">
        <v>0</v>
      </c>
      <c r="T949" s="29">
        <v>1</v>
      </c>
      <c r="U949" s="29">
        <v>20.075299999999999</v>
      </c>
    </row>
    <row r="950" spans="2:21">
      <c r="B950" s="111">
        <v>4</v>
      </c>
      <c r="C950" s="111">
        <v>28017</v>
      </c>
      <c r="D950" s="111" t="s">
        <v>759</v>
      </c>
      <c r="E950" s="111" t="s">
        <v>448</v>
      </c>
      <c r="F950" s="265">
        <v>42128</v>
      </c>
      <c r="G950" s="265">
        <v>42177</v>
      </c>
      <c r="H950" s="266">
        <f t="shared" si="58"/>
        <v>202.39</v>
      </c>
      <c r="I950" s="266">
        <f t="shared" si="59"/>
        <v>0</v>
      </c>
      <c r="J950" s="295">
        <f t="shared" si="57"/>
        <v>1</v>
      </c>
      <c r="K950" s="266">
        <f t="shared" si="60"/>
        <v>2.0238999999999998</v>
      </c>
      <c r="L950" s="147">
        <f t="shared" si="61"/>
        <v>1</v>
      </c>
      <c r="M950" s="263"/>
      <c r="N950" s="263"/>
      <c r="O950" s="29">
        <v>202.39</v>
      </c>
      <c r="P950" s="29">
        <v>0</v>
      </c>
      <c r="Q950" s="29">
        <v>36.43</v>
      </c>
      <c r="R950" s="29">
        <v>238.82</v>
      </c>
      <c r="S950" s="29">
        <v>0</v>
      </c>
      <c r="T950" s="29">
        <v>1</v>
      </c>
      <c r="U950" s="29">
        <v>2.3881999999999999</v>
      </c>
    </row>
    <row r="951" spans="2:21">
      <c r="B951" s="111">
        <v>4</v>
      </c>
      <c r="C951" s="111">
        <v>28019</v>
      </c>
      <c r="D951" s="111" t="s">
        <v>758</v>
      </c>
      <c r="E951" s="111" t="s">
        <v>448</v>
      </c>
      <c r="F951" s="265">
        <v>42128</v>
      </c>
      <c r="G951" s="265">
        <v>42173</v>
      </c>
      <c r="H951" s="266">
        <f t="shared" si="58"/>
        <v>238.97</v>
      </c>
      <c r="I951" s="266">
        <f t="shared" si="59"/>
        <v>0</v>
      </c>
      <c r="J951" s="295">
        <f t="shared" si="57"/>
        <v>1</v>
      </c>
      <c r="K951" s="266">
        <f t="shared" si="60"/>
        <v>2.3896999999999999</v>
      </c>
      <c r="L951" s="147">
        <f t="shared" si="61"/>
        <v>1</v>
      </c>
      <c r="M951" s="263"/>
      <c r="N951" s="263"/>
      <c r="O951" s="29">
        <v>238.97</v>
      </c>
      <c r="P951" s="29">
        <v>0</v>
      </c>
      <c r="Q951" s="29">
        <v>43.01</v>
      </c>
      <c r="R951" s="29">
        <v>281.98</v>
      </c>
      <c r="S951" s="29">
        <v>0</v>
      </c>
      <c r="T951" s="29">
        <v>1</v>
      </c>
      <c r="U951" s="29">
        <v>2.8197999999999999</v>
      </c>
    </row>
    <row r="952" spans="2:21">
      <c r="B952" s="111">
        <v>4</v>
      </c>
      <c r="C952" s="111">
        <v>28062</v>
      </c>
      <c r="D952" s="111" t="s">
        <v>757</v>
      </c>
      <c r="E952" s="111" t="s">
        <v>448</v>
      </c>
      <c r="F952" s="265">
        <v>42129</v>
      </c>
      <c r="G952" s="265">
        <v>42178</v>
      </c>
      <c r="H952" s="266">
        <f t="shared" si="58"/>
        <v>246.26</v>
      </c>
      <c r="I952" s="266">
        <f t="shared" si="59"/>
        <v>0</v>
      </c>
      <c r="J952" s="295">
        <f t="shared" si="57"/>
        <v>1</v>
      </c>
      <c r="K952" s="266">
        <f t="shared" si="60"/>
        <v>2.4626000000000001</v>
      </c>
      <c r="L952" s="147">
        <f t="shared" si="61"/>
        <v>1</v>
      </c>
      <c r="M952" s="263"/>
      <c r="N952" s="263"/>
      <c r="O952" s="29">
        <v>246.26</v>
      </c>
      <c r="P952" s="29">
        <v>0</v>
      </c>
      <c r="Q952" s="29">
        <v>44.33</v>
      </c>
      <c r="R952" s="29">
        <v>290.58999999999997</v>
      </c>
      <c r="S952" s="29">
        <v>0</v>
      </c>
      <c r="T952" s="29">
        <v>1</v>
      </c>
      <c r="U952" s="29">
        <v>2.9058999999999999</v>
      </c>
    </row>
    <row r="953" spans="2:21">
      <c r="B953" s="111">
        <v>4</v>
      </c>
      <c r="C953" s="111">
        <v>28045</v>
      </c>
      <c r="D953" s="111" t="s">
        <v>759</v>
      </c>
      <c r="E953" s="111" t="s">
        <v>448</v>
      </c>
      <c r="F953" s="265">
        <v>42129</v>
      </c>
      <c r="G953" s="265">
        <v>42177</v>
      </c>
      <c r="H953" s="266">
        <f t="shared" si="58"/>
        <v>340.56</v>
      </c>
      <c r="I953" s="266">
        <f t="shared" si="59"/>
        <v>0</v>
      </c>
      <c r="J953" s="295">
        <f t="shared" si="57"/>
        <v>1</v>
      </c>
      <c r="K953" s="266">
        <f t="shared" si="60"/>
        <v>3.4056000000000002</v>
      </c>
      <c r="L953" s="147">
        <f t="shared" si="61"/>
        <v>1</v>
      </c>
      <c r="M953" s="263"/>
      <c r="N953" s="263"/>
      <c r="O953" s="29">
        <v>340.56</v>
      </c>
      <c r="P953" s="29">
        <v>0</v>
      </c>
      <c r="Q953" s="29">
        <v>61.3</v>
      </c>
      <c r="R953" s="29">
        <v>401.86</v>
      </c>
      <c r="S953" s="29">
        <v>0</v>
      </c>
      <c r="T953" s="29">
        <v>1</v>
      </c>
      <c r="U953" s="29">
        <v>4.0186000000000002</v>
      </c>
    </row>
    <row r="954" spans="2:21">
      <c r="B954" s="111">
        <v>4</v>
      </c>
      <c r="C954" s="111">
        <v>28064</v>
      </c>
      <c r="D954" s="111" t="s">
        <v>759</v>
      </c>
      <c r="E954" s="111" t="s">
        <v>448</v>
      </c>
      <c r="F954" s="265">
        <v>42129</v>
      </c>
      <c r="G954" s="265">
        <v>42185</v>
      </c>
      <c r="H954" s="266">
        <f t="shared" si="58"/>
        <v>2441.25</v>
      </c>
      <c r="I954" s="266">
        <f t="shared" si="59"/>
        <v>0</v>
      </c>
      <c r="J954" s="295">
        <f t="shared" si="57"/>
        <v>1</v>
      </c>
      <c r="K954" s="266">
        <f t="shared" si="60"/>
        <v>24.412500000000001</v>
      </c>
      <c r="L954" s="147">
        <f t="shared" si="61"/>
        <v>1</v>
      </c>
      <c r="M954" s="263"/>
      <c r="N954" s="263"/>
      <c r="O954" s="29">
        <v>2441.25</v>
      </c>
      <c r="P954" s="29">
        <v>0</v>
      </c>
      <c r="Q954" s="29">
        <v>439.43</v>
      </c>
      <c r="R954" s="29">
        <v>2880.68</v>
      </c>
      <c r="S954" s="29">
        <v>0</v>
      </c>
      <c r="T954" s="29">
        <v>1</v>
      </c>
      <c r="U954" s="29">
        <v>28.806799999999999</v>
      </c>
    </row>
    <row r="955" spans="2:21">
      <c r="B955" s="111">
        <v>4</v>
      </c>
      <c r="C955" s="111">
        <v>28066</v>
      </c>
      <c r="D955" s="111" t="s">
        <v>758</v>
      </c>
      <c r="E955" s="111" t="s">
        <v>448</v>
      </c>
      <c r="F955" s="265">
        <v>42129</v>
      </c>
      <c r="G955" s="265">
        <v>42173</v>
      </c>
      <c r="H955" s="266">
        <f t="shared" si="58"/>
        <v>253.2</v>
      </c>
      <c r="I955" s="266">
        <f t="shared" si="59"/>
        <v>0</v>
      </c>
      <c r="J955" s="295">
        <f t="shared" si="57"/>
        <v>1</v>
      </c>
      <c r="K955" s="266">
        <f t="shared" si="60"/>
        <v>2.532</v>
      </c>
      <c r="L955" s="147">
        <f t="shared" si="61"/>
        <v>1</v>
      </c>
      <c r="M955" s="263"/>
      <c r="N955" s="263"/>
      <c r="O955" s="29">
        <v>253.2</v>
      </c>
      <c r="P955" s="29">
        <v>0</v>
      </c>
      <c r="Q955" s="29">
        <v>45.58</v>
      </c>
      <c r="R955" s="29">
        <v>298.77999999999997</v>
      </c>
      <c r="S955" s="29">
        <v>0</v>
      </c>
      <c r="T955" s="29">
        <v>1</v>
      </c>
      <c r="U955" s="29">
        <v>2.9878</v>
      </c>
    </row>
    <row r="956" spans="2:21">
      <c r="B956" s="111">
        <v>4</v>
      </c>
      <c r="C956" s="111">
        <v>28046</v>
      </c>
      <c r="D956" s="111" t="s">
        <v>759</v>
      </c>
      <c r="E956" s="111" t="s">
        <v>448</v>
      </c>
      <c r="F956" s="265">
        <v>42129</v>
      </c>
      <c r="G956" s="265">
        <v>42177</v>
      </c>
      <c r="H956" s="266">
        <f t="shared" si="58"/>
        <v>1056.3</v>
      </c>
      <c r="I956" s="266">
        <f t="shared" si="59"/>
        <v>0</v>
      </c>
      <c r="J956" s="295">
        <f t="shared" si="57"/>
        <v>1</v>
      </c>
      <c r="K956" s="266">
        <f t="shared" si="60"/>
        <v>10.563000000000001</v>
      </c>
      <c r="L956" s="147">
        <f t="shared" si="61"/>
        <v>1</v>
      </c>
      <c r="M956" s="263"/>
      <c r="N956" s="263"/>
      <c r="O956" s="29">
        <v>1056.3</v>
      </c>
      <c r="P956" s="29">
        <v>0</v>
      </c>
      <c r="Q956" s="29">
        <v>190.13</v>
      </c>
      <c r="R956" s="29">
        <v>1246.43</v>
      </c>
      <c r="S956" s="29">
        <v>0</v>
      </c>
      <c r="T956" s="29">
        <v>1</v>
      </c>
      <c r="U956" s="29">
        <v>12.4643</v>
      </c>
    </row>
    <row r="957" spans="2:21">
      <c r="B957" s="306">
        <v>6</v>
      </c>
      <c r="C957" s="306">
        <v>911</v>
      </c>
      <c r="D957" s="306" t="s">
        <v>381</v>
      </c>
      <c r="E957" s="306" t="s">
        <v>382</v>
      </c>
      <c r="F957" s="307">
        <v>42130</v>
      </c>
      <c r="G957" s="307">
        <v>42173</v>
      </c>
      <c r="H957" s="308">
        <f t="shared" si="58"/>
        <v>5338.98</v>
      </c>
      <c r="I957" s="308">
        <f t="shared" si="59"/>
        <v>0</v>
      </c>
      <c r="J957" s="309">
        <v>1</v>
      </c>
      <c r="K957" s="308">
        <f t="shared" si="60"/>
        <v>53.389799999999994</v>
      </c>
      <c r="L957" s="147" t="e">
        <f t="shared" si="61"/>
        <v>#N/A</v>
      </c>
      <c r="M957" s="263"/>
      <c r="N957" s="263"/>
      <c r="O957" s="29">
        <v>5338.98</v>
      </c>
      <c r="P957" s="29">
        <v>0</v>
      </c>
      <c r="Q957" s="29">
        <v>961.02</v>
      </c>
      <c r="R957" s="29">
        <v>6300</v>
      </c>
      <c r="S957" s="29">
        <v>0</v>
      </c>
      <c r="T957" s="29">
        <v>1</v>
      </c>
      <c r="U957" s="29">
        <v>63</v>
      </c>
    </row>
    <row r="958" spans="2:21">
      <c r="B958" s="111">
        <v>4</v>
      </c>
      <c r="C958" s="111">
        <v>28107</v>
      </c>
      <c r="D958" s="111" t="s">
        <v>759</v>
      </c>
      <c r="E958" s="111" t="s">
        <v>448</v>
      </c>
      <c r="F958" s="265">
        <v>42130</v>
      </c>
      <c r="G958" s="265">
        <v>42185</v>
      </c>
      <c r="H958" s="266">
        <f t="shared" si="58"/>
        <v>11453.67</v>
      </c>
      <c r="I958" s="266">
        <f t="shared" si="59"/>
        <v>0</v>
      </c>
      <c r="J958" s="295">
        <f t="shared" ref="J958:J966" si="62">L958</f>
        <v>1</v>
      </c>
      <c r="K958" s="266">
        <f t="shared" si="60"/>
        <v>114.5367</v>
      </c>
      <c r="L958" s="147">
        <f t="shared" si="61"/>
        <v>1</v>
      </c>
      <c r="M958" s="263"/>
      <c r="N958" s="263"/>
      <c r="O958" s="29">
        <v>11453.67</v>
      </c>
      <c r="P958" s="29">
        <v>0</v>
      </c>
      <c r="Q958" s="29">
        <v>2061.66</v>
      </c>
      <c r="R958" s="29">
        <v>13515.33</v>
      </c>
      <c r="S958" s="29">
        <v>0</v>
      </c>
      <c r="T958" s="29">
        <v>1</v>
      </c>
      <c r="U958" s="29">
        <v>135.1533</v>
      </c>
    </row>
    <row r="959" spans="2:21">
      <c r="B959" s="111">
        <v>4</v>
      </c>
      <c r="C959" s="111">
        <v>28232</v>
      </c>
      <c r="D959" s="111" t="s">
        <v>758</v>
      </c>
      <c r="E959" s="111" t="s">
        <v>448</v>
      </c>
      <c r="F959" s="265">
        <v>42131</v>
      </c>
      <c r="G959" s="265">
        <v>42173</v>
      </c>
      <c r="H959" s="266">
        <f t="shared" si="58"/>
        <v>830.86</v>
      </c>
      <c r="I959" s="266">
        <f t="shared" si="59"/>
        <v>0</v>
      </c>
      <c r="J959" s="295">
        <f t="shared" si="62"/>
        <v>1</v>
      </c>
      <c r="K959" s="266">
        <f t="shared" si="60"/>
        <v>8.3086000000000002</v>
      </c>
      <c r="L959" s="147">
        <f t="shared" si="61"/>
        <v>1</v>
      </c>
      <c r="M959" s="263"/>
      <c r="N959" s="263"/>
      <c r="O959" s="29">
        <v>830.86</v>
      </c>
      <c r="P959" s="29">
        <v>0</v>
      </c>
      <c r="Q959" s="29">
        <v>149.55000000000001</v>
      </c>
      <c r="R959" s="29">
        <v>980.41</v>
      </c>
      <c r="S959" s="29">
        <v>0</v>
      </c>
      <c r="T959" s="29">
        <v>1</v>
      </c>
      <c r="U959" s="29">
        <v>9.8041</v>
      </c>
    </row>
    <row r="960" spans="2:21">
      <c r="B960" s="111">
        <v>4</v>
      </c>
      <c r="C960" s="111">
        <v>28147</v>
      </c>
      <c r="D960" s="111" t="s">
        <v>759</v>
      </c>
      <c r="E960" s="111" t="s">
        <v>448</v>
      </c>
      <c r="F960" s="265">
        <v>42130</v>
      </c>
      <c r="G960" s="265">
        <v>42177</v>
      </c>
      <c r="H960" s="266">
        <f t="shared" si="58"/>
        <v>598.85</v>
      </c>
      <c r="I960" s="266">
        <f t="shared" si="59"/>
        <v>0</v>
      </c>
      <c r="J960" s="295">
        <f t="shared" si="62"/>
        <v>1</v>
      </c>
      <c r="K960" s="266">
        <f t="shared" si="60"/>
        <v>5.9885000000000002</v>
      </c>
      <c r="L960" s="147">
        <f t="shared" si="61"/>
        <v>1</v>
      </c>
      <c r="M960" s="263"/>
      <c r="N960" s="263"/>
      <c r="O960" s="29">
        <v>598.85</v>
      </c>
      <c r="P960" s="29">
        <v>0</v>
      </c>
      <c r="Q960" s="29">
        <v>107.79</v>
      </c>
      <c r="R960" s="29">
        <v>706.64</v>
      </c>
      <c r="S960" s="29">
        <v>0</v>
      </c>
      <c r="T960" s="29">
        <v>1</v>
      </c>
      <c r="U960" s="29">
        <v>7.0663999999999998</v>
      </c>
    </row>
    <row r="961" spans="2:21">
      <c r="B961" s="111">
        <v>4</v>
      </c>
      <c r="C961" s="111">
        <v>28190</v>
      </c>
      <c r="D961" s="111" t="s">
        <v>758</v>
      </c>
      <c r="E961" s="111" t="s">
        <v>448</v>
      </c>
      <c r="F961" s="265">
        <v>42131</v>
      </c>
      <c r="G961" s="265">
        <v>42173</v>
      </c>
      <c r="H961" s="266">
        <f t="shared" si="58"/>
        <v>7240.62</v>
      </c>
      <c r="I961" s="266">
        <f t="shared" si="59"/>
        <v>0</v>
      </c>
      <c r="J961" s="295">
        <f t="shared" si="62"/>
        <v>1</v>
      </c>
      <c r="K961" s="266">
        <f t="shared" si="60"/>
        <v>72.406199999999998</v>
      </c>
      <c r="L961" s="147">
        <f t="shared" si="61"/>
        <v>1</v>
      </c>
      <c r="M961" s="263"/>
      <c r="N961" s="263"/>
      <c r="O961" s="29">
        <v>7240.62</v>
      </c>
      <c r="P961" s="29">
        <v>0</v>
      </c>
      <c r="Q961" s="29">
        <v>1303.31</v>
      </c>
      <c r="R961" s="29">
        <v>8543.93</v>
      </c>
      <c r="S961" s="29">
        <v>0</v>
      </c>
      <c r="T961" s="29">
        <v>1</v>
      </c>
      <c r="U961" s="29">
        <v>85.439300000000003</v>
      </c>
    </row>
    <row r="962" spans="2:21">
      <c r="B962" s="111">
        <v>4</v>
      </c>
      <c r="C962" s="111">
        <v>28177</v>
      </c>
      <c r="D962" s="111" t="s">
        <v>758</v>
      </c>
      <c r="E962" s="111" t="s">
        <v>448</v>
      </c>
      <c r="F962" s="265">
        <v>42131</v>
      </c>
      <c r="G962" s="265">
        <v>42173</v>
      </c>
      <c r="H962" s="266">
        <f t="shared" si="58"/>
        <v>2505.91</v>
      </c>
      <c r="I962" s="266">
        <f t="shared" si="59"/>
        <v>0</v>
      </c>
      <c r="J962" s="295">
        <f t="shared" si="62"/>
        <v>1</v>
      </c>
      <c r="K962" s="266">
        <f t="shared" si="60"/>
        <v>25.059100000000001</v>
      </c>
      <c r="L962" s="147">
        <f t="shared" si="61"/>
        <v>1</v>
      </c>
      <c r="M962" s="263"/>
      <c r="N962" s="263"/>
      <c r="O962" s="29">
        <v>2505.91</v>
      </c>
      <c r="P962" s="29">
        <v>0</v>
      </c>
      <c r="Q962" s="29">
        <v>451.06</v>
      </c>
      <c r="R962" s="29">
        <v>2956.97</v>
      </c>
      <c r="S962" s="29">
        <v>0</v>
      </c>
      <c r="T962" s="29">
        <v>1</v>
      </c>
      <c r="U962" s="29">
        <v>29.569700000000001</v>
      </c>
    </row>
    <row r="963" spans="2:21">
      <c r="B963" s="111">
        <v>4</v>
      </c>
      <c r="C963" s="111">
        <v>28306</v>
      </c>
      <c r="D963" s="111" t="s">
        <v>759</v>
      </c>
      <c r="E963" s="111" t="s">
        <v>448</v>
      </c>
      <c r="F963" s="265">
        <v>42132</v>
      </c>
      <c r="G963" s="265">
        <v>42185</v>
      </c>
      <c r="H963" s="266">
        <f t="shared" si="58"/>
        <v>5466.14</v>
      </c>
      <c r="I963" s="266">
        <f t="shared" si="59"/>
        <v>202.38983050847457</v>
      </c>
      <c r="J963" s="295">
        <f t="shared" si="62"/>
        <v>1</v>
      </c>
      <c r="K963" s="266">
        <f t="shared" si="60"/>
        <v>52.637501694915258</v>
      </c>
      <c r="L963" s="147">
        <f t="shared" si="61"/>
        <v>1</v>
      </c>
      <c r="M963" s="263"/>
      <c r="N963" s="263"/>
      <c r="O963" s="29">
        <v>5466.14</v>
      </c>
      <c r="P963" s="29">
        <v>0</v>
      </c>
      <c r="Q963" s="29">
        <v>983.91</v>
      </c>
      <c r="R963" s="29">
        <v>6450.05</v>
      </c>
      <c r="S963" s="29">
        <v>238.82</v>
      </c>
      <c r="T963" s="29">
        <v>1</v>
      </c>
      <c r="U963" s="29">
        <v>62.112299999999998</v>
      </c>
    </row>
    <row r="964" spans="2:21">
      <c r="B964" s="111">
        <v>4</v>
      </c>
      <c r="C964" s="111">
        <v>28369</v>
      </c>
      <c r="D964" s="111" t="s">
        <v>759</v>
      </c>
      <c r="E964" s="111" t="s">
        <v>448</v>
      </c>
      <c r="F964" s="265">
        <v>42135</v>
      </c>
      <c r="G964" s="265">
        <v>42185</v>
      </c>
      <c r="H964" s="266">
        <f t="shared" si="58"/>
        <v>165.21</v>
      </c>
      <c r="I964" s="266">
        <f t="shared" si="59"/>
        <v>0</v>
      </c>
      <c r="J964" s="295">
        <f t="shared" si="62"/>
        <v>1</v>
      </c>
      <c r="K964" s="266">
        <f t="shared" si="60"/>
        <v>1.6521000000000001</v>
      </c>
      <c r="L964" s="147">
        <f t="shared" si="61"/>
        <v>1</v>
      </c>
      <c r="M964" s="263"/>
      <c r="N964" s="263"/>
      <c r="O964" s="29">
        <v>165.21</v>
      </c>
      <c r="P964" s="29">
        <v>0</v>
      </c>
      <c r="Q964" s="29">
        <v>29.74</v>
      </c>
      <c r="R964" s="29">
        <v>194.95</v>
      </c>
      <c r="S964" s="29">
        <v>0</v>
      </c>
      <c r="T964" s="29">
        <v>1</v>
      </c>
      <c r="U964" s="29">
        <v>1.9495</v>
      </c>
    </row>
    <row r="965" spans="2:21">
      <c r="B965" s="111">
        <v>4</v>
      </c>
      <c r="C965" s="111">
        <v>28335</v>
      </c>
      <c r="D965" s="111" t="s">
        <v>759</v>
      </c>
      <c r="E965" s="111" t="s">
        <v>448</v>
      </c>
      <c r="F965" s="265">
        <v>42133</v>
      </c>
      <c r="G965" s="265">
        <v>42185</v>
      </c>
      <c r="H965" s="266">
        <f t="shared" si="58"/>
        <v>2353.8200000000002</v>
      </c>
      <c r="I965" s="266">
        <f t="shared" si="59"/>
        <v>0</v>
      </c>
      <c r="J965" s="295">
        <f t="shared" si="62"/>
        <v>1</v>
      </c>
      <c r="K965" s="266">
        <f t="shared" si="60"/>
        <v>23.538200000000003</v>
      </c>
      <c r="L965" s="147">
        <f t="shared" si="61"/>
        <v>1</v>
      </c>
      <c r="M965" s="263"/>
      <c r="N965" s="263"/>
      <c r="O965" s="29">
        <v>2353.8200000000002</v>
      </c>
      <c r="P965" s="29">
        <v>0</v>
      </c>
      <c r="Q965" s="29">
        <v>423.69</v>
      </c>
      <c r="R965" s="29">
        <v>2777.51</v>
      </c>
      <c r="S965" s="29">
        <v>0</v>
      </c>
      <c r="T965" s="29">
        <v>1</v>
      </c>
      <c r="U965" s="29">
        <v>27.775099999999998</v>
      </c>
    </row>
    <row r="966" spans="2:21">
      <c r="B966" s="111">
        <v>4</v>
      </c>
      <c r="C966" s="111">
        <v>28403</v>
      </c>
      <c r="D966" s="111" t="s">
        <v>758</v>
      </c>
      <c r="E966" s="111" t="s">
        <v>448</v>
      </c>
      <c r="F966" s="265">
        <v>42135</v>
      </c>
      <c r="G966" s="265">
        <v>42173</v>
      </c>
      <c r="H966" s="266">
        <f t="shared" si="58"/>
        <v>5783.68</v>
      </c>
      <c r="I966" s="266">
        <f t="shared" si="59"/>
        <v>0</v>
      </c>
      <c r="J966" s="295">
        <f t="shared" si="62"/>
        <v>1</v>
      </c>
      <c r="K966" s="266">
        <f t="shared" si="60"/>
        <v>57.836800000000004</v>
      </c>
      <c r="L966" s="147">
        <f t="shared" si="61"/>
        <v>1</v>
      </c>
      <c r="M966" s="263"/>
      <c r="N966" s="263"/>
      <c r="O966" s="29">
        <v>5783.68</v>
      </c>
      <c r="P966" s="29">
        <v>0</v>
      </c>
      <c r="Q966" s="29">
        <v>1041.06</v>
      </c>
      <c r="R966" s="29">
        <v>6824.74</v>
      </c>
      <c r="S966" s="29">
        <v>0</v>
      </c>
      <c r="T966" s="29">
        <v>1</v>
      </c>
      <c r="U966" s="29">
        <v>68.247399999999999</v>
      </c>
    </row>
    <row r="967" spans="2:21">
      <c r="B967" s="306">
        <v>6</v>
      </c>
      <c r="C967" s="306">
        <v>924</v>
      </c>
      <c r="D967" s="306" t="s">
        <v>381</v>
      </c>
      <c r="E967" s="306" t="s">
        <v>382</v>
      </c>
      <c r="F967" s="307">
        <v>42136</v>
      </c>
      <c r="G967" s="307">
        <v>42173</v>
      </c>
      <c r="H967" s="308">
        <f t="shared" si="58"/>
        <v>4444.07</v>
      </c>
      <c r="I967" s="308">
        <f t="shared" si="59"/>
        <v>0</v>
      </c>
      <c r="J967" s="309">
        <v>1</v>
      </c>
      <c r="K967" s="308">
        <f t="shared" si="60"/>
        <v>44.4407</v>
      </c>
      <c r="L967" s="147" t="e">
        <f t="shared" si="61"/>
        <v>#N/A</v>
      </c>
      <c r="M967" s="263"/>
      <c r="N967" s="263"/>
      <c r="O967" s="29">
        <v>4444.07</v>
      </c>
      <c r="P967" s="29">
        <v>0</v>
      </c>
      <c r="Q967" s="29">
        <v>799.93</v>
      </c>
      <c r="R967" s="29">
        <v>5244</v>
      </c>
      <c r="S967" s="29">
        <v>0</v>
      </c>
      <c r="T967" s="29">
        <v>1</v>
      </c>
      <c r="U967" s="29">
        <v>52.44</v>
      </c>
    </row>
    <row r="968" spans="2:21">
      <c r="B968" s="111">
        <v>4</v>
      </c>
      <c r="C968" s="111">
        <v>28443</v>
      </c>
      <c r="D968" s="111" t="s">
        <v>758</v>
      </c>
      <c r="E968" s="111" t="s">
        <v>448</v>
      </c>
      <c r="F968" s="265">
        <v>42136</v>
      </c>
      <c r="G968" s="265">
        <v>42173</v>
      </c>
      <c r="H968" s="266">
        <f t="shared" si="58"/>
        <v>426.01</v>
      </c>
      <c r="I968" s="266">
        <f t="shared" si="59"/>
        <v>0</v>
      </c>
      <c r="J968" s="295">
        <f t="shared" ref="J968:J975" si="63">L968</f>
        <v>1</v>
      </c>
      <c r="K968" s="266">
        <f t="shared" si="60"/>
        <v>4.2600999999999996</v>
      </c>
      <c r="L968" s="147">
        <f t="shared" si="61"/>
        <v>1</v>
      </c>
      <c r="M968" s="263"/>
      <c r="N968" s="263"/>
      <c r="O968" s="29">
        <v>426.01</v>
      </c>
      <c r="P968" s="29">
        <v>0</v>
      </c>
      <c r="Q968" s="29">
        <v>76.680000000000007</v>
      </c>
      <c r="R968" s="29">
        <v>502.69</v>
      </c>
      <c r="S968" s="29">
        <v>0</v>
      </c>
      <c r="T968" s="29">
        <v>1</v>
      </c>
      <c r="U968" s="29">
        <v>5.0269000000000004</v>
      </c>
    </row>
    <row r="969" spans="2:21">
      <c r="B969" s="111">
        <v>4</v>
      </c>
      <c r="C969" s="111">
        <v>28444</v>
      </c>
      <c r="D969" s="111" t="s">
        <v>759</v>
      </c>
      <c r="E969" s="111" t="s">
        <v>448</v>
      </c>
      <c r="F969" s="265">
        <v>42136</v>
      </c>
      <c r="G969" s="265">
        <v>42185</v>
      </c>
      <c r="H969" s="266">
        <f t="shared" si="58"/>
        <v>982.8</v>
      </c>
      <c r="I969" s="266">
        <f t="shared" si="59"/>
        <v>0</v>
      </c>
      <c r="J969" s="295">
        <f t="shared" si="63"/>
        <v>1</v>
      </c>
      <c r="K969" s="266">
        <f t="shared" si="60"/>
        <v>9.8279999999999994</v>
      </c>
      <c r="L969" s="147">
        <f t="shared" si="61"/>
        <v>1</v>
      </c>
      <c r="M969" s="263"/>
      <c r="N969" s="263"/>
      <c r="O969" s="29">
        <v>982.8</v>
      </c>
      <c r="P969" s="29">
        <v>0</v>
      </c>
      <c r="Q969" s="29">
        <v>176.9</v>
      </c>
      <c r="R969" s="29">
        <v>1159.7</v>
      </c>
      <c r="S969" s="29">
        <v>0</v>
      </c>
      <c r="T969" s="29">
        <v>1</v>
      </c>
      <c r="U969" s="29">
        <v>11.597</v>
      </c>
    </row>
    <row r="970" spans="2:21">
      <c r="B970" s="111">
        <v>4</v>
      </c>
      <c r="C970" s="111">
        <v>28463</v>
      </c>
      <c r="D970" s="111" t="s">
        <v>759</v>
      </c>
      <c r="E970" s="111" t="s">
        <v>448</v>
      </c>
      <c r="F970" s="265">
        <v>42136</v>
      </c>
      <c r="G970" s="265">
        <v>42185</v>
      </c>
      <c r="H970" s="266">
        <f t="shared" si="58"/>
        <v>2376.15</v>
      </c>
      <c r="I970" s="266">
        <f t="shared" si="59"/>
        <v>0</v>
      </c>
      <c r="J970" s="295">
        <f t="shared" si="63"/>
        <v>1</v>
      </c>
      <c r="K970" s="266">
        <f t="shared" si="60"/>
        <v>23.761500000000002</v>
      </c>
      <c r="L970" s="147">
        <f t="shared" si="61"/>
        <v>1</v>
      </c>
      <c r="M970" s="263"/>
      <c r="N970" s="263"/>
      <c r="O970" s="29">
        <v>2376.15</v>
      </c>
      <c r="P970" s="29">
        <v>0</v>
      </c>
      <c r="Q970" s="29">
        <v>427.71</v>
      </c>
      <c r="R970" s="29">
        <v>2803.86</v>
      </c>
      <c r="S970" s="29">
        <v>0</v>
      </c>
      <c r="T970" s="29">
        <v>1</v>
      </c>
      <c r="U970" s="29">
        <v>28.038599999999999</v>
      </c>
    </row>
    <row r="971" spans="2:21">
      <c r="B971" s="111">
        <v>4</v>
      </c>
      <c r="C971" s="111">
        <v>28533</v>
      </c>
      <c r="D971" s="111" t="s">
        <v>758</v>
      </c>
      <c r="E971" s="111" t="s">
        <v>448</v>
      </c>
      <c r="F971" s="265">
        <v>42137</v>
      </c>
      <c r="G971" s="265">
        <v>42173</v>
      </c>
      <c r="H971" s="266">
        <f t="shared" si="58"/>
        <v>2353.5500000000002</v>
      </c>
      <c r="I971" s="266">
        <f t="shared" si="59"/>
        <v>0</v>
      </c>
      <c r="J971" s="295">
        <f t="shared" si="63"/>
        <v>1</v>
      </c>
      <c r="K971" s="266">
        <f t="shared" si="60"/>
        <v>23.535500000000003</v>
      </c>
      <c r="L971" s="147">
        <f t="shared" si="61"/>
        <v>1</v>
      </c>
      <c r="M971" s="263"/>
      <c r="N971" s="263"/>
      <c r="O971" s="29">
        <v>2353.5500000000002</v>
      </c>
      <c r="P971" s="29">
        <v>0</v>
      </c>
      <c r="Q971" s="29">
        <v>423.64</v>
      </c>
      <c r="R971" s="29">
        <v>2777.19</v>
      </c>
      <c r="S971" s="29">
        <v>0</v>
      </c>
      <c r="T971" s="29">
        <v>1</v>
      </c>
      <c r="U971" s="29">
        <v>27.771899999999999</v>
      </c>
    </row>
    <row r="972" spans="2:21">
      <c r="B972" s="111">
        <v>4</v>
      </c>
      <c r="C972" s="111">
        <v>28538</v>
      </c>
      <c r="D972" s="111" t="s">
        <v>758</v>
      </c>
      <c r="E972" s="111" t="s">
        <v>448</v>
      </c>
      <c r="F972" s="265">
        <v>42137</v>
      </c>
      <c r="G972" s="265">
        <v>42173</v>
      </c>
      <c r="H972" s="266">
        <f t="shared" si="58"/>
        <v>532.42999999999995</v>
      </c>
      <c r="I972" s="266">
        <f t="shared" si="59"/>
        <v>0</v>
      </c>
      <c r="J972" s="295">
        <f t="shared" si="63"/>
        <v>1</v>
      </c>
      <c r="K972" s="266">
        <f t="shared" si="60"/>
        <v>5.3243</v>
      </c>
      <c r="L972" s="147">
        <f t="shared" si="61"/>
        <v>1</v>
      </c>
      <c r="M972" s="263"/>
      <c r="N972" s="263"/>
      <c r="O972" s="29">
        <v>532.42999999999995</v>
      </c>
      <c r="P972" s="29">
        <v>0</v>
      </c>
      <c r="Q972" s="29">
        <v>95.84</v>
      </c>
      <c r="R972" s="29">
        <v>628.27</v>
      </c>
      <c r="S972" s="29">
        <v>0</v>
      </c>
      <c r="T972" s="29">
        <v>1</v>
      </c>
      <c r="U972" s="29">
        <v>6.2827000000000002</v>
      </c>
    </row>
    <row r="973" spans="2:21">
      <c r="B973" s="111">
        <v>4</v>
      </c>
      <c r="C973" s="111">
        <v>28703</v>
      </c>
      <c r="D973" s="111" t="s">
        <v>758</v>
      </c>
      <c r="E973" s="111" t="s">
        <v>448</v>
      </c>
      <c r="F973" s="265">
        <v>42139</v>
      </c>
      <c r="G973" s="265">
        <v>42178</v>
      </c>
      <c r="H973" s="266">
        <f t="shared" ref="H973:H997" si="64">O973+P973</f>
        <v>6031.66</v>
      </c>
      <c r="I973" s="266">
        <f t="shared" ref="I973:I997" si="65">S973/1.18</f>
        <v>667.89830508474586</v>
      </c>
      <c r="J973" s="295">
        <f t="shared" si="63"/>
        <v>1</v>
      </c>
      <c r="K973" s="266">
        <f t="shared" ref="K973:K992" si="66">(H973-I973)*J973%</f>
        <v>53.637616949152545</v>
      </c>
      <c r="L973" s="147">
        <f t="shared" ref="L973:L997" si="67">VLOOKUP(C973,$C$792:$K$873,8,0)</f>
        <v>1</v>
      </c>
      <c r="M973" s="263"/>
      <c r="N973" s="263"/>
      <c r="O973" s="29">
        <v>6031.66</v>
      </c>
      <c r="P973" s="29">
        <v>0</v>
      </c>
      <c r="Q973" s="29">
        <v>1085.7</v>
      </c>
      <c r="R973" s="29">
        <v>7117.36</v>
      </c>
      <c r="S973" s="29">
        <v>788.12</v>
      </c>
      <c r="T973" s="29">
        <v>1</v>
      </c>
      <c r="U973" s="29">
        <v>63.292400000000001</v>
      </c>
    </row>
    <row r="974" spans="2:21">
      <c r="B974" s="111">
        <v>4</v>
      </c>
      <c r="C974" s="111">
        <v>28742</v>
      </c>
      <c r="D974" s="111" t="s">
        <v>758</v>
      </c>
      <c r="E974" s="111" t="s">
        <v>448</v>
      </c>
      <c r="F974" s="265">
        <v>42139</v>
      </c>
      <c r="G974" s="265">
        <v>42173</v>
      </c>
      <c r="H974" s="266">
        <f t="shared" si="64"/>
        <v>42.2</v>
      </c>
      <c r="I974" s="266">
        <f t="shared" si="65"/>
        <v>0</v>
      </c>
      <c r="J974" s="295">
        <f t="shared" si="63"/>
        <v>1</v>
      </c>
      <c r="K974" s="266">
        <f t="shared" si="66"/>
        <v>0.42200000000000004</v>
      </c>
      <c r="L974" s="147">
        <f t="shared" si="67"/>
        <v>1</v>
      </c>
      <c r="M974" s="263"/>
      <c r="N974" s="263"/>
      <c r="O974" s="29">
        <v>42.2</v>
      </c>
      <c r="P974" s="29">
        <v>0</v>
      </c>
      <c r="Q974" s="29">
        <v>7.6</v>
      </c>
      <c r="R974" s="29">
        <v>49.8</v>
      </c>
      <c r="S974" s="29">
        <v>0</v>
      </c>
      <c r="T974" s="29">
        <v>1</v>
      </c>
      <c r="U974" s="29">
        <v>0.498</v>
      </c>
    </row>
    <row r="975" spans="2:21">
      <c r="B975" s="111">
        <v>4</v>
      </c>
      <c r="C975" s="111">
        <v>28959</v>
      </c>
      <c r="D975" s="111" t="s">
        <v>757</v>
      </c>
      <c r="E975" s="111" t="s">
        <v>448</v>
      </c>
      <c r="F975" s="265">
        <v>42143</v>
      </c>
      <c r="G975" s="265">
        <v>42178</v>
      </c>
      <c r="H975" s="266">
        <f t="shared" si="64"/>
        <v>378.88</v>
      </c>
      <c r="I975" s="266">
        <f t="shared" si="65"/>
        <v>0</v>
      </c>
      <c r="J975" s="295">
        <f t="shared" si="63"/>
        <v>1</v>
      </c>
      <c r="K975" s="266">
        <f t="shared" si="66"/>
        <v>3.7888000000000002</v>
      </c>
      <c r="L975" s="147">
        <f t="shared" si="67"/>
        <v>1</v>
      </c>
      <c r="M975" s="263"/>
      <c r="N975" s="263"/>
      <c r="O975" s="29">
        <v>378.88</v>
      </c>
      <c r="P975" s="29">
        <v>0</v>
      </c>
      <c r="Q975" s="29">
        <v>68.2</v>
      </c>
      <c r="R975" s="29">
        <v>447.08</v>
      </c>
      <c r="S975" s="29">
        <v>0</v>
      </c>
      <c r="T975" s="29">
        <v>1</v>
      </c>
      <c r="U975" s="29">
        <v>4.4707999999999997</v>
      </c>
    </row>
    <row r="976" spans="2:21">
      <c r="B976" s="306">
        <v>6</v>
      </c>
      <c r="C976" s="306">
        <v>930</v>
      </c>
      <c r="D976" s="306" t="s">
        <v>381</v>
      </c>
      <c r="E976" s="306" t="s">
        <v>382</v>
      </c>
      <c r="F976" s="307">
        <v>42144</v>
      </c>
      <c r="G976" s="307">
        <v>42180</v>
      </c>
      <c r="H976" s="308">
        <f t="shared" si="64"/>
        <v>2440.6799999999998</v>
      </c>
      <c r="I976" s="308">
        <f t="shared" si="65"/>
        <v>0</v>
      </c>
      <c r="J976" s="309">
        <v>1</v>
      </c>
      <c r="K976" s="308">
        <f t="shared" si="66"/>
        <v>24.4068</v>
      </c>
      <c r="L976" s="147" t="e">
        <f t="shared" si="67"/>
        <v>#N/A</v>
      </c>
      <c r="M976" s="263"/>
      <c r="N976" s="263"/>
      <c r="O976" s="29">
        <v>2440.6799999999998</v>
      </c>
      <c r="P976" s="29">
        <v>0</v>
      </c>
      <c r="Q976" s="29">
        <v>439.32</v>
      </c>
      <c r="R976" s="29">
        <v>2880</v>
      </c>
      <c r="S976" s="29">
        <v>0</v>
      </c>
      <c r="T976" s="29">
        <v>1</v>
      </c>
      <c r="U976" s="29">
        <v>28.8</v>
      </c>
    </row>
    <row r="977" spans="2:21">
      <c r="B977" s="306">
        <v>6</v>
      </c>
      <c r="C977" s="306">
        <v>929</v>
      </c>
      <c r="D977" s="306" t="s">
        <v>381</v>
      </c>
      <c r="E977" s="306" t="s">
        <v>382</v>
      </c>
      <c r="F977" s="307">
        <v>42144</v>
      </c>
      <c r="G977" s="307">
        <v>42178</v>
      </c>
      <c r="H977" s="308">
        <f t="shared" si="64"/>
        <v>2140</v>
      </c>
      <c r="I977" s="308">
        <f t="shared" si="65"/>
        <v>0</v>
      </c>
      <c r="J977" s="309">
        <v>1</v>
      </c>
      <c r="K977" s="308">
        <f t="shared" si="66"/>
        <v>21.400000000000002</v>
      </c>
      <c r="L977" s="147" t="e">
        <f t="shared" si="67"/>
        <v>#N/A</v>
      </c>
      <c r="M977" s="263"/>
      <c r="N977" s="263"/>
      <c r="O977" s="29">
        <v>0</v>
      </c>
      <c r="P977" s="29">
        <v>2140</v>
      </c>
      <c r="Q977" s="29">
        <v>0</v>
      </c>
      <c r="R977" s="29">
        <v>2140</v>
      </c>
      <c r="S977" s="29">
        <v>0</v>
      </c>
      <c r="T977" s="29">
        <v>1</v>
      </c>
      <c r="U977" s="29">
        <v>21.4</v>
      </c>
    </row>
    <row r="978" spans="2:21">
      <c r="B978" s="111">
        <v>4</v>
      </c>
      <c r="C978" s="111">
        <v>29105</v>
      </c>
      <c r="D978" s="111" t="s">
        <v>772</v>
      </c>
      <c r="E978" s="111" t="s">
        <v>448</v>
      </c>
      <c r="F978" s="265">
        <v>42145</v>
      </c>
      <c r="G978" s="265">
        <v>42157</v>
      </c>
      <c r="H978" s="266">
        <f t="shared" si="64"/>
        <v>9492</v>
      </c>
      <c r="I978" s="266">
        <f t="shared" si="65"/>
        <v>0</v>
      </c>
      <c r="J978" s="295">
        <f>L978</f>
        <v>0.5</v>
      </c>
      <c r="K978" s="266">
        <f t="shared" si="66"/>
        <v>47.46</v>
      </c>
      <c r="L978" s="147">
        <f t="shared" si="67"/>
        <v>0.5</v>
      </c>
      <c r="M978" s="263"/>
      <c r="N978" s="263"/>
      <c r="O978" s="29">
        <v>9492</v>
      </c>
      <c r="P978" s="29">
        <v>0</v>
      </c>
      <c r="Q978" s="29">
        <v>1708.56</v>
      </c>
      <c r="R978" s="29">
        <v>11200.56</v>
      </c>
      <c r="S978" s="29">
        <v>0</v>
      </c>
      <c r="T978" s="29">
        <v>1</v>
      </c>
      <c r="U978" s="29">
        <v>112.0056</v>
      </c>
    </row>
    <row r="979" spans="2:21">
      <c r="B979" s="111">
        <v>4</v>
      </c>
      <c r="C979" s="111">
        <v>29180</v>
      </c>
      <c r="D979" s="111" t="s">
        <v>767</v>
      </c>
      <c r="E979" s="111" t="s">
        <v>448</v>
      </c>
      <c r="F979" s="265">
        <v>42146</v>
      </c>
      <c r="G979" s="265">
        <v>42170</v>
      </c>
      <c r="H979" s="266">
        <f t="shared" si="64"/>
        <v>908.45</v>
      </c>
      <c r="I979" s="266">
        <f t="shared" si="65"/>
        <v>0</v>
      </c>
      <c r="J979" s="295">
        <f>L979</f>
        <v>1</v>
      </c>
      <c r="K979" s="266">
        <f t="shared" si="66"/>
        <v>9.0845000000000002</v>
      </c>
      <c r="L979" s="147">
        <f t="shared" si="67"/>
        <v>1</v>
      </c>
      <c r="M979" s="263"/>
      <c r="N979" s="263"/>
      <c r="O979" s="29">
        <v>908.45</v>
      </c>
      <c r="P979" s="29">
        <v>0</v>
      </c>
      <c r="Q979" s="29">
        <v>163.52000000000001</v>
      </c>
      <c r="R979" s="29">
        <v>1071.97</v>
      </c>
      <c r="S979" s="29">
        <v>0</v>
      </c>
      <c r="T979" s="29">
        <v>1</v>
      </c>
      <c r="U979" s="29">
        <v>10.7197</v>
      </c>
    </row>
    <row r="980" spans="2:21">
      <c r="B980" s="111">
        <v>4</v>
      </c>
      <c r="C980" s="111">
        <v>29207</v>
      </c>
      <c r="D980" s="111" t="s">
        <v>760</v>
      </c>
      <c r="E980" s="111" t="s">
        <v>448</v>
      </c>
      <c r="F980" s="265">
        <v>42146</v>
      </c>
      <c r="G980" s="265">
        <v>42179</v>
      </c>
      <c r="H980" s="266">
        <f t="shared" si="64"/>
        <v>1015.79</v>
      </c>
      <c r="I980" s="266">
        <f t="shared" si="65"/>
        <v>0</v>
      </c>
      <c r="J980" s="295">
        <f>L980</f>
        <v>1</v>
      </c>
      <c r="K980" s="266">
        <f t="shared" si="66"/>
        <v>10.1579</v>
      </c>
      <c r="L980" s="147">
        <f t="shared" si="67"/>
        <v>1</v>
      </c>
      <c r="M980" s="263"/>
      <c r="N980" s="263"/>
      <c r="O980" s="29">
        <v>1015.79</v>
      </c>
      <c r="P980" s="29">
        <v>0</v>
      </c>
      <c r="Q980" s="29">
        <v>182.84</v>
      </c>
      <c r="R980" s="29">
        <v>1198.6300000000001</v>
      </c>
      <c r="S980" s="29">
        <v>0</v>
      </c>
      <c r="T980" s="29">
        <v>1</v>
      </c>
      <c r="U980" s="29">
        <v>11.9863</v>
      </c>
    </row>
    <row r="981" spans="2:21">
      <c r="B981" s="111">
        <v>4</v>
      </c>
      <c r="C981" s="111">
        <v>29169</v>
      </c>
      <c r="D981" s="111" t="s">
        <v>757</v>
      </c>
      <c r="E981" s="111" t="s">
        <v>448</v>
      </c>
      <c r="F981" s="265">
        <v>42146</v>
      </c>
      <c r="G981" s="265">
        <v>42178</v>
      </c>
      <c r="H981" s="266">
        <f t="shared" si="64"/>
        <v>224.9</v>
      </c>
      <c r="I981" s="266">
        <f t="shared" si="65"/>
        <v>42.991525423728817</v>
      </c>
      <c r="J981" s="295">
        <f>L981</f>
        <v>1</v>
      </c>
      <c r="K981" s="266">
        <f t="shared" si="66"/>
        <v>1.8190847457627122</v>
      </c>
      <c r="L981" s="147">
        <f t="shared" si="67"/>
        <v>1</v>
      </c>
      <c r="M981" s="263"/>
      <c r="N981" s="263"/>
      <c r="O981" s="29">
        <v>224.9</v>
      </c>
      <c r="P981" s="29">
        <v>0</v>
      </c>
      <c r="Q981" s="29">
        <v>40.479999999999997</v>
      </c>
      <c r="R981" s="29">
        <v>265.38</v>
      </c>
      <c r="S981" s="29">
        <v>50.73</v>
      </c>
      <c r="T981" s="29">
        <v>1</v>
      </c>
      <c r="U981" s="29">
        <v>2.1465000000000001</v>
      </c>
    </row>
    <row r="982" spans="2:21">
      <c r="B982" s="306">
        <v>6</v>
      </c>
      <c r="C982" s="306">
        <v>933</v>
      </c>
      <c r="D982" s="306" t="s">
        <v>381</v>
      </c>
      <c r="E982" s="306" t="s">
        <v>382</v>
      </c>
      <c r="F982" s="307">
        <v>42146</v>
      </c>
      <c r="G982" s="307">
        <v>42178</v>
      </c>
      <c r="H982" s="308">
        <f t="shared" si="64"/>
        <v>8474.58</v>
      </c>
      <c r="I982" s="308">
        <f t="shared" si="65"/>
        <v>0</v>
      </c>
      <c r="J982" s="309">
        <v>0.5</v>
      </c>
      <c r="K982" s="308">
        <f t="shared" si="66"/>
        <v>42.372900000000001</v>
      </c>
      <c r="L982" s="147" t="e">
        <f t="shared" si="67"/>
        <v>#N/A</v>
      </c>
      <c r="M982" s="263"/>
      <c r="N982" s="263"/>
      <c r="O982" s="29">
        <v>8474.58</v>
      </c>
      <c r="P982" s="29">
        <v>0</v>
      </c>
      <c r="Q982" s="29">
        <v>1525.42</v>
      </c>
      <c r="R982" s="29">
        <v>10000</v>
      </c>
      <c r="S982" s="29">
        <v>0</v>
      </c>
      <c r="T982" s="29">
        <v>1</v>
      </c>
      <c r="U982" s="29">
        <v>100</v>
      </c>
    </row>
    <row r="983" spans="2:21">
      <c r="B983" s="111">
        <v>4</v>
      </c>
      <c r="C983" s="111">
        <v>29305</v>
      </c>
      <c r="D983" s="111" t="s">
        <v>772</v>
      </c>
      <c r="E983" s="111" t="s">
        <v>448</v>
      </c>
      <c r="F983" s="265">
        <v>42149</v>
      </c>
      <c r="G983" s="265">
        <v>42157</v>
      </c>
      <c r="H983" s="266">
        <f t="shared" si="64"/>
        <v>4068</v>
      </c>
      <c r="I983" s="266">
        <f t="shared" si="65"/>
        <v>0</v>
      </c>
      <c r="J983" s="295">
        <f t="shared" ref="J983:J994" si="68">L983</f>
        <v>0.5</v>
      </c>
      <c r="K983" s="266">
        <f t="shared" si="66"/>
        <v>20.34</v>
      </c>
      <c r="L983" s="147">
        <f t="shared" si="67"/>
        <v>0.5</v>
      </c>
      <c r="M983" s="263"/>
      <c r="N983" s="263"/>
      <c r="O983" s="29">
        <v>4068</v>
      </c>
      <c r="P983" s="29">
        <v>0</v>
      </c>
      <c r="Q983" s="29">
        <v>732.24</v>
      </c>
      <c r="R983" s="29">
        <v>4800.24</v>
      </c>
      <c r="S983" s="29">
        <v>0</v>
      </c>
      <c r="T983" s="29">
        <v>1</v>
      </c>
      <c r="U983" s="29">
        <v>48.002400000000002</v>
      </c>
    </row>
    <row r="984" spans="2:21">
      <c r="B984" s="111">
        <v>4</v>
      </c>
      <c r="C984" s="111">
        <v>29350</v>
      </c>
      <c r="D984" s="111" t="s">
        <v>767</v>
      </c>
      <c r="E984" s="111" t="s">
        <v>448</v>
      </c>
      <c r="F984" s="265">
        <v>42149</v>
      </c>
      <c r="G984" s="265">
        <v>42170</v>
      </c>
      <c r="H984" s="266">
        <f t="shared" si="64"/>
        <v>118.8</v>
      </c>
      <c r="I984" s="266">
        <f t="shared" si="65"/>
        <v>0</v>
      </c>
      <c r="J984" s="295">
        <f t="shared" si="68"/>
        <v>1</v>
      </c>
      <c r="K984" s="266">
        <f t="shared" si="66"/>
        <v>1.1879999999999999</v>
      </c>
      <c r="L984" s="147">
        <f t="shared" si="67"/>
        <v>1</v>
      </c>
      <c r="M984" s="263"/>
      <c r="N984" s="263"/>
      <c r="O984" s="29">
        <v>118.8</v>
      </c>
      <c r="P984" s="29">
        <v>0</v>
      </c>
      <c r="Q984" s="29">
        <v>21.38</v>
      </c>
      <c r="R984" s="29">
        <v>140.18</v>
      </c>
      <c r="S984" s="29">
        <v>0</v>
      </c>
      <c r="T984" s="29">
        <v>1</v>
      </c>
      <c r="U984" s="29">
        <v>1.4017999999999999</v>
      </c>
    </row>
    <row r="985" spans="2:21">
      <c r="B985" s="111">
        <v>4</v>
      </c>
      <c r="C985" s="111">
        <v>29678</v>
      </c>
      <c r="D985" s="111" t="s">
        <v>758</v>
      </c>
      <c r="E985" s="111" t="s">
        <v>448</v>
      </c>
      <c r="F985" s="265">
        <v>42152</v>
      </c>
      <c r="G985" s="265">
        <v>42165</v>
      </c>
      <c r="H985" s="266">
        <f t="shared" si="64"/>
        <v>1916.63</v>
      </c>
      <c r="I985" s="266">
        <f t="shared" si="65"/>
        <v>1916.6271186440679</v>
      </c>
      <c r="J985" s="295">
        <f t="shared" si="68"/>
        <v>1</v>
      </c>
      <c r="K985" s="266">
        <f t="shared" si="66"/>
        <v>2.8813559322315995E-5</v>
      </c>
      <c r="L985" s="147">
        <f t="shared" si="67"/>
        <v>1</v>
      </c>
      <c r="M985" s="263"/>
      <c r="N985" s="263"/>
      <c r="O985" s="29">
        <v>1916.63</v>
      </c>
      <c r="P985" s="29">
        <v>0</v>
      </c>
      <c r="Q985" s="29">
        <v>344.99</v>
      </c>
      <c r="R985" s="29">
        <v>2261.62</v>
      </c>
      <c r="S985" s="29">
        <v>2261.62</v>
      </c>
      <c r="T985" s="29">
        <v>1</v>
      </c>
      <c r="U985" s="29">
        <v>0</v>
      </c>
    </row>
    <row r="986" spans="2:21">
      <c r="B986" s="111">
        <v>4</v>
      </c>
      <c r="C986" s="111">
        <v>29710</v>
      </c>
      <c r="D986" s="111" t="s">
        <v>760</v>
      </c>
      <c r="E986" s="111" t="s">
        <v>448</v>
      </c>
      <c r="F986" s="265">
        <v>42153</v>
      </c>
      <c r="G986" s="265">
        <v>42179</v>
      </c>
      <c r="H986" s="266">
        <f t="shared" si="64"/>
        <v>222.58</v>
      </c>
      <c r="I986" s="266">
        <f t="shared" si="65"/>
        <v>0</v>
      </c>
      <c r="J986" s="295">
        <f t="shared" si="68"/>
        <v>1</v>
      </c>
      <c r="K986" s="266">
        <f t="shared" si="66"/>
        <v>2.2258</v>
      </c>
      <c r="L986" s="147">
        <f t="shared" si="67"/>
        <v>1</v>
      </c>
      <c r="M986" s="263"/>
      <c r="N986" s="263"/>
      <c r="O986" s="29">
        <v>222.58</v>
      </c>
      <c r="P986" s="29">
        <v>0</v>
      </c>
      <c r="Q986" s="29">
        <v>40.06</v>
      </c>
      <c r="R986" s="29">
        <v>262.64</v>
      </c>
      <c r="S986" s="29">
        <v>0</v>
      </c>
      <c r="T986" s="29">
        <v>1</v>
      </c>
      <c r="U986" s="29">
        <v>2.6263999999999998</v>
      </c>
    </row>
    <row r="987" spans="2:21">
      <c r="B987" s="111">
        <v>4</v>
      </c>
      <c r="C987" s="111">
        <v>29825</v>
      </c>
      <c r="D987" s="111" t="s">
        <v>764</v>
      </c>
      <c r="E987" s="111" t="s">
        <v>448</v>
      </c>
      <c r="F987" s="265">
        <v>42154</v>
      </c>
      <c r="G987" s="265">
        <v>42163</v>
      </c>
      <c r="H987" s="266">
        <f t="shared" si="64"/>
        <v>6102</v>
      </c>
      <c r="I987" s="266">
        <f t="shared" si="65"/>
        <v>0</v>
      </c>
      <c r="J987" s="295">
        <f t="shared" si="68"/>
        <v>0.5</v>
      </c>
      <c r="K987" s="266">
        <f t="shared" si="66"/>
        <v>30.51</v>
      </c>
      <c r="L987" s="147">
        <f t="shared" si="67"/>
        <v>0.5</v>
      </c>
      <c r="M987" s="263"/>
      <c r="N987" s="263"/>
      <c r="O987" s="29">
        <v>6102</v>
      </c>
      <c r="P987" s="29">
        <v>0</v>
      </c>
      <c r="Q987" s="29">
        <v>1098.3599999999999</v>
      </c>
      <c r="R987" s="29">
        <v>7200.36</v>
      </c>
      <c r="S987" s="29">
        <v>0</v>
      </c>
      <c r="T987" s="29">
        <v>1</v>
      </c>
      <c r="U987" s="29">
        <v>72.003600000000006</v>
      </c>
    </row>
    <row r="988" spans="2:21">
      <c r="B988" s="111">
        <v>4</v>
      </c>
      <c r="C988" s="111">
        <v>29907</v>
      </c>
      <c r="D988" s="111" t="s">
        <v>772</v>
      </c>
      <c r="E988" s="111" t="s">
        <v>448</v>
      </c>
      <c r="F988" s="265">
        <v>42156</v>
      </c>
      <c r="G988" s="265">
        <v>42161</v>
      </c>
      <c r="H988" s="266">
        <f t="shared" si="64"/>
        <v>18984</v>
      </c>
      <c r="I988" s="266">
        <f t="shared" si="65"/>
        <v>0</v>
      </c>
      <c r="J988" s="295">
        <f t="shared" si="68"/>
        <v>0.5</v>
      </c>
      <c r="K988" s="266">
        <f t="shared" si="66"/>
        <v>94.92</v>
      </c>
      <c r="L988" s="147">
        <f t="shared" si="67"/>
        <v>0.5</v>
      </c>
      <c r="M988" s="263"/>
      <c r="N988" s="263"/>
      <c r="O988" s="29">
        <v>18984</v>
      </c>
      <c r="P988" s="29">
        <v>0</v>
      </c>
      <c r="Q988" s="29">
        <v>3417.12</v>
      </c>
      <c r="R988" s="29">
        <v>22401.119999999999</v>
      </c>
      <c r="S988" s="29">
        <v>0</v>
      </c>
      <c r="T988" s="29">
        <v>1</v>
      </c>
      <c r="U988" s="29">
        <v>224.0112</v>
      </c>
    </row>
    <row r="989" spans="2:21">
      <c r="B989" s="111">
        <v>1</v>
      </c>
      <c r="C989" s="111">
        <v>306995</v>
      </c>
      <c r="D989" s="111" t="s">
        <v>767</v>
      </c>
      <c r="E989" s="111" t="s">
        <v>448</v>
      </c>
      <c r="F989" s="265">
        <v>42158</v>
      </c>
      <c r="G989" s="265">
        <v>42170</v>
      </c>
      <c r="H989" s="266">
        <f t="shared" si="64"/>
        <v>79.55</v>
      </c>
      <c r="I989" s="266">
        <f t="shared" si="65"/>
        <v>0</v>
      </c>
      <c r="J989" s="295">
        <f t="shared" si="68"/>
        <v>1</v>
      </c>
      <c r="K989" s="266">
        <f t="shared" si="66"/>
        <v>0.79549999999999998</v>
      </c>
      <c r="L989" s="147">
        <f t="shared" si="67"/>
        <v>1</v>
      </c>
      <c r="M989" s="263"/>
      <c r="N989" s="263"/>
      <c r="O989" s="29">
        <v>79.55</v>
      </c>
      <c r="P989" s="29">
        <v>0</v>
      </c>
      <c r="Q989" s="29">
        <v>14.32</v>
      </c>
      <c r="R989" s="29">
        <v>93.87</v>
      </c>
      <c r="S989" s="29">
        <v>0</v>
      </c>
      <c r="T989" s="29">
        <v>1</v>
      </c>
      <c r="U989" s="29">
        <v>0.93869999999999998</v>
      </c>
    </row>
    <row r="990" spans="2:21">
      <c r="B990" s="111">
        <v>4</v>
      </c>
      <c r="C990" s="111">
        <v>30016</v>
      </c>
      <c r="D990" s="111" t="s">
        <v>772</v>
      </c>
      <c r="E990" s="111" t="s">
        <v>448</v>
      </c>
      <c r="F990" s="265">
        <v>42158</v>
      </c>
      <c r="G990" s="265">
        <v>42161</v>
      </c>
      <c r="H990" s="266">
        <f t="shared" si="64"/>
        <v>8136</v>
      </c>
      <c r="I990" s="266">
        <f t="shared" si="65"/>
        <v>0</v>
      </c>
      <c r="J990" s="295">
        <f t="shared" si="68"/>
        <v>0.5</v>
      </c>
      <c r="K990" s="266">
        <f t="shared" si="66"/>
        <v>40.68</v>
      </c>
      <c r="L990" s="147">
        <f t="shared" si="67"/>
        <v>0.5</v>
      </c>
      <c r="M990" s="263"/>
      <c r="N990" s="263"/>
      <c r="O990" s="29">
        <v>8136</v>
      </c>
      <c r="P990" s="29">
        <v>0</v>
      </c>
      <c r="Q990" s="29">
        <v>1464.48</v>
      </c>
      <c r="R990" s="29">
        <v>9600.48</v>
      </c>
      <c r="S990" s="29">
        <v>0</v>
      </c>
      <c r="T990" s="29">
        <v>1</v>
      </c>
      <c r="U990" s="29">
        <v>96.004800000000003</v>
      </c>
    </row>
    <row r="991" spans="2:21">
      <c r="B991" s="111">
        <v>4</v>
      </c>
      <c r="C991" s="111">
        <v>30203</v>
      </c>
      <c r="D991" s="111" t="s">
        <v>767</v>
      </c>
      <c r="E991" s="111" t="s">
        <v>448</v>
      </c>
      <c r="F991" s="265">
        <v>42160</v>
      </c>
      <c r="G991" s="265">
        <v>42170</v>
      </c>
      <c r="H991" s="266">
        <f t="shared" si="64"/>
        <v>941.38</v>
      </c>
      <c r="I991" s="266">
        <f t="shared" si="65"/>
        <v>0</v>
      </c>
      <c r="J991" s="295">
        <f t="shared" si="68"/>
        <v>1</v>
      </c>
      <c r="K991" s="266">
        <f t="shared" si="66"/>
        <v>9.4138000000000002</v>
      </c>
      <c r="L991" s="147">
        <f t="shared" si="67"/>
        <v>1</v>
      </c>
      <c r="M991" s="263"/>
      <c r="N991" s="263"/>
      <c r="O991" s="29">
        <v>941.38</v>
      </c>
      <c r="P991" s="29">
        <v>0</v>
      </c>
      <c r="Q991" s="29">
        <v>169.45</v>
      </c>
      <c r="R991" s="29">
        <v>1110.83</v>
      </c>
      <c r="S991" s="29">
        <v>0</v>
      </c>
      <c r="T991" s="29">
        <v>1</v>
      </c>
      <c r="U991" s="29">
        <v>11.1083</v>
      </c>
    </row>
    <row r="992" spans="2:21">
      <c r="B992" s="111">
        <v>4</v>
      </c>
      <c r="C992" s="111">
        <v>29824</v>
      </c>
      <c r="D992" s="111" t="s">
        <v>761</v>
      </c>
      <c r="E992" s="111" t="s">
        <v>448</v>
      </c>
      <c r="F992" s="265">
        <v>42154</v>
      </c>
      <c r="G992" s="265">
        <v>42163</v>
      </c>
      <c r="H992" s="266">
        <f t="shared" si="64"/>
        <v>24142.92</v>
      </c>
      <c r="I992" s="266">
        <f t="shared" si="65"/>
        <v>0</v>
      </c>
      <c r="J992" s="295">
        <f t="shared" si="68"/>
        <v>0.5</v>
      </c>
      <c r="K992" s="266">
        <f t="shared" si="66"/>
        <v>120.71459999999999</v>
      </c>
      <c r="L992" s="147">
        <f t="shared" si="67"/>
        <v>0.5</v>
      </c>
      <c r="M992" s="263"/>
      <c r="N992" s="263"/>
      <c r="O992" s="29">
        <v>24142.92</v>
      </c>
      <c r="P992" s="29">
        <v>0</v>
      </c>
      <c r="Q992" s="29">
        <v>4345.7299999999996</v>
      </c>
      <c r="R992" s="29">
        <v>28488.65</v>
      </c>
      <c r="S992" s="29">
        <v>0</v>
      </c>
      <c r="T992" s="29">
        <v>1</v>
      </c>
      <c r="U992" s="29">
        <v>284.88650000000001</v>
      </c>
    </row>
    <row r="993" spans="2:25">
      <c r="B993" s="111">
        <v>4</v>
      </c>
      <c r="C993" s="111">
        <v>29787</v>
      </c>
      <c r="D993" s="111" t="s">
        <v>764</v>
      </c>
      <c r="E993" s="111" t="s">
        <v>448</v>
      </c>
      <c r="F993" s="265">
        <v>42154</v>
      </c>
      <c r="G993" s="265">
        <v>42163</v>
      </c>
      <c r="H993" s="266">
        <f t="shared" si="64"/>
        <v>17119</v>
      </c>
      <c r="I993" s="266">
        <f t="shared" si="65"/>
        <v>0</v>
      </c>
      <c r="J993" s="295">
        <f t="shared" si="68"/>
        <v>0.5</v>
      </c>
      <c r="K993" s="266">
        <v>74.069999999999993</v>
      </c>
      <c r="L993" s="147">
        <f t="shared" si="67"/>
        <v>0.5</v>
      </c>
      <c r="M993" s="263"/>
      <c r="N993" s="263"/>
      <c r="O993" s="29">
        <v>17119</v>
      </c>
      <c r="P993" s="29">
        <v>0</v>
      </c>
      <c r="Q993" s="29">
        <v>3081.42</v>
      </c>
      <c r="R993" s="29">
        <v>20200.419999999998</v>
      </c>
      <c r="S993" s="29">
        <v>0</v>
      </c>
      <c r="T993" s="29">
        <v>1</v>
      </c>
      <c r="U993" s="29">
        <v>202.0042</v>
      </c>
    </row>
    <row r="994" spans="2:25">
      <c r="B994" s="111">
        <v>4</v>
      </c>
      <c r="C994" s="111">
        <v>893</v>
      </c>
      <c r="D994" s="111" t="s">
        <v>762</v>
      </c>
      <c r="E994" s="111" t="s">
        <v>448</v>
      </c>
      <c r="F994" s="265">
        <v>42164</v>
      </c>
      <c r="G994" s="265">
        <v>42165</v>
      </c>
      <c r="H994" s="266">
        <f t="shared" si="64"/>
        <v>454.41</v>
      </c>
      <c r="I994" s="266">
        <f t="shared" si="65"/>
        <v>0</v>
      </c>
      <c r="J994" s="295">
        <f t="shared" si="68"/>
        <v>1</v>
      </c>
      <c r="K994" s="266">
        <f>(H994-I994)*J994%</f>
        <v>4.5441000000000003</v>
      </c>
      <c r="L994" s="147">
        <f t="shared" si="67"/>
        <v>1</v>
      </c>
      <c r="M994" s="263"/>
      <c r="N994" s="263"/>
      <c r="O994" s="29">
        <v>454.41</v>
      </c>
      <c r="P994" s="29">
        <v>0</v>
      </c>
      <c r="Q994" s="29">
        <v>81.790000000000006</v>
      </c>
      <c r="R994" s="29">
        <v>536.20000000000005</v>
      </c>
      <c r="S994" s="29">
        <v>0</v>
      </c>
      <c r="T994" s="29">
        <v>1</v>
      </c>
      <c r="U994" s="29">
        <v>5.3620000000000001</v>
      </c>
    </row>
    <row r="995" spans="2:25">
      <c r="B995" s="306">
        <v>6</v>
      </c>
      <c r="C995" s="306">
        <v>953</v>
      </c>
      <c r="D995" s="306" t="s">
        <v>467</v>
      </c>
      <c r="E995" s="306" t="s">
        <v>448</v>
      </c>
      <c r="F995" s="307">
        <v>42165</v>
      </c>
      <c r="G995" s="307">
        <v>42174</v>
      </c>
      <c r="H995" s="308">
        <f t="shared" si="64"/>
        <v>370.34</v>
      </c>
      <c r="I995" s="308">
        <f t="shared" si="65"/>
        <v>0</v>
      </c>
      <c r="J995" s="309">
        <v>1</v>
      </c>
      <c r="K995" s="308">
        <f>(H995-I995)*J995%</f>
        <v>3.7033999999999998</v>
      </c>
      <c r="L995" s="147" t="e">
        <f t="shared" si="67"/>
        <v>#N/A</v>
      </c>
      <c r="M995" s="263"/>
      <c r="N995" s="263"/>
      <c r="O995" s="29">
        <v>370.34</v>
      </c>
      <c r="P995" s="29">
        <v>0</v>
      </c>
      <c r="Q995" s="29">
        <v>66.66</v>
      </c>
      <c r="R995" s="29">
        <v>437</v>
      </c>
      <c r="S995" s="29">
        <v>0</v>
      </c>
      <c r="T995" s="29">
        <v>1</v>
      </c>
      <c r="U995" s="29">
        <v>4.37</v>
      </c>
    </row>
    <row r="996" spans="2:25">
      <c r="B996" s="111">
        <v>4</v>
      </c>
      <c r="C996" s="111">
        <v>902</v>
      </c>
      <c r="D996" s="111" t="s">
        <v>762</v>
      </c>
      <c r="E996" s="111" t="s">
        <v>448</v>
      </c>
      <c r="F996" s="265">
        <v>42167</v>
      </c>
      <c r="G996" s="265">
        <v>42168</v>
      </c>
      <c r="H996" s="266">
        <f t="shared" si="64"/>
        <v>516.32000000000005</v>
      </c>
      <c r="I996" s="266">
        <f t="shared" si="65"/>
        <v>0</v>
      </c>
      <c r="J996" s="295">
        <f>L996</f>
        <v>1</v>
      </c>
      <c r="K996" s="266">
        <f>(H996-I996)*J996%</f>
        <v>5.1632000000000007</v>
      </c>
      <c r="L996" s="147">
        <f t="shared" si="67"/>
        <v>1</v>
      </c>
      <c r="M996" s="263"/>
      <c r="N996" s="263"/>
      <c r="O996" s="29">
        <v>516.32000000000005</v>
      </c>
      <c r="P996" s="29">
        <v>0</v>
      </c>
      <c r="Q996" s="29">
        <v>92.94</v>
      </c>
      <c r="R996" s="29">
        <v>609.26</v>
      </c>
      <c r="S996" s="29">
        <v>0</v>
      </c>
      <c r="T996" s="29">
        <v>1</v>
      </c>
      <c r="U996" s="29">
        <v>6.0926</v>
      </c>
    </row>
    <row r="997" spans="2:25">
      <c r="B997" s="111">
        <v>4</v>
      </c>
      <c r="C997" s="111">
        <v>908</v>
      </c>
      <c r="D997" s="111" t="s">
        <v>762</v>
      </c>
      <c r="E997" s="111" t="s">
        <v>448</v>
      </c>
      <c r="F997" s="265">
        <v>42179</v>
      </c>
      <c r="G997" s="265">
        <v>42181</v>
      </c>
      <c r="H997" s="266">
        <f t="shared" si="64"/>
        <v>91.42</v>
      </c>
      <c r="I997" s="266">
        <f t="shared" si="65"/>
        <v>0</v>
      </c>
      <c r="J997" s="295">
        <f>L997</f>
        <v>1</v>
      </c>
      <c r="K997" s="266">
        <f>(H997-I997)*J997%</f>
        <v>0.91420000000000001</v>
      </c>
      <c r="L997" s="147">
        <f t="shared" si="67"/>
        <v>1</v>
      </c>
      <c r="M997" s="263"/>
      <c r="N997" s="263"/>
      <c r="O997" s="29">
        <v>91.42</v>
      </c>
      <c r="P997" s="29">
        <v>0</v>
      </c>
      <c r="Q997" s="29">
        <v>16.46</v>
      </c>
      <c r="R997" s="29">
        <v>107.88</v>
      </c>
      <c r="S997" s="29">
        <v>0</v>
      </c>
      <c r="T997" s="29">
        <v>1</v>
      </c>
      <c r="U997" s="29">
        <v>1.0788</v>
      </c>
    </row>
    <row r="998" spans="2:25">
      <c r="G998" s="268" t="s">
        <v>765</v>
      </c>
      <c r="H998" s="310">
        <f>SUM(H909:H997)</f>
        <v>261295.77</v>
      </c>
      <c r="I998" s="59"/>
      <c r="J998" s="311" t="s">
        <v>383</v>
      </c>
      <c r="K998" s="310">
        <f>SUM(K909:K997)</f>
        <v>2075.089776271187</v>
      </c>
    </row>
    <row r="1000" spans="2:25">
      <c r="M1000" s="147">
        <f>K998-K874</f>
        <v>237.71260000000052</v>
      </c>
    </row>
    <row r="1003" spans="2:25">
      <c r="B1003" s="59"/>
      <c r="C1003" s="59"/>
      <c r="D1003" s="59" t="s">
        <v>793</v>
      </c>
      <c r="E1003" s="59"/>
      <c r="F1003" s="59"/>
      <c r="G1003" s="59"/>
      <c r="H1003" s="59"/>
      <c r="I1003" s="59"/>
      <c r="J1003" s="293"/>
      <c r="K1003" s="59"/>
    </row>
    <row r="1004" spans="2:25">
      <c r="B1004" s="59"/>
      <c r="C1004" s="59"/>
      <c r="D1004" s="59"/>
      <c r="E1004" s="59"/>
      <c r="F1004" s="59"/>
      <c r="G1004" s="59"/>
      <c r="H1004" s="59"/>
      <c r="I1004" s="59"/>
      <c r="J1004" s="293"/>
      <c r="K1004" s="59"/>
    </row>
    <row r="1005" spans="2:25">
      <c r="B1005" s="264" t="s">
        <v>369</v>
      </c>
      <c r="C1005" s="264" t="s">
        <v>370</v>
      </c>
      <c r="D1005" s="264" t="s">
        <v>371</v>
      </c>
      <c r="E1005" s="264" t="s">
        <v>372</v>
      </c>
      <c r="F1005" s="264" t="s">
        <v>373</v>
      </c>
      <c r="G1005" s="264" t="s">
        <v>393</v>
      </c>
      <c r="H1005" s="264" t="s">
        <v>375</v>
      </c>
      <c r="I1005" s="264" t="s">
        <v>376</v>
      </c>
      <c r="J1005" s="294" t="s">
        <v>377</v>
      </c>
      <c r="K1005" s="264" t="s">
        <v>378</v>
      </c>
    </row>
    <row r="1006" spans="2:25">
      <c r="B1006" s="111">
        <v>4</v>
      </c>
      <c r="C1006" s="111">
        <v>400</v>
      </c>
      <c r="D1006" s="111" t="s">
        <v>769</v>
      </c>
      <c r="E1006" s="111" t="s">
        <v>448</v>
      </c>
      <c r="F1006" s="265">
        <v>41694</v>
      </c>
      <c r="G1006" s="265">
        <v>42193</v>
      </c>
      <c r="H1006" s="266">
        <f t="shared" ref="H1006:H1037" si="69">S1006+T1006</f>
        <v>1019.02</v>
      </c>
      <c r="I1006" s="266">
        <f t="shared" ref="I1006:I1037" si="70">W1006/1.18</f>
        <v>9.2881355932203409</v>
      </c>
      <c r="J1006" s="295">
        <v>0</v>
      </c>
      <c r="K1006" s="266">
        <f t="shared" ref="K1006:K1037" si="71">(H1006-I1006)*J1006%</f>
        <v>0</v>
      </c>
      <c r="L1006" s="312">
        <f t="shared" ref="L1006:L1037" si="72">G1006-F1006</f>
        <v>499</v>
      </c>
      <c r="M1006" s="263"/>
      <c r="N1006" s="263"/>
      <c r="O1006" s="263"/>
      <c r="P1006" s="263"/>
      <c r="Q1006" s="263"/>
      <c r="R1006" s="263"/>
      <c r="S1006" s="29">
        <v>970.72</v>
      </c>
      <c r="T1006" s="29">
        <v>48.3</v>
      </c>
      <c r="U1006" s="29">
        <v>174.73</v>
      </c>
      <c r="V1006" s="29">
        <v>1193.75</v>
      </c>
      <c r="W1006" s="29">
        <v>10.96</v>
      </c>
      <c r="X1006" s="29">
        <v>1</v>
      </c>
      <c r="Y1006" s="29">
        <v>11.8279</v>
      </c>
    </row>
    <row r="1007" spans="2:25">
      <c r="B1007" s="111">
        <v>4</v>
      </c>
      <c r="C1007" s="111">
        <v>1770</v>
      </c>
      <c r="D1007" s="111" t="s">
        <v>758</v>
      </c>
      <c r="E1007" s="111" t="s">
        <v>448</v>
      </c>
      <c r="F1007" s="265">
        <v>41719</v>
      </c>
      <c r="G1007" s="265">
        <v>42188</v>
      </c>
      <c r="H1007" s="266">
        <f t="shared" si="69"/>
        <v>52.61</v>
      </c>
      <c r="I1007" s="266">
        <f t="shared" si="70"/>
        <v>52.610169491525426</v>
      </c>
      <c r="J1007" s="295">
        <v>0</v>
      </c>
      <c r="K1007" s="266">
        <f t="shared" si="71"/>
        <v>0</v>
      </c>
      <c r="L1007" s="312">
        <f t="shared" si="72"/>
        <v>469</v>
      </c>
      <c r="M1007" s="263"/>
      <c r="N1007" s="263"/>
      <c r="O1007" s="263"/>
      <c r="P1007" s="263"/>
      <c r="Q1007" s="263"/>
      <c r="R1007" s="263"/>
      <c r="S1007" s="29">
        <v>52.61</v>
      </c>
      <c r="T1007" s="29">
        <v>0</v>
      </c>
      <c r="U1007" s="29">
        <v>9.4700000000000006</v>
      </c>
      <c r="V1007" s="29">
        <v>62.08</v>
      </c>
      <c r="W1007" s="29">
        <v>62.08</v>
      </c>
      <c r="X1007" s="29">
        <v>1</v>
      </c>
      <c r="Y1007" s="29">
        <v>0</v>
      </c>
    </row>
    <row r="1008" spans="2:25">
      <c r="B1008" s="111">
        <v>4</v>
      </c>
      <c r="C1008" s="111">
        <v>27130</v>
      </c>
      <c r="D1008" s="111" t="s">
        <v>768</v>
      </c>
      <c r="E1008" s="111" t="s">
        <v>448</v>
      </c>
      <c r="F1008" s="265">
        <v>42117</v>
      </c>
      <c r="G1008" s="265">
        <v>42188</v>
      </c>
      <c r="H1008" s="266">
        <f t="shared" si="69"/>
        <v>742.54</v>
      </c>
      <c r="I1008" s="266">
        <f t="shared" si="70"/>
        <v>0</v>
      </c>
      <c r="J1008" s="295">
        <v>1</v>
      </c>
      <c r="K1008" s="266">
        <f t="shared" si="71"/>
        <v>7.4253999999999998</v>
      </c>
      <c r="L1008" s="312">
        <f t="shared" si="72"/>
        <v>71</v>
      </c>
      <c r="M1008" s="263"/>
      <c r="N1008" s="263"/>
      <c r="O1008" s="263"/>
      <c r="P1008" s="263"/>
      <c r="Q1008" s="263"/>
      <c r="R1008" s="263"/>
      <c r="S1008" s="29">
        <v>742.54</v>
      </c>
      <c r="T1008" s="29">
        <v>0</v>
      </c>
      <c r="U1008" s="29">
        <v>133.66</v>
      </c>
      <c r="V1008" s="29">
        <v>876.2</v>
      </c>
      <c r="W1008" s="29">
        <v>0</v>
      </c>
      <c r="X1008" s="29">
        <v>1</v>
      </c>
      <c r="Y1008" s="29">
        <v>8.7620000000000005</v>
      </c>
    </row>
    <row r="1009" spans="2:25">
      <c r="B1009" s="111">
        <v>4</v>
      </c>
      <c r="C1009" s="111">
        <v>28038</v>
      </c>
      <c r="D1009" s="111" t="s">
        <v>766</v>
      </c>
      <c r="E1009" s="111" t="s">
        <v>448</v>
      </c>
      <c r="F1009" s="265">
        <v>42129</v>
      </c>
      <c r="G1009" s="265">
        <v>42192</v>
      </c>
      <c r="H1009" s="266">
        <f t="shared" si="69"/>
        <v>281.48</v>
      </c>
      <c r="I1009" s="266">
        <f t="shared" si="70"/>
        <v>0</v>
      </c>
      <c r="J1009" s="295">
        <v>1</v>
      </c>
      <c r="K1009" s="266">
        <f t="shared" si="71"/>
        <v>2.8148000000000004</v>
      </c>
      <c r="L1009" s="312">
        <f t="shared" si="72"/>
        <v>63</v>
      </c>
      <c r="M1009" s="263"/>
      <c r="N1009" s="263"/>
      <c r="O1009" s="263"/>
      <c r="P1009" s="263"/>
      <c r="Q1009" s="263"/>
      <c r="R1009" s="263"/>
      <c r="S1009" s="29">
        <v>281.48</v>
      </c>
      <c r="T1009" s="29">
        <v>0</v>
      </c>
      <c r="U1009" s="29">
        <v>50.67</v>
      </c>
      <c r="V1009" s="29">
        <v>332.15</v>
      </c>
      <c r="W1009" s="29">
        <v>0</v>
      </c>
      <c r="X1009" s="29">
        <v>1</v>
      </c>
      <c r="Y1009" s="29">
        <v>3.3214999999999999</v>
      </c>
    </row>
    <row r="1010" spans="2:25">
      <c r="B1010" s="111">
        <v>4</v>
      </c>
      <c r="C1010" s="111">
        <v>28106</v>
      </c>
      <c r="D1010" s="111" t="s">
        <v>768</v>
      </c>
      <c r="E1010" s="111" t="s">
        <v>448</v>
      </c>
      <c r="F1010" s="265">
        <v>42130</v>
      </c>
      <c r="G1010" s="265">
        <v>42202</v>
      </c>
      <c r="H1010" s="266">
        <f t="shared" si="69"/>
        <v>1140.0999999999999</v>
      </c>
      <c r="I1010" s="266">
        <f t="shared" si="70"/>
        <v>0</v>
      </c>
      <c r="J1010" s="295">
        <v>1</v>
      </c>
      <c r="K1010" s="266">
        <f t="shared" si="71"/>
        <v>11.401</v>
      </c>
      <c r="L1010" s="312">
        <f t="shared" si="72"/>
        <v>72</v>
      </c>
      <c r="M1010" s="263"/>
      <c r="N1010" s="263"/>
      <c r="O1010" s="263"/>
      <c r="P1010" s="263"/>
      <c r="Q1010" s="263"/>
      <c r="R1010" s="263"/>
      <c r="S1010" s="29">
        <v>1140.0999999999999</v>
      </c>
      <c r="T1010" s="29">
        <v>0</v>
      </c>
      <c r="U1010" s="29">
        <v>205.22</v>
      </c>
      <c r="V1010" s="29">
        <v>1345.32</v>
      </c>
      <c r="W1010" s="29">
        <v>0</v>
      </c>
      <c r="X1010" s="29">
        <v>1</v>
      </c>
      <c r="Y1010" s="29">
        <v>13.453200000000001</v>
      </c>
    </row>
    <row r="1011" spans="2:25">
      <c r="B1011" s="111">
        <v>4</v>
      </c>
      <c r="C1011" s="111">
        <v>28298</v>
      </c>
      <c r="D1011" s="111" t="s">
        <v>766</v>
      </c>
      <c r="E1011" s="111" t="s">
        <v>448</v>
      </c>
      <c r="F1011" s="265">
        <v>42132</v>
      </c>
      <c r="G1011" s="265">
        <v>42192</v>
      </c>
      <c r="H1011" s="266">
        <f t="shared" si="69"/>
        <v>193.49</v>
      </c>
      <c r="I1011" s="266">
        <f t="shared" si="70"/>
        <v>0</v>
      </c>
      <c r="J1011" s="295">
        <v>1</v>
      </c>
      <c r="K1011" s="266">
        <f t="shared" si="71"/>
        <v>1.9349000000000001</v>
      </c>
      <c r="L1011" s="312">
        <f t="shared" si="72"/>
        <v>60</v>
      </c>
      <c r="M1011" s="263"/>
      <c r="N1011" s="263"/>
      <c r="O1011" s="263"/>
      <c r="P1011" s="263"/>
      <c r="Q1011" s="263"/>
      <c r="R1011" s="263"/>
      <c r="S1011" s="29">
        <v>193.49</v>
      </c>
      <c r="T1011" s="29">
        <v>0</v>
      </c>
      <c r="U1011" s="29">
        <v>34.83</v>
      </c>
      <c r="V1011" s="29">
        <v>228.32</v>
      </c>
      <c r="W1011" s="29">
        <v>0</v>
      </c>
      <c r="X1011" s="29">
        <v>1</v>
      </c>
      <c r="Y1011" s="29">
        <v>2.2831999999999999</v>
      </c>
    </row>
    <row r="1012" spans="2:25">
      <c r="B1012" s="111">
        <v>4</v>
      </c>
      <c r="C1012" s="111">
        <v>28514</v>
      </c>
      <c r="D1012" s="111" t="s">
        <v>759</v>
      </c>
      <c r="E1012" s="111" t="s">
        <v>448</v>
      </c>
      <c r="F1012" s="265">
        <v>42136</v>
      </c>
      <c r="G1012" s="265">
        <v>42189</v>
      </c>
      <c r="H1012" s="266">
        <f t="shared" si="69"/>
        <v>797.56</v>
      </c>
      <c r="I1012" s="266">
        <f t="shared" si="70"/>
        <v>0</v>
      </c>
      <c r="J1012" s="295">
        <v>1</v>
      </c>
      <c r="K1012" s="266">
        <f t="shared" si="71"/>
        <v>7.9756</v>
      </c>
      <c r="L1012" s="312">
        <f t="shared" si="72"/>
        <v>53</v>
      </c>
      <c r="M1012" s="263"/>
      <c r="N1012" s="263"/>
      <c r="O1012" s="263"/>
      <c r="P1012" s="263"/>
      <c r="Q1012" s="263"/>
      <c r="R1012" s="263"/>
      <c r="S1012" s="29">
        <v>797.56</v>
      </c>
      <c r="T1012" s="29">
        <v>0</v>
      </c>
      <c r="U1012" s="29">
        <v>143.56</v>
      </c>
      <c r="V1012" s="29">
        <v>941.12</v>
      </c>
      <c r="W1012" s="29">
        <v>0</v>
      </c>
      <c r="X1012" s="29">
        <v>1</v>
      </c>
      <c r="Y1012" s="29">
        <v>9.4111999999999991</v>
      </c>
    </row>
    <row r="1013" spans="2:25">
      <c r="B1013" s="111">
        <v>4</v>
      </c>
      <c r="C1013" s="111">
        <v>28734</v>
      </c>
      <c r="D1013" s="111" t="s">
        <v>768</v>
      </c>
      <c r="E1013" s="111" t="s">
        <v>448</v>
      </c>
      <c r="F1013" s="265">
        <v>42139</v>
      </c>
      <c r="G1013" s="265">
        <v>42212</v>
      </c>
      <c r="H1013" s="266">
        <f t="shared" si="69"/>
        <v>89.75</v>
      </c>
      <c r="I1013" s="266">
        <f t="shared" si="70"/>
        <v>0</v>
      </c>
      <c r="J1013" s="295">
        <v>1</v>
      </c>
      <c r="K1013" s="266">
        <f t="shared" si="71"/>
        <v>0.89749999999999996</v>
      </c>
      <c r="L1013" s="312">
        <f t="shared" si="72"/>
        <v>73</v>
      </c>
      <c r="M1013" s="263"/>
      <c r="N1013" s="263"/>
      <c r="O1013" s="263"/>
      <c r="P1013" s="263"/>
      <c r="Q1013" s="263"/>
      <c r="R1013" s="263"/>
      <c r="S1013" s="29">
        <v>89.75</v>
      </c>
      <c r="T1013" s="29">
        <v>0</v>
      </c>
      <c r="U1013" s="29">
        <v>16.16</v>
      </c>
      <c r="V1013" s="29">
        <v>105.91</v>
      </c>
      <c r="W1013" s="29">
        <v>0</v>
      </c>
      <c r="X1013" s="29">
        <v>1</v>
      </c>
      <c r="Y1013" s="29">
        <v>1.0590999999999999</v>
      </c>
    </row>
    <row r="1014" spans="2:25">
      <c r="B1014" s="111">
        <v>4</v>
      </c>
      <c r="C1014" s="111">
        <v>28702</v>
      </c>
      <c r="D1014" s="111" t="s">
        <v>759</v>
      </c>
      <c r="E1014" s="111" t="s">
        <v>448</v>
      </c>
      <c r="F1014" s="265">
        <v>42139</v>
      </c>
      <c r="G1014" s="265">
        <v>42195</v>
      </c>
      <c r="H1014" s="266">
        <f t="shared" si="69"/>
        <v>4275.3</v>
      </c>
      <c r="I1014" s="266">
        <f t="shared" si="70"/>
        <v>0</v>
      </c>
      <c r="J1014" s="295">
        <v>1</v>
      </c>
      <c r="K1014" s="266">
        <f t="shared" si="71"/>
        <v>42.753</v>
      </c>
      <c r="L1014" s="312">
        <f t="shared" si="72"/>
        <v>56</v>
      </c>
      <c r="M1014" s="263"/>
      <c r="N1014" s="263"/>
      <c r="O1014" s="263"/>
      <c r="P1014" s="263"/>
      <c r="Q1014" s="263"/>
      <c r="R1014" s="263"/>
      <c r="S1014" s="29">
        <v>4275.3</v>
      </c>
      <c r="T1014" s="29">
        <v>0</v>
      </c>
      <c r="U1014" s="29">
        <v>769.55</v>
      </c>
      <c r="V1014" s="29">
        <v>5044.8500000000004</v>
      </c>
      <c r="W1014" s="29">
        <v>0</v>
      </c>
      <c r="X1014" s="29">
        <v>1</v>
      </c>
      <c r="Y1014" s="29">
        <v>50.448500000000003</v>
      </c>
    </row>
    <row r="1015" spans="2:25">
      <c r="B1015" s="111">
        <v>4</v>
      </c>
      <c r="C1015" s="111">
        <v>28701</v>
      </c>
      <c r="D1015" s="111" t="s">
        <v>759</v>
      </c>
      <c r="E1015" s="111" t="s">
        <v>448</v>
      </c>
      <c r="F1015" s="265">
        <v>42139</v>
      </c>
      <c r="G1015" s="265">
        <v>42189</v>
      </c>
      <c r="H1015" s="266">
        <f t="shared" si="69"/>
        <v>4006.65</v>
      </c>
      <c r="I1015" s="266">
        <f t="shared" si="70"/>
        <v>0</v>
      </c>
      <c r="J1015" s="295">
        <v>1</v>
      </c>
      <c r="K1015" s="266">
        <f t="shared" si="71"/>
        <v>40.066500000000005</v>
      </c>
      <c r="L1015" s="312">
        <f t="shared" si="72"/>
        <v>50</v>
      </c>
      <c r="M1015" s="263"/>
      <c r="N1015" s="263"/>
      <c r="O1015" s="263"/>
      <c r="P1015" s="263"/>
      <c r="Q1015" s="263"/>
      <c r="R1015" s="263"/>
      <c r="S1015" s="29">
        <v>4006.65</v>
      </c>
      <c r="T1015" s="29">
        <v>0</v>
      </c>
      <c r="U1015" s="29">
        <v>721.2</v>
      </c>
      <c r="V1015" s="29">
        <v>4727.8500000000004</v>
      </c>
      <c r="W1015" s="29">
        <v>0</v>
      </c>
      <c r="X1015" s="29">
        <v>1</v>
      </c>
      <c r="Y1015" s="29">
        <v>47.278500000000001</v>
      </c>
    </row>
    <row r="1016" spans="2:25">
      <c r="B1016" s="111">
        <v>4</v>
      </c>
      <c r="C1016" s="111">
        <v>28850</v>
      </c>
      <c r="D1016" s="111" t="s">
        <v>758</v>
      </c>
      <c r="E1016" s="111" t="s">
        <v>448</v>
      </c>
      <c r="F1016" s="265">
        <v>42142</v>
      </c>
      <c r="G1016" s="265">
        <v>42189</v>
      </c>
      <c r="H1016" s="266">
        <f t="shared" si="69"/>
        <v>890.3</v>
      </c>
      <c r="I1016" s="266">
        <f t="shared" si="70"/>
        <v>0</v>
      </c>
      <c r="J1016" s="295">
        <v>1</v>
      </c>
      <c r="K1016" s="266">
        <f t="shared" si="71"/>
        <v>8.9030000000000005</v>
      </c>
      <c r="L1016" s="312">
        <f t="shared" si="72"/>
        <v>47</v>
      </c>
      <c r="M1016" s="263"/>
      <c r="N1016" s="263"/>
      <c r="O1016" s="263"/>
      <c r="P1016" s="263"/>
      <c r="Q1016" s="263"/>
      <c r="R1016" s="263"/>
      <c r="S1016" s="29">
        <v>890.3</v>
      </c>
      <c r="T1016" s="29">
        <v>0</v>
      </c>
      <c r="U1016" s="29">
        <v>160.25</v>
      </c>
      <c r="V1016" s="29">
        <v>1050.55</v>
      </c>
      <c r="W1016" s="29">
        <v>0</v>
      </c>
      <c r="X1016" s="29">
        <v>1</v>
      </c>
      <c r="Y1016" s="29">
        <v>10.5055</v>
      </c>
    </row>
    <row r="1017" spans="2:25">
      <c r="B1017" s="111">
        <v>4</v>
      </c>
      <c r="C1017" s="111">
        <v>28849</v>
      </c>
      <c r="D1017" s="111" t="s">
        <v>758</v>
      </c>
      <c r="E1017" s="111" t="s">
        <v>448</v>
      </c>
      <c r="F1017" s="265">
        <v>42142</v>
      </c>
      <c r="G1017" s="265">
        <v>42189</v>
      </c>
      <c r="H1017" s="266">
        <f t="shared" si="69"/>
        <v>3180.41</v>
      </c>
      <c r="I1017" s="266">
        <f t="shared" si="70"/>
        <v>0</v>
      </c>
      <c r="J1017" s="295">
        <v>1</v>
      </c>
      <c r="K1017" s="266">
        <f t="shared" si="71"/>
        <v>31.804099999999998</v>
      </c>
      <c r="L1017" s="312">
        <f t="shared" si="72"/>
        <v>47</v>
      </c>
      <c r="M1017" s="263"/>
      <c r="N1017" s="263"/>
      <c r="O1017" s="263"/>
      <c r="P1017" s="263"/>
      <c r="Q1017" s="263"/>
      <c r="R1017" s="263"/>
      <c r="S1017" s="29">
        <v>3180.41</v>
      </c>
      <c r="T1017" s="29">
        <v>0</v>
      </c>
      <c r="U1017" s="29">
        <v>572.47</v>
      </c>
      <c r="V1017" s="29">
        <v>3752.88</v>
      </c>
      <c r="W1017" s="29">
        <v>0</v>
      </c>
      <c r="X1017" s="29">
        <v>1</v>
      </c>
      <c r="Y1017" s="29">
        <v>37.528799999999997</v>
      </c>
    </row>
    <row r="1018" spans="2:25">
      <c r="B1018" s="111">
        <v>4</v>
      </c>
      <c r="C1018" s="111">
        <v>28882</v>
      </c>
      <c r="D1018" s="111" t="s">
        <v>759</v>
      </c>
      <c r="E1018" s="111" t="s">
        <v>448</v>
      </c>
      <c r="F1018" s="265">
        <v>42142</v>
      </c>
      <c r="G1018" s="265">
        <v>42189</v>
      </c>
      <c r="H1018" s="266">
        <f t="shared" si="69"/>
        <v>2376.15</v>
      </c>
      <c r="I1018" s="266">
        <f t="shared" si="70"/>
        <v>0</v>
      </c>
      <c r="J1018" s="295">
        <v>1</v>
      </c>
      <c r="K1018" s="266">
        <f t="shared" si="71"/>
        <v>23.761500000000002</v>
      </c>
      <c r="L1018" s="312">
        <f t="shared" si="72"/>
        <v>47</v>
      </c>
      <c r="M1018" s="263"/>
      <c r="N1018" s="263"/>
      <c r="O1018" s="263"/>
      <c r="P1018" s="263"/>
      <c r="Q1018" s="263"/>
      <c r="R1018" s="263"/>
      <c r="S1018" s="29">
        <v>2376.15</v>
      </c>
      <c r="T1018" s="29">
        <v>0</v>
      </c>
      <c r="U1018" s="29">
        <v>427.71</v>
      </c>
      <c r="V1018" s="29">
        <v>2803.86</v>
      </c>
      <c r="W1018" s="29">
        <v>0</v>
      </c>
      <c r="X1018" s="29">
        <v>1</v>
      </c>
      <c r="Y1018" s="29">
        <v>28.038599999999999</v>
      </c>
    </row>
    <row r="1019" spans="2:25">
      <c r="B1019" s="111">
        <v>4</v>
      </c>
      <c r="C1019" s="111">
        <v>28926</v>
      </c>
      <c r="D1019" s="111" t="s">
        <v>759</v>
      </c>
      <c r="E1019" s="111" t="s">
        <v>448</v>
      </c>
      <c r="F1019" s="265">
        <v>42143</v>
      </c>
      <c r="G1019" s="265">
        <v>42195</v>
      </c>
      <c r="H1019" s="266">
        <f t="shared" si="69"/>
        <v>1742.93</v>
      </c>
      <c r="I1019" s="266">
        <f t="shared" si="70"/>
        <v>0</v>
      </c>
      <c r="J1019" s="295">
        <v>1</v>
      </c>
      <c r="K1019" s="266">
        <f t="shared" si="71"/>
        <v>17.429300000000001</v>
      </c>
      <c r="L1019" s="312">
        <f t="shared" si="72"/>
        <v>52</v>
      </c>
      <c r="M1019" s="263"/>
      <c r="N1019" s="263"/>
      <c r="O1019" s="263"/>
      <c r="P1019" s="263"/>
      <c r="Q1019" s="263"/>
      <c r="R1019" s="263"/>
      <c r="S1019" s="29">
        <v>1742.93</v>
      </c>
      <c r="T1019" s="29">
        <v>0</v>
      </c>
      <c r="U1019" s="29">
        <v>313.73</v>
      </c>
      <c r="V1019" s="29">
        <v>2056.66</v>
      </c>
      <c r="W1019" s="29">
        <v>0</v>
      </c>
      <c r="X1019" s="29">
        <v>1</v>
      </c>
      <c r="Y1019" s="29">
        <v>20.566600000000001</v>
      </c>
    </row>
    <row r="1020" spans="2:25">
      <c r="B1020" s="111">
        <v>4</v>
      </c>
      <c r="C1020" s="111">
        <v>29174</v>
      </c>
      <c r="D1020" s="111" t="s">
        <v>758</v>
      </c>
      <c r="E1020" s="111" t="s">
        <v>448</v>
      </c>
      <c r="F1020" s="265">
        <v>42146</v>
      </c>
      <c r="G1020" s="265">
        <v>42189</v>
      </c>
      <c r="H1020" s="266">
        <f t="shared" si="69"/>
        <v>7534.56</v>
      </c>
      <c r="I1020" s="266">
        <f t="shared" si="70"/>
        <v>0</v>
      </c>
      <c r="J1020" s="295">
        <v>1</v>
      </c>
      <c r="K1020" s="266">
        <f t="shared" si="71"/>
        <v>75.345600000000005</v>
      </c>
      <c r="L1020" s="312">
        <f t="shared" si="72"/>
        <v>43</v>
      </c>
      <c r="M1020" s="263"/>
      <c r="N1020" s="263"/>
      <c r="O1020" s="263"/>
      <c r="P1020" s="263"/>
      <c r="Q1020" s="263"/>
      <c r="R1020" s="263"/>
      <c r="S1020" s="29">
        <v>7534.56</v>
      </c>
      <c r="T1020" s="29">
        <v>0</v>
      </c>
      <c r="U1020" s="29">
        <v>1356.22</v>
      </c>
      <c r="V1020" s="29">
        <v>8890.7800000000007</v>
      </c>
      <c r="W1020" s="29">
        <v>0</v>
      </c>
      <c r="X1020" s="29">
        <v>1</v>
      </c>
      <c r="Y1020" s="29">
        <v>88.907799999999995</v>
      </c>
    </row>
    <row r="1021" spans="2:25">
      <c r="B1021" s="111">
        <v>4</v>
      </c>
      <c r="C1021" s="111">
        <v>29041</v>
      </c>
      <c r="D1021" s="111" t="s">
        <v>759</v>
      </c>
      <c r="E1021" s="111" t="s">
        <v>448</v>
      </c>
      <c r="F1021" s="265">
        <v>42144</v>
      </c>
      <c r="G1021" s="265">
        <v>42195</v>
      </c>
      <c r="H1021" s="266">
        <f t="shared" si="69"/>
        <v>1559.2</v>
      </c>
      <c r="I1021" s="266">
        <f t="shared" si="70"/>
        <v>0</v>
      </c>
      <c r="J1021" s="295">
        <v>1</v>
      </c>
      <c r="K1021" s="266">
        <f t="shared" si="71"/>
        <v>15.592000000000001</v>
      </c>
      <c r="L1021" s="312">
        <f t="shared" si="72"/>
        <v>51</v>
      </c>
      <c r="M1021" s="263"/>
      <c r="N1021" s="263"/>
      <c r="O1021" s="263"/>
      <c r="P1021" s="263"/>
      <c r="Q1021" s="263"/>
      <c r="R1021" s="263"/>
      <c r="S1021" s="29">
        <v>1559.2</v>
      </c>
      <c r="T1021" s="29">
        <v>0</v>
      </c>
      <c r="U1021" s="29">
        <v>280.66000000000003</v>
      </c>
      <c r="V1021" s="29">
        <v>1839.86</v>
      </c>
      <c r="W1021" s="29">
        <v>0</v>
      </c>
      <c r="X1021" s="29">
        <v>1</v>
      </c>
      <c r="Y1021" s="29">
        <v>18.398599999999998</v>
      </c>
    </row>
    <row r="1022" spans="2:25">
      <c r="B1022" s="111">
        <v>4</v>
      </c>
      <c r="C1022" s="111">
        <v>29170</v>
      </c>
      <c r="D1022" s="111" t="s">
        <v>758</v>
      </c>
      <c r="E1022" s="111" t="s">
        <v>448</v>
      </c>
      <c r="F1022" s="265">
        <v>42146</v>
      </c>
      <c r="G1022" s="265">
        <v>42189</v>
      </c>
      <c r="H1022" s="266">
        <f t="shared" si="69"/>
        <v>572.41</v>
      </c>
      <c r="I1022" s="266">
        <f t="shared" si="70"/>
        <v>0</v>
      </c>
      <c r="J1022" s="295">
        <v>1</v>
      </c>
      <c r="K1022" s="266">
        <f t="shared" si="71"/>
        <v>5.7241</v>
      </c>
      <c r="L1022" s="312">
        <f t="shared" si="72"/>
        <v>43</v>
      </c>
      <c r="M1022" s="263"/>
      <c r="N1022" s="263"/>
      <c r="O1022" s="263"/>
      <c r="P1022" s="263"/>
      <c r="Q1022" s="263"/>
      <c r="R1022" s="263"/>
      <c r="S1022" s="29">
        <v>572.41</v>
      </c>
      <c r="T1022" s="29">
        <v>0</v>
      </c>
      <c r="U1022" s="29">
        <v>103.03</v>
      </c>
      <c r="V1022" s="29">
        <v>675.44</v>
      </c>
      <c r="W1022" s="29">
        <v>0</v>
      </c>
      <c r="X1022" s="29">
        <v>1</v>
      </c>
      <c r="Y1022" s="29">
        <v>6.7544000000000004</v>
      </c>
    </row>
    <row r="1023" spans="2:25">
      <c r="B1023" s="111">
        <v>4</v>
      </c>
      <c r="C1023" s="111">
        <v>29135</v>
      </c>
      <c r="D1023" s="111" t="s">
        <v>758</v>
      </c>
      <c r="E1023" s="111" t="s">
        <v>448</v>
      </c>
      <c r="F1023" s="265">
        <v>42145</v>
      </c>
      <c r="G1023" s="265">
        <v>42189</v>
      </c>
      <c r="H1023" s="266">
        <f t="shared" si="69"/>
        <v>325.7</v>
      </c>
      <c r="I1023" s="266">
        <f t="shared" si="70"/>
        <v>0</v>
      </c>
      <c r="J1023" s="295">
        <v>1</v>
      </c>
      <c r="K1023" s="266">
        <f t="shared" si="71"/>
        <v>3.2570000000000001</v>
      </c>
      <c r="L1023" s="312">
        <f t="shared" si="72"/>
        <v>44</v>
      </c>
      <c r="M1023" s="263"/>
      <c r="N1023" s="263"/>
      <c r="O1023" s="263"/>
      <c r="P1023" s="263"/>
      <c r="Q1023" s="263"/>
      <c r="R1023" s="263"/>
      <c r="S1023" s="29">
        <v>325.7</v>
      </c>
      <c r="T1023" s="29">
        <v>0</v>
      </c>
      <c r="U1023" s="29">
        <v>58.63</v>
      </c>
      <c r="V1023" s="29">
        <v>384.33</v>
      </c>
      <c r="W1023" s="29">
        <v>0</v>
      </c>
      <c r="X1023" s="29">
        <v>1</v>
      </c>
      <c r="Y1023" s="29">
        <v>3.8433000000000002</v>
      </c>
    </row>
    <row r="1024" spans="2:25">
      <c r="B1024" s="111">
        <v>4</v>
      </c>
      <c r="C1024" s="111">
        <v>29280</v>
      </c>
      <c r="D1024" s="111" t="s">
        <v>757</v>
      </c>
      <c r="E1024" s="111" t="s">
        <v>448</v>
      </c>
      <c r="F1024" s="265">
        <v>42147</v>
      </c>
      <c r="G1024" s="265">
        <v>42192</v>
      </c>
      <c r="H1024" s="266">
        <f t="shared" si="69"/>
        <v>187.56</v>
      </c>
      <c r="I1024" s="266">
        <f t="shared" si="70"/>
        <v>0</v>
      </c>
      <c r="J1024" s="295">
        <v>1</v>
      </c>
      <c r="K1024" s="266">
        <f t="shared" si="71"/>
        <v>1.8756000000000002</v>
      </c>
      <c r="L1024" s="312">
        <f t="shared" si="72"/>
        <v>45</v>
      </c>
      <c r="M1024" s="263"/>
      <c r="N1024" s="263"/>
      <c r="O1024" s="263"/>
      <c r="P1024" s="263"/>
      <c r="Q1024" s="263"/>
      <c r="R1024" s="263"/>
      <c r="S1024" s="29">
        <v>187.56</v>
      </c>
      <c r="T1024" s="29">
        <v>0</v>
      </c>
      <c r="U1024" s="29">
        <v>33.76</v>
      </c>
      <c r="V1024" s="29">
        <v>221.32</v>
      </c>
      <c r="W1024" s="29">
        <v>0</v>
      </c>
      <c r="X1024" s="29">
        <v>1</v>
      </c>
      <c r="Y1024" s="29">
        <v>2.2132000000000001</v>
      </c>
    </row>
    <row r="1025" spans="2:25">
      <c r="B1025" s="111">
        <v>4</v>
      </c>
      <c r="C1025" s="111">
        <v>29289</v>
      </c>
      <c r="D1025" s="111" t="s">
        <v>757</v>
      </c>
      <c r="E1025" s="111" t="s">
        <v>448</v>
      </c>
      <c r="F1025" s="265">
        <v>42147</v>
      </c>
      <c r="G1025" s="265">
        <v>42192</v>
      </c>
      <c r="H1025" s="266">
        <f t="shared" si="69"/>
        <v>124.84</v>
      </c>
      <c r="I1025" s="266">
        <f t="shared" si="70"/>
        <v>0</v>
      </c>
      <c r="J1025" s="295">
        <v>1</v>
      </c>
      <c r="K1025" s="266">
        <f t="shared" si="71"/>
        <v>1.2484</v>
      </c>
      <c r="L1025" s="312">
        <f t="shared" si="72"/>
        <v>45</v>
      </c>
      <c r="M1025" s="263"/>
      <c r="N1025" s="263"/>
      <c r="O1025" s="263"/>
      <c r="P1025" s="263"/>
      <c r="Q1025" s="263"/>
      <c r="R1025" s="263"/>
      <c r="S1025" s="29">
        <v>124.84</v>
      </c>
      <c r="T1025" s="29">
        <v>0</v>
      </c>
      <c r="U1025" s="29">
        <v>22.47</v>
      </c>
      <c r="V1025" s="29">
        <v>147.31</v>
      </c>
      <c r="W1025" s="29">
        <v>0</v>
      </c>
      <c r="X1025" s="29">
        <v>1</v>
      </c>
      <c r="Y1025" s="29">
        <v>1.4731000000000001</v>
      </c>
    </row>
    <row r="1026" spans="2:25">
      <c r="B1026" s="111">
        <v>4</v>
      </c>
      <c r="C1026" s="111">
        <v>29308</v>
      </c>
      <c r="D1026" s="111" t="s">
        <v>758</v>
      </c>
      <c r="E1026" s="111" t="s">
        <v>448</v>
      </c>
      <c r="F1026" s="265">
        <v>42149</v>
      </c>
      <c r="G1026" s="265">
        <v>42189</v>
      </c>
      <c r="H1026" s="266">
        <f t="shared" si="69"/>
        <v>4947.53</v>
      </c>
      <c r="I1026" s="266">
        <f t="shared" si="70"/>
        <v>0</v>
      </c>
      <c r="J1026" s="295">
        <v>1</v>
      </c>
      <c r="K1026" s="266">
        <f t="shared" si="71"/>
        <v>49.475299999999997</v>
      </c>
      <c r="L1026" s="312">
        <f t="shared" si="72"/>
        <v>40</v>
      </c>
      <c r="M1026" s="263"/>
      <c r="N1026" s="263"/>
      <c r="O1026" s="263"/>
      <c r="P1026" s="263"/>
      <c r="Q1026" s="263"/>
      <c r="R1026" s="263"/>
      <c r="S1026" s="29">
        <v>4947.53</v>
      </c>
      <c r="T1026" s="29">
        <v>0</v>
      </c>
      <c r="U1026" s="29">
        <v>890.56</v>
      </c>
      <c r="V1026" s="29">
        <v>5838.09</v>
      </c>
      <c r="W1026" s="29">
        <v>0</v>
      </c>
      <c r="X1026" s="29">
        <v>1</v>
      </c>
      <c r="Y1026" s="29">
        <v>58.380899999999997</v>
      </c>
    </row>
    <row r="1027" spans="2:25">
      <c r="B1027" s="111">
        <v>4</v>
      </c>
      <c r="C1027" s="111">
        <v>29310</v>
      </c>
      <c r="D1027" s="111" t="s">
        <v>757</v>
      </c>
      <c r="E1027" s="111" t="s">
        <v>448</v>
      </c>
      <c r="F1027" s="265">
        <v>42149</v>
      </c>
      <c r="G1027" s="265">
        <v>42192</v>
      </c>
      <c r="H1027" s="266">
        <f t="shared" si="69"/>
        <v>234.84</v>
      </c>
      <c r="I1027" s="266">
        <f t="shared" si="70"/>
        <v>234.83898305084747</v>
      </c>
      <c r="J1027" s="295">
        <v>1</v>
      </c>
      <c r="K1027" s="266">
        <f t="shared" si="71"/>
        <v>1.0169491525289232E-5</v>
      </c>
      <c r="L1027" s="312">
        <f t="shared" si="72"/>
        <v>43</v>
      </c>
      <c r="M1027" s="263"/>
      <c r="N1027" s="263"/>
      <c r="O1027" s="263"/>
      <c r="P1027" s="263"/>
      <c r="Q1027" s="263"/>
      <c r="R1027" s="263"/>
      <c r="S1027" s="29">
        <v>234.84</v>
      </c>
      <c r="T1027" s="29">
        <v>0</v>
      </c>
      <c r="U1027" s="29">
        <v>42.27</v>
      </c>
      <c r="V1027" s="29">
        <v>277.11</v>
      </c>
      <c r="W1027" s="29">
        <v>277.11</v>
      </c>
      <c r="X1027" s="29">
        <v>1</v>
      </c>
      <c r="Y1027" s="29">
        <v>0</v>
      </c>
    </row>
    <row r="1028" spans="2:25">
      <c r="B1028" s="111">
        <v>4</v>
      </c>
      <c r="C1028" s="111">
        <v>29379</v>
      </c>
      <c r="D1028" s="111" t="s">
        <v>758</v>
      </c>
      <c r="E1028" s="111" t="s">
        <v>448</v>
      </c>
      <c r="F1028" s="265">
        <v>42150</v>
      </c>
      <c r="G1028" s="265">
        <v>42189</v>
      </c>
      <c r="H1028" s="266">
        <f t="shared" si="69"/>
        <v>1536.26</v>
      </c>
      <c r="I1028" s="266">
        <f t="shared" si="70"/>
        <v>0</v>
      </c>
      <c r="J1028" s="295">
        <v>1</v>
      </c>
      <c r="K1028" s="266">
        <f t="shared" si="71"/>
        <v>15.3626</v>
      </c>
      <c r="L1028" s="312">
        <f t="shared" si="72"/>
        <v>39</v>
      </c>
      <c r="M1028" s="263"/>
      <c r="N1028" s="263"/>
      <c r="O1028" s="263"/>
      <c r="P1028" s="263"/>
      <c r="Q1028" s="263"/>
      <c r="R1028" s="263"/>
      <c r="S1028" s="29">
        <v>1536.26</v>
      </c>
      <c r="T1028" s="29">
        <v>0</v>
      </c>
      <c r="U1028" s="29">
        <v>276.52999999999997</v>
      </c>
      <c r="V1028" s="29">
        <v>1812.79</v>
      </c>
      <c r="W1028" s="29">
        <v>0</v>
      </c>
      <c r="X1028" s="29">
        <v>1</v>
      </c>
      <c r="Y1028" s="29">
        <v>18.1279</v>
      </c>
    </row>
    <row r="1029" spans="2:25">
      <c r="B1029" s="111">
        <v>4</v>
      </c>
      <c r="C1029" s="111">
        <v>29419</v>
      </c>
      <c r="D1029" s="111" t="s">
        <v>758</v>
      </c>
      <c r="E1029" s="111" t="s">
        <v>448</v>
      </c>
      <c r="F1029" s="265">
        <v>42150</v>
      </c>
      <c r="G1029" s="265">
        <v>42189</v>
      </c>
      <c r="H1029" s="266">
        <f t="shared" si="69"/>
        <v>259.57</v>
      </c>
      <c r="I1029" s="266">
        <f t="shared" si="70"/>
        <v>0</v>
      </c>
      <c r="J1029" s="295">
        <v>1</v>
      </c>
      <c r="K1029" s="266">
        <f t="shared" si="71"/>
        <v>2.5956999999999999</v>
      </c>
      <c r="L1029" s="312">
        <f t="shared" si="72"/>
        <v>39</v>
      </c>
      <c r="M1029" s="263"/>
      <c r="N1029" s="263"/>
      <c r="O1029" s="263"/>
      <c r="P1029" s="263"/>
      <c r="Q1029" s="263"/>
      <c r="R1029" s="263"/>
      <c r="S1029" s="29">
        <v>259.57</v>
      </c>
      <c r="T1029" s="29">
        <v>0</v>
      </c>
      <c r="U1029" s="29">
        <v>46.72</v>
      </c>
      <c r="V1029" s="29">
        <v>306.29000000000002</v>
      </c>
      <c r="W1029" s="29">
        <v>0</v>
      </c>
      <c r="X1029" s="29">
        <v>1</v>
      </c>
      <c r="Y1029" s="29">
        <v>3.0629</v>
      </c>
    </row>
    <row r="1030" spans="2:25">
      <c r="B1030" s="111">
        <v>4</v>
      </c>
      <c r="C1030" s="111">
        <v>29392</v>
      </c>
      <c r="D1030" s="111" t="s">
        <v>758</v>
      </c>
      <c r="E1030" s="111" t="s">
        <v>448</v>
      </c>
      <c r="F1030" s="265">
        <v>42150</v>
      </c>
      <c r="G1030" s="265">
        <v>42189</v>
      </c>
      <c r="H1030" s="266">
        <f t="shared" si="69"/>
        <v>3214.69</v>
      </c>
      <c r="I1030" s="266">
        <f t="shared" si="70"/>
        <v>0</v>
      </c>
      <c r="J1030" s="295">
        <v>1</v>
      </c>
      <c r="K1030" s="266">
        <f t="shared" si="71"/>
        <v>32.146900000000002</v>
      </c>
      <c r="L1030" s="312">
        <f t="shared" si="72"/>
        <v>39</v>
      </c>
      <c r="M1030" s="263"/>
      <c r="N1030" s="263"/>
      <c r="O1030" s="263"/>
      <c r="P1030" s="263"/>
      <c r="Q1030" s="263"/>
      <c r="R1030" s="263"/>
      <c r="S1030" s="29">
        <v>3214.69</v>
      </c>
      <c r="T1030" s="29">
        <v>0</v>
      </c>
      <c r="U1030" s="29">
        <v>578.64</v>
      </c>
      <c r="V1030" s="29">
        <v>3793.33</v>
      </c>
      <c r="W1030" s="29">
        <v>0</v>
      </c>
      <c r="X1030" s="29">
        <v>1</v>
      </c>
      <c r="Y1030" s="29">
        <v>37.933300000000003</v>
      </c>
    </row>
    <row r="1031" spans="2:25">
      <c r="B1031" s="111">
        <v>4</v>
      </c>
      <c r="C1031" s="111">
        <v>29436</v>
      </c>
      <c r="D1031" s="111" t="s">
        <v>759</v>
      </c>
      <c r="E1031" s="111" t="s">
        <v>448</v>
      </c>
      <c r="F1031" s="265">
        <v>42150</v>
      </c>
      <c r="G1031" s="265">
        <v>42195</v>
      </c>
      <c r="H1031" s="266">
        <f t="shared" si="69"/>
        <v>2115.75</v>
      </c>
      <c r="I1031" s="266">
        <f t="shared" si="70"/>
        <v>0</v>
      </c>
      <c r="J1031" s="295">
        <v>1</v>
      </c>
      <c r="K1031" s="266">
        <f t="shared" si="71"/>
        <v>21.157499999999999</v>
      </c>
      <c r="L1031" s="312">
        <f t="shared" si="72"/>
        <v>45</v>
      </c>
      <c r="M1031" s="263"/>
      <c r="N1031" s="263"/>
      <c r="O1031" s="263"/>
      <c r="P1031" s="263"/>
      <c r="Q1031" s="263"/>
      <c r="R1031" s="263"/>
      <c r="S1031" s="29">
        <v>2115.75</v>
      </c>
      <c r="T1031" s="29">
        <v>0</v>
      </c>
      <c r="U1031" s="29">
        <v>380.84</v>
      </c>
      <c r="V1031" s="29">
        <v>2496.59</v>
      </c>
      <c r="W1031" s="29">
        <v>0</v>
      </c>
      <c r="X1031" s="29">
        <v>1</v>
      </c>
      <c r="Y1031" s="29">
        <v>24.965900000000001</v>
      </c>
    </row>
    <row r="1032" spans="2:25">
      <c r="B1032" s="111">
        <v>4</v>
      </c>
      <c r="C1032" s="111">
        <v>29521</v>
      </c>
      <c r="D1032" s="111" t="s">
        <v>759</v>
      </c>
      <c r="E1032" s="111" t="s">
        <v>448</v>
      </c>
      <c r="F1032" s="265">
        <v>42151</v>
      </c>
      <c r="G1032" s="265">
        <v>42195</v>
      </c>
      <c r="H1032" s="266">
        <f t="shared" si="69"/>
        <v>2441.7399999999998</v>
      </c>
      <c r="I1032" s="266">
        <f t="shared" si="70"/>
        <v>0</v>
      </c>
      <c r="J1032" s="295">
        <v>1</v>
      </c>
      <c r="K1032" s="266">
        <f t="shared" si="71"/>
        <v>24.417399999999997</v>
      </c>
      <c r="L1032" s="312">
        <f t="shared" si="72"/>
        <v>44</v>
      </c>
      <c r="M1032" s="263"/>
      <c r="N1032" s="263"/>
      <c r="O1032" s="263"/>
      <c r="P1032" s="263"/>
      <c r="Q1032" s="263"/>
      <c r="R1032" s="263"/>
      <c r="S1032" s="29">
        <v>2441.7399999999998</v>
      </c>
      <c r="T1032" s="29">
        <v>0</v>
      </c>
      <c r="U1032" s="29">
        <v>439.51</v>
      </c>
      <c r="V1032" s="29">
        <v>2881.25</v>
      </c>
      <c r="W1032" s="29">
        <v>0</v>
      </c>
      <c r="X1032" s="29">
        <v>1</v>
      </c>
      <c r="Y1032" s="29">
        <v>28.8125</v>
      </c>
    </row>
    <row r="1033" spans="2:25">
      <c r="B1033" s="111">
        <v>4</v>
      </c>
      <c r="C1033" s="111">
        <v>29520</v>
      </c>
      <c r="D1033" s="111" t="s">
        <v>759</v>
      </c>
      <c r="E1033" s="111" t="s">
        <v>448</v>
      </c>
      <c r="F1033" s="265">
        <v>42151</v>
      </c>
      <c r="G1033" s="265">
        <v>42195</v>
      </c>
      <c r="H1033" s="266">
        <f t="shared" si="69"/>
        <v>386.46</v>
      </c>
      <c r="I1033" s="266">
        <f t="shared" si="70"/>
        <v>0</v>
      </c>
      <c r="J1033" s="295">
        <v>1</v>
      </c>
      <c r="K1033" s="266">
        <f t="shared" si="71"/>
        <v>3.8645999999999998</v>
      </c>
      <c r="L1033" s="312">
        <f t="shared" si="72"/>
        <v>44</v>
      </c>
      <c r="M1033" s="263"/>
      <c r="N1033" s="263"/>
      <c r="O1033" s="263"/>
      <c r="P1033" s="263"/>
      <c r="Q1033" s="263"/>
      <c r="R1033" s="263"/>
      <c r="S1033" s="29">
        <v>386.46</v>
      </c>
      <c r="T1033" s="29">
        <v>0</v>
      </c>
      <c r="U1033" s="29">
        <v>69.56</v>
      </c>
      <c r="V1033" s="29">
        <v>456.02</v>
      </c>
      <c r="W1033" s="29">
        <v>0</v>
      </c>
      <c r="X1033" s="29">
        <v>1</v>
      </c>
      <c r="Y1033" s="29">
        <v>4.5602</v>
      </c>
    </row>
    <row r="1034" spans="2:25">
      <c r="B1034" s="111">
        <v>4</v>
      </c>
      <c r="C1034" s="111">
        <v>29512</v>
      </c>
      <c r="D1034" s="111" t="s">
        <v>757</v>
      </c>
      <c r="E1034" s="111" t="s">
        <v>448</v>
      </c>
      <c r="F1034" s="265">
        <v>42151</v>
      </c>
      <c r="G1034" s="265">
        <v>42192</v>
      </c>
      <c r="H1034" s="266">
        <f t="shared" si="69"/>
        <v>301.02</v>
      </c>
      <c r="I1034" s="266">
        <f t="shared" si="70"/>
        <v>196.34745762711864</v>
      </c>
      <c r="J1034" s="295">
        <v>1</v>
      </c>
      <c r="K1034" s="266">
        <f t="shared" si="71"/>
        <v>1.0467254237288135</v>
      </c>
      <c r="L1034" s="312">
        <f t="shared" si="72"/>
        <v>41</v>
      </c>
      <c r="M1034" s="263"/>
      <c r="N1034" s="263"/>
      <c r="O1034" s="263"/>
      <c r="P1034" s="263"/>
      <c r="Q1034" s="263"/>
      <c r="R1034" s="263"/>
      <c r="S1034" s="29">
        <v>301.02</v>
      </c>
      <c r="T1034" s="29">
        <v>0</v>
      </c>
      <c r="U1034" s="29">
        <v>54.18</v>
      </c>
      <c r="V1034" s="29">
        <v>355.2</v>
      </c>
      <c r="W1034" s="29">
        <v>231.69</v>
      </c>
      <c r="X1034" s="29">
        <v>1</v>
      </c>
      <c r="Y1034" s="29">
        <v>1.2351000000000001</v>
      </c>
    </row>
    <row r="1035" spans="2:25">
      <c r="B1035" s="111">
        <v>4</v>
      </c>
      <c r="C1035" s="111">
        <v>29530</v>
      </c>
      <c r="D1035" s="111" t="s">
        <v>759</v>
      </c>
      <c r="E1035" s="111" t="s">
        <v>448</v>
      </c>
      <c r="F1035" s="265">
        <v>42151</v>
      </c>
      <c r="G1035" s="265">
        <v>42195</v>
      </c>
      <c r="H1035" s="266">
        <f t="shared" si="69"/>
        <v>341.71</v>
      </c>
      <c r="I1035" s="266">
        <f t="shared" si="70"/>
        <v>0</v>
      </c>
      <c r="J1035" s="295">
        <v>1</v>
      </c>
      <c r="K1035" s="266">
        <f t="shared" si="71"/>
        <v>3.4171</v>
      </c>
      <c r="L1035" s="312">
        <f t="shared" si="72"/>
        <v>44</v>
      </c>
      <c r="M1035" s="263"/>
      <c r="N1035" s="263"/>
      <c r="O1035" s="263"/>
      <c r="P1035" s="263"/>
      <c r="Q1035" s="263"/>
      <c r="R1035" s="263"/>
      <c r="S1035" s="29">
        <v>341.71</v>
      </c>
      <c r="T1035" s="29">
        <v>0</v>
      </c>
      <c r="U1035" s="29">
        <v>61.51</v>
      </c>
      <c r="V1035" s="29">
        <v>403.22</v>
      </c>
      <c r="W1035" s="29">
        <v>0</v>
      </c>
      <c r="X1035" s="29">
        <v>1</v>
      </c>
      <c r="Y1035" s="29">
        <v>4.0321999999999996</v>
      </c>
    </row>
    <row r="1036" spans="2:25">
      <c r="B1036" s="111">
        <v>4</v>
      </c>
      <c r="C1036" s="111">
        <v>29679</v>
      </c>
      <c r="D1036" s="111" t="s">
        <v>758</v>
      </c>
      <c r="E1036" s="111" t="s">
        <v>448</v>
      </c>
      <c r="F1036" s="265">
        <v>42152</v>
      </c>
      <c r="G1036" s="265">
        <v>42189</v>
      </c>
      <c r="H1036" s="266">
        <f t="shared" si="69"/>
        <v>5338.1</v>
      </c>
      <c r="I1036" s="266">
        <f t="shared" si="70"/>
        <v>0</v>
      </c>
      <c r="J1036" s="295">
        <v>1</v>
      </c>
      <c r="K1036" s="266">
        <f t="shared" si="71"/>
        <v>53.381000000000007</v>
      </c>
      <c r="L1036" s="312">
        <f t="shared" si="72"/>
        <v>37</v>
      </c>
      <c r="M1036" s="263"/>
      <c r="N1036" s="263"/>
      <c r="O1036" s="263"/>
      <c r="P1036" s="263"/>
      <c r="Q1036" s="263"/>
      <c r="R1036" s="263"/>
      <c r="S1036" s="29">
        <v>5338.1</v>
      </c>
      <c r="T1036" s="29">
        <v>0</v>
      </c>
      <c r="U1036" s="29">
        <v>960.86</v>
      </c>
      <c r="V1036" s="29">
        <v>6298.96</v>
      </c>
      <c r="W1036" s="29">
        <v>0</v>
      </c>
      <c r="X1036" s="29">
        <v>1</v>
      </c>
      <c r="Y1036" s="29">
        <v>62.989600000000003</v>
      </c>
    </row>
    <row r="1037" spans="2:25">
      <c r="B1037" s="111">
        <v>4</v>
      </c>
      <c r="C1037" s="111">
        <v>29643</v>
      </c>
      <c r="D1037" s="111" t="s">
        <v>758</v>
      </c>
      <c r="E1037" s="111" t="s">
        <v>448</v>
      </c>
      <c r="F1037" s="265">
        <v>42152</v>
      </c>
      <c r="G1037" s="265">
        <v>42189</v>
      </c>
      <c r="H1037" s="266">
        <f t="shared" si="69"/>
        <v>424.62</v>
      </c>
      <c r="I1037" s="266">
        <f t="shared" si="70"/>
        <v>0</v>
      </c>
      <c r="J1037" s="295">
        <v>1</v>
      </c>
      <c r="K1037" s="266">
        <f t="shared" si="71"/>
        <v>4.2462</v>
      </c>
      <c r="L1037" s="312">
        <f t="shared" si="72"/>
        <v>37</v>
      </c>
      <c r="M1037" s="263"/>
      <c r="N1037" s="263"/>
      <c r="O1037" s="263"/>
      <c r="P1037" s="263"/>
      <c r="Q1037" s="263"/>
      <c r="R1037" s="263"/>
      <c r="S1037" s="29">
        <v>424.62</v>
      </c>
      <c r="T1037" s="29">
        <v>0</v>
      </c>
      <c r="U1037" s="29">
        <v>76.430000000000007</v>
      </c>
      <c r="V1037" s="29">
        <v>501.05</v>
      </c>
      <c r="W1037" s="29">
        <v>0</v>
      </c>
      <c r="X1037" s="29">
        <v>1</v>
      </c>
      <c r="Y1037" s="29">
        <v>5.0105000000000004</v>
      </c>
    </row>
    <row r="1038" spans="2:25">
      <c r="B1038" s="111">
        <v>4</v>
      </c>
      <c r="C1038" s="111">
        <v>29677</v>
      </c>
      <c r="D1038" s="111" t="s">
        <v>758</v>
      </c>
      <c r="E1038" s="111" t="s">
        <v>448</v>
      </c>
      <c r="F1038" s="265">
        <v>42152</v>
      </c>
      <c r="G1038" s="265">
        <v>42189</v>
      </c>
      <c r="H1038" s="266">
        <f t="shared" ref="H1038:H1069" si="73">S1038+T1038</f>
        <v>10222.1</v>
      </c>
      <c r="I1038" s="266">
        <f t="shared" ref="I1038:I1069" si="74">W1038/1.18</f>
        <v>0</v>
      </c>
      <c r="J1038" s="295">
        <v>1</v>
      </c>
      <c r="K1038" s="266">
        <f t="shared" ref="K1038:K1069" si="75">(H1038-I1038)*J1038%</f>
        <v>102.221</v>
      </c>
      <c r="L1038" s="312">
        <f t="shared" ref="L1038:L1069" si="76">G1038-F1038</f>
        <v>37</v>
      </c>
      <c r="M1038" s="263"/>
      <c r="N1038" s="263"/>
      <c r="O1038" s="263"/>
      <c r="P1038" s="263"/>
      <c r="Q1038" s="263"/>
      <c r="R1038" s="263"/>
      <c r="S1038" s="29">
        <v>10222.1</v>
      </c>
      <c r="T1038" s="29">
        <v>0</v>
      </c>
      <c r="U1038" s="29">
        <v>1839.98</v>
      </c>
      <c r="V1038" s="29">
        <v>12062.08</v>
      </c>
      <c r="W1038" s="29">
        <v>0</v>
      </c>
      <c r="X1038" s="29">
        <v>1</v>
      </c>
      <c r="Y1038" s="29">
        <v>120.6208</v>
      </c>
    </row>
    <row r="1039" spans="2:25">
      <c r="B1039" s="111">
        <v>4</v>
      </c>
      <c r="C1039" s="111">
        <v>29648</v>
      </c>
      <c r="D1039" s="111" t="s">
        <v>758</v>
      </c>
      <c r="E1039" s="111" t="s">
        <v>448</v>
      </c>
      <c r="F1039" s="265">
        <v>42152</v>
      </c>
      <c r="G1039" s="265">
        <v>42189</v>
      </c>
      <c r="H1039" s="266">
        <f t="shared" si="73"/>
        <v>418.89</v>
      </c>
      <c r="I1039" s="266">
        <f t="shared" si="74"/>
        <v>0</v>
      </c>
      <c r="J1039" s="295">
        <v>1</v>
      </c>
      <c r="K1039" s="266">
        <f t="shared" si="75"/>
        <v>4.1889000000000003</v>
      </c>
      <c r="L1039" s="312">
        <f t="shared" si="76"/>
        <v>37</v>
      </c>
      <c r="M1039" s="263"/>
      <c r="N1039" s="263"/>
      <c r="O1039" s="263"/>
      <c r="P1039" s="263"/>
      <c r="Q1039" s="263"/>
      <c r="R1039" s="263"/>
      <c r="S1039" s="29">
        <v>418.89</v>
      </c>
      <c r="T1039" s="29">
        <v>0</v>
      </c>
      <c r="U1039" s="29">
        <v>75.400000000000006</v>
      </c>
      <c r="V1039" s="29">
        <v>494.29</v>
      </c>
      <c r="W1039" s="29">
        <v>0</v>
      </c>
      <c r="X1039" s="29">
        <v>1</v>
      </c>
      <c r="Y1039" s="29">
        <v>4.9428999999999998</v>
      </c>
    </row>
    <row r="1040" spans="2:25">
      <c r="B1040" s="111">
        <v>4</v>
      </c>
      <c r="C1040" s="111">
        <v>29684</v>
      </c>
      <c r="D1040" s="111" t="s">
        <v>758</v>
      </c>
      <c r="E1040" s="111" t="s">
        <v>448</v>
      </c>
      <c r="F1040" s="265">
        <v>42152</v>
      </c>
      <c r="G1040" s="265">
        <v>42189</v>
      </c>
      <c r="H1040" s="266">
        <f t="shared" si="73"/>
        <v>2545.14</v>
      </c>
      <c r="I1040" s="266">
        <f t="shared" si="74"/>
        <v>0</v>
      </c>
      <c r="J1040" s="295">
        <v>1</v>
      </c>
      <c r="K1040" s="266">
        <f t="shared" si="75"/>
        <v>25.4514</v>
      </c>
      <c r="L1040" s="312">
        <f t="shared" si="76"/>
        <v>37</v>
      </c>
      <c r="M1040" s="263"/>
      <c r="N1040" s="263"/>
      <c r="O1040" s="263"/>
      <c r="P1040" s="263"/>
      <c r="Q1040" s="263"/>
      <c r="R1040" s="263"/>
      <c r="S1040" s="29">
        <v>2545.14</v>
      </c>
      <c r="T1040" s="29">
        <v>0</v>
      </c>
      <c r="U1040" s="29">
        <v>458.13</v>
      </c>
      <c r="V1040" s="29">
        <v>3003.27</v>
      </c>
      <c r="W1040" s="29">
        <v>0</v>
      </c>
      <c r="X1040" s="29">
        <v>1</v>
      </c>
      <c r="Y1040" s="29">
        <v>30.032699999999998</v>
      </c>
    </row>
    <row r="1041" spans="2:25">
      <c r="B1041" s="111">
        <v>4</v>
      </c>
      <c r="C1041" s="111">
        <v>29729</v>
      </c>
      <c r="D1041" s="111" t="s">
        <v>759</v>
      </c>
      <c r="E1041" s="111" t="s">
        <v>448</v>
      </c>
      <c r="F1041" s="265">
        <v>42153</v>
      </c>
      <c r="G1041" s="265">
        <v>42202</v>
      </c>
      <c r="H1041" s="266">
        <f t="shared" si="73"/>
        <v>358.05</v>
      </c>
      <c r="I1041" s="266">
        <f t="shared" si="74"/>
        <v>0</v>
      </c>
      <c r="J1041" s="295">
        <v>1</v>
      </c>
      <c r="K1041" s="266">
        <f t="shared" si="75"/>
        <v>3.5805000000000002</v>
      </c>
      <c r="L1041" s="312">
        <f t="shared" si="76"/>
        <v>49</v>
      </c>
      <c r="M1041" s="263"/>
      <c r="N1041" s="263"/>
      <c r="O1041" s="263"/>
      <c r="P1041" s="263"/>
      <c r="Q1041" s="263"/>
      <c r="R1041" s="263"/>
      <c r="S1041" s="29">
        <v>358.05</v>
      </c>
      <c r="T1041" s="29">
        <v>0</v>
      </c>
      <c r="U1041" s="29">
        <v>64.45</v>
      </c>
      <c r="V1041" s="29">
        <v>422.5</v>
      </c>
      <c r="W1041" s="29">
        <v>0</v>
      </c>
      <c r="X1041" s="29">
        <v>1</v>
      </c>
      <c r="Y1041" s="29">
        <v>4.2249999999999996</v>
      </c>
    </row>
    <row r="1042" spans="2:25">
      <c r="B1042" s="111">
        <v>4</v>
      </c>
      <c r="C1042" s="111">
        <v>29717</v>
      </c>
      <c r="D1042" s="111" t="s">
        <v>758</v>
      </c>
      <c r="E1042" s="111" t="s">
        <v>448</v>
      </c>
      <c r="F1042" s="265">
        <v>42153</v>
      </c>
      <c r="G1042" s="265">
        <v>42189</v>
      </c>
      <c r="H1042" s="266">
        <f t="shared" si="73"/>
        <v>2322.86</v>
      </c>
      <c r="I1042" s="266">
        <f t="shared" si="74"/>
        <v>0</v>
      </c>
      <c r="J1042" s="295">
        <v>1</v>
      </c>
      <c r="K1042" s="266">
        <f t="shared" si="75"/>
        <v>23.2286</v>
      </c>
      <c r="L1042" s="312">
        <f t="shared" si="76"/>
        <v>36</v>
      </c>
      <c r="M1042" s="263"/>
      <c r="N1042" s="263"/>
      <c r="O1042" s="263"/>
      <c r="P1042" s="263"/>
      <c r="Q1042" s="263"/>
      <c r="R1042" s="263"/>
      <c r="S1042" s="29">
        <v>2322.86</v>
      </c>
      <c r="T1042" s="29">
        <v>0</v>
      </c>
      <c r="U1042" s="29">
        <v>418.11</v>
      </c>
      <c r="V1042" s="29">
        <v>2740.97</v>
      </c>
      <c r="W1042" s="29">
        <v>0</v>
      </c>
      <c r="X1042" s="29">
        <v>1</v>
      </c>
      <c r="Y1042" s="29">
        <v>27.409700000000001</v>
      </c>
    </row>
    <row r="1043" spans="2:25">
      <c r="B1043" s="111">
        <v>6</v>
      </c>
      <c r="C1043" s="111">
        <v>943</v>
      </c>
      <c r="D1043" s="111" t="s">
        <v>381</v>
      </c>
      <c r="E1043" s="111" t="s">
        <v>382</v>
      </c>
      <c r="F1043" s="265">
        <v>42153</v>
      </c>
      <c r="G1043" s="265">
        <v>42199</v>
      </c>
      <c r="H1043" s="266">
        <f t="shared" si="73"/>
        <v>7952.54</v>
      </c>
      <c r="I1043" s="266">
        <f t="shared" si="74"/>
        <v>0</v>
      </c>
      <c r="J1043" s="295">
        <v>1</v>
      </c>
      <c r="K1043" s="266">
        <f t="shared" si="75"/>
        <v>79.525400000000005</v>
      </c>
      <c r="L1043" s="312">
        <f t="shared" si="76"/>
        <v>46</v>
      </c>
      <c r="M1043" s="263"/>
      <c r="N1043" s="263"/>
      <c r="O1043" s="263"/>
      <c r="P1043" s="263"/>
      <c r="Q1043" s="263"/>
      <c r="R1043" s="263"/>
      <c r="S1043" s="29">
        <v>7952.54</v>
      </c>
      <c r="T1043" s="29">
        <v>0</v>
      </c>
      <c r="U1043" s="29">
        <v>1431.46</v>
      </c>
      <c r="V1043" s="29">
        <v>9384</v>
      </c>
      <c r="W1043" s="29">
        <v>0</v>
      </c>
      <c r="X1043" s="29">
        <v>1</v>
      </c>
      <c r="Y1043" s="29">
        <v>93.84</v>
      </c>
    </row>
    <row r="1044" spans="2:25">
      <c r="B1044" s="111">
        <v>4</v>
      </c>
      <c r="C1044" s="111">
        <v>29766</v>
      </c>
      <c r="D1044" s="111" t="s">
        <v>758</v>
      </c>
      <c r="E1044" s="111" t="s">
        <v>448</v>
      </c>
      <c r="F1044" s="265">
        <v>42154</v>
      </c>
      <c r="G1044" s="265">
        <v>42189</v>
      </c>
      <c r="H1044" s="266">
        <f t="shared" si="73"/>
        <v>346.57</v>
      </c>
      <c r="I1044" s="266">
        <f t="shared" si="74"/>
        <v>0</v>
      </c>
      <c r="J1044" s="295">
        <v>1</v>
      </c>
      <c r="K1044" s="266">
        <f t="shared" si="75"/>
        <v>3.4657</v>
      </c>
      <c r="L1044" s="312">
        <f t="shared" si="76"/>
        <v>35</v>
      </c>
      <c r="M1044" s="263"/>
      <c r="N1044" s="263"/>
      <c r="O1044" s="263"/>
      <c r="P1044" s="263"/>
      <c r="Q1044" s="263"/>
      <c r="R1044" s="263"/>
      <c r="S1044" s="29">
        <v>346.57</v>
      </c>
      <c r="T1044" s="29">
        <v>0</v>
      </c>
      <c r="U1044" s="29">
        <v>62.38</v>
      </c>
      <c r="V1044" s="29">
        <v>408.95</v>
      </c>
      <c r="W1044" s="29">
        <v>0</v>
      </c>
      <c r="X1044" s="29">
        <v>1</v>
      </c>
      <c r="Y1044" s="29">
        <v>4.0895000000000001</v>
      </c>
    </row>
    <row r="1045" spans="2:25">
      <c r="B1045" s="111">
        <v>4</v>
      </c>
      <c r="C1045" s="111">
        <v>29807</v>
      </c>
      <c r="D1045" s="111" t="s">
        <v>758</v>
      </c>
      <c r="E1045" s="111" t="s">
        <v>448</v>
      </c>
      <c r="F1045" s="265">
        <v>42154</v>
      </c>
      <c r="G1045" s="265">
        <v>42189</v>
      </c>
      <c r="H1045" s="266">
        <f t="shared" si="73"/>
        <v>3708.02</v>
      </c>
      <c r="I1045" s="266">
        <f t="shared" si="74"/>
        <v>0</v>
      </c>
      <c r="J1045" s="295">
        <v>1</v>
      </c>
      <c r="K1045" s="266">
        <f t="shared" si="75"/>
        <v>37.080199999999998</v>
      </c>
      <c r="L1045" s="312">
        <f t="shared" si="76"/>
        <v>35</v>
      </c>
      <c r="M1045" s="263"/>
      <c r="N1045" s="263"/>
      <c r="O1045" s="263"/>
      <c r="P1045" s="263"/>
      <c r="Q1045" s="263"/>
      <c r="R1045" s="263"/>
      <c r="S1045" s="29">
        <v>3708.02</v>
      </c>
      <c r="T1045" s="29">
        <v>0</v>
      </c>
      <c r="U1045" s="29">
        <v>667.44</v>
      </c>
      <c r="V1045" s="29">
        <v>4375.46</v>
      </c>
      <c r="W1045" s="29">
        <v>0</v>
      </c>
      <c r="X1045" s="29">
        <v>1</v>
      </c>
      <c r="Y1045" s="29">
        <v>43.754600000000003</v>
      </c>
    </row>
    <row r="1046" spans="2:25">
      <c r="B1046" s="111">
        <v>4</v>
      </c>
      <c r="C1046" s="111">
        <v>29832</v>
      </c>
      <c r="D1046" s="111" t="s">
        <v>759</v>
      </c>
      <c r="E1046" s="111" t="s">
        <v>448</v>
      </c>
      <c r="F1046" s="265">
        <v>42154</v>
      </c>
      <c r="G1046" s="265">
        <v>42202</v>
      </c>
      <c r="H1046" s="266">
        <f t="shared" si="73"/>
        <v>215.87</v>
      </c>
      <c r="I1046" s="266">
        <f t="shared" si="74"/>
        <v>0</v>
      </c>
      <c r="J1046" s="295">
        <v>1</v>
      </c>
      <c r="K1046" s="266">
        <f t="shared" si="75"/>
        <v>2.1587000000000001</v>
      </c>
      <c r="L1046" s="312">
        <f t="shared" si="76"/>
        <v>48</v>
      </c>
      <c r="M1046" s="263"/>
      <c r="N1046" s="263"/>
      <c r="O1046" s="263"/>
      <c r="P1046" s="263"/>
      <c r="Q1046" s="263"/>
      <c r="R1046" s="263"/>
      <c r="S1046" s="29">
        <v>215.87</v>
      </c>
      <c r="T1046" s="29">
        <v>0</v>
      </c>
      <c r="U1046" s="29">
        <v>38.86</v>
      </c>
      <c r="V1046" s="29">
        <v>254.73</v>
      </c>
      <c r="W1046" s="29">
        <v>0</v>
      </c>
      <c r="X1046" s="29">
        <v>1</v>
      </c>
      <c r="Y1046" s="29">
        <v>2.5472999999999999</v>
      </c>
    </row>
    <row r="1047" spans="2:25">
      <c r="B1047" s="111">
        <v>4</v>
      </c>
      <c r="C1047" s="111">
        <v>29830</v>
      </c>
      <c r="D1047" s="111" t="s">
        <v>759</v>
      </c>
      <c r="E1047" s="111" t="s">
        <v>448</v>
      </c>
      <c r="F1047" s="265">
        <v>42154</v>
      </c>
      <c r="G1047" s="265">
        <v>42202</v>
      </c>
      <c r="H1047" s="266">
        <f t="shared" si="73"/>
        <v>1750.8</v>
      </c>
      <c r="I1047" s="266">
        <f t="shared" si="74"/>
        <v>0</v>
      </c>
      <c r="J1047" s="295">
        <v>1</v>
      </c>
      <c r="K1047" s="266">
        <f t="shared" si="75"/>
        <v>17.507999999999999</v>
      </c>
      <c r="L1047" s="312">
        <f t="shared" si="76"/>
        <v>48</v>
      </c>
      <c r="M1047" s="263"/>
      <c r="N1047" s="263"/>
      <c r="O1047" s="263"/>
      <c r="P1047" s="263"/>
      <c r="Q1047" s="263"/>
      <c r="R1047" s="263"/>
      <c r="S1047" s="29">
        <v>1750.8</v>
      </c>
      <c r="T1047" s="29">
        <v>0</v>
      </c>
      <c r="U1047" s="29">
        <v>315.14</v>
      </c>
      <c r="V1047" s="29">
        <v>2065.94</v>
      </c>
      <c r="W1047" s="29">
        <v>0</v>
      </c>
      <c r="X1047" s="29">
        <v>1</v>
      </c>
      <c r="Y1047" s="29">
        <v>20.659400000000002</v>
      </c>
    </row>
    <row r="1048" spans="2:25">
      <c r="B1048" s="111">
        <v>4</v>
      </c>
      <c r="C1048" s="111">
        <v>29831</v>
      </c>
      <c r="D1048" s="111" t="s">
        <v>759</v>
      </c>
      <c r="E1048" s="111" t="s">
        <v>448</v>
      </c>
      <c r="F1048" s="265">
        <v>42154</v>
      </c>
      <c r="G1048" s="265">
        <v>42202</v>
      </c>
      <c r="H1048" s="266">
        <f t="shared" si="73"/>
        <v>1290.94</v>
      </c>
      <c r="I1048" s="266">
        <f t="shared" si="74"/>
        <v>0</v>
      </c>
      <c r="J1048" s="295">
        <v>1</v>
      </c>
      <c r="K1048" s="266">
        <f t="shared" si="75"/>
        <v>12.909400000000002</v>
      </c>
      <c r="L1048" s="312">
        <f t="shared" si="76"/>
        <v>48</v>
      </c>
      <c r="M1048" s="263"/>
      <c r="N1048" s="263"/>
      <c r="O1048" s="263"/>
      <c r="P1048" s="263"/>
      <c r="Q1048" s="263"/>
      <c r="R1048" s="263"/>
      <c r="S1048" s="29">
        <v>1290.94</v>
      </c>
      <c r="T1048" s="29">
        <v>0</v>
      </c>
      <c r="U1048" s="29">
        <v>232.37</v>
      </c>
      <c r="V1048" s="29">
        <v>1523.31</v>
      </c>
      <c r="W1048" s="29">
        <v>0</v>
      </c>
      <c r="X1048" s="29">
        <v>1</v>
      </c>
      <c r="Y1048" s="29">
        <v>15.2331</v>
      </c>
    </row>
    <row r="1049" spans="2:25">
      <c r="B1049" s="111">
        <v>4</v>
      </c>
      <c r="C1049" s="111">
        <v>29833</v>
      </c>
      <c r="D1049" s="111" t="s">
        <v>759</v>
      </c>
      <c r="E1049" s="111" t="s">
        <v>448</v>
      </c>
      <c r="F1049" s="265">
        <v>42154</v>
      </c>
      <c r="G1049" s="265">
        <v>42202</v>
      </c>
      <c r="H1049" s="266">
        <f t="shared" si="73"/>
        <v>3324.98</v>
      </c>
      <c r="I1049" s="266">
        <f t="shared" si="74"/>
        <v>0</v>
      </c>
      <c r="J1049" s="295">
        <v>1</v>
      </c>
      <c r="K1049" s="266">
        <f t="shared" si="75"/>
        <v>33.2498</v>
      </c>
      <c r="L1049" s="312">
        <f t="shared" si="76"/>
        <v>48</v>
      </c>
      <c r="M1049" s="263"/>
      <c r="N1049" s="263"/>
      <c r="O1049" s="263"/>
      <c r="P1049" s="263"/>
      <c r="Q1049" s="263"/>
      <c r="R1049" s="263"/>
      <c r="S1049" s="29">
        <v>3324.98</v>
      </c>
      <c r="T1049" s="29">
        <v>0</v>
      </c>
      <c r="U1049" s="29">
        <v>598.5</v>
      </c>
      <c r="V1049" s="29">
        <v>3923.48</v>
      </c>
      <c r="W1049" s="29">
        <v>0</v>
      </c>
      <c r="X1049" s="29">
        <v>1</v>
      </c>
      <c r="Y1049" s="29">
        <v>39.2348</v>
      </c>
    </row>
    <row r="1050" spans="2:25">
      <c r="B1050" s="111">
        <v>4</v>
      </c>
      <c r="C1050" s="111">
        <v>29953</v>
      </c>
      <c r="D1050" s="111" t="s">
        <v>758</v>
      </c>
      <c r="E1050" s="111" t="s">
        <v>448</v>
      </c>
      <c r="F1050" s="265">
        <v>42157</v>
      </c>
      <c r="G1050" s="265">
        <v>42207</v>
      </c>
      <c r="H1050" s="266">
        <f t="shared" si="73"/>
        <v>1267.31</v>
      </c>
      <c r="I1050" s="266">
        <f t="shared" si="74"/>
        <v>0</v>
      </c>
      <c r="J1050" s="295">
        <v>1</v>
      </c>
      <c r="K1050" s="266">
        <f t="shared" si="75"/>
        <v>12.6731</v>
      </c>
      <c r="L1050" s="312">
        <f t="shared" si="76"/>
        <v>50</v>
      </c>
      <c r="M1050" s="263"/>
      <c r="N1050" s="263"/>
      <c r="O1050" s="263"/>
      <c r="P1050" s="263"/>
      <c r="Q1050" s="263"/>
      <c r="R1050" s="263"/>
      <c r="S1050" s="29">
        <v>1267.31</v>
      </c>
      <c r="T1050" s="29">
        <v>0</v>
      </c>
      <c r="U1050" s="29">
        <v>228.12</v>
      </c>
      <c r="V1050" s="29">
        <v>1495.43</v>
      </c>
      <c r="W1050" s="29">
        <v>0</v>
      </c>
      <c r="X1050" s="29">
        <v>1</v>
      </c>
      <c r="Y1050" s="29">
        <v>14.9543</v>
      </c>
    </row>
    <row r="1051" spans="2:25">
      <c r="B1051" s="111">
        <v>1</v>
      </c>
      <c r="C1051" s="111">
        <v>306988</v>
      </c>
      <c r="D1051" s="111" t="s">
        <v>759</v>
      </c>
      <c r="E1051" s="111" t="s">
        <v>448</v>
      </c>
      <c r="F1051" s="265">
        <v>42158</v>
      </c>
      <c r="G1051" s="265">
        <v>42216</v>
      </c>
      <c r="H1051" s="266">
        <f t="shared" si="73"/>
        <v>3270.69</v>
      </c>
      <c r="I1051" s="266">
        <f t="shared" si="74"/>
        <v>0</v>
      </c>
      <c r="J1051" s="295">
        <v>1</v>
      </c>
      <c r="K1051" s="266">
        <f t="shared" si="75"/>
        <v>32.706900000000005</v>
      </c>
      <c r="L1051" s="312">
        <f t="shared" si="76"/>
        <v>58</v>
      </c>
      <c r="M1051" s="263"/>
      <c r="N1051" s="263"/>
      <c r="O1051" s="263"/>
      <c r="P1051" s="263"/>
      <c r="Q1051" s="263"/>
      <c r="R1051" s="263"/>
      <c r="S1051" s="29">
        <v>3270.69</v>
      </c>
      <c r="T1051" s="29">
        <v>0</v>
      </c>
      <c r="U1051" s="29">
        <v>588.72</v>
      </c>
      <c r="V1051" s="29">
        <v>3859.41</v>
      </c>
      <c r="W1051" s="29">
        <v>0</v>
      </c>
      <c r="X1051" s="29">
        <v>1</v>
      </c>
      <c r="Y1051" s="29">
        <v>38.594099999999997</v>
      </c>
    </row>
    <row r="1052" spans="2:25">
      <c r="B1052" s="111">
        <v>1</v>
      </c>
      <c r="C1052" s="111">
        <v>306973</v>
      </c>
      <c r="D1052" s="111" t="s">
        <v>758</v>
      </c>
      <c r="E1052" s="111" t="s">
        <v>448</v>
      </c>
      <c r="F1052" s="265">
        <v>42158</v>
      </c>
      <c r="G1052" s="265">
        <v>42207</v>
      </c>
      <c r="H1052" s="266">
        <f t="shared" si="73"/>
        <v>1158.1500000000001</v>
      </c>
      <c r="I1052" s="266">
        <f t="shared" si="74"/>
        <v>0</v>
      </c>
      <c r="J1052" s="295">
        <v>1</v>
      </c>
      <c r="K1052" s="266">
        <f t="shared" si="75"/>
        <v>11.581500000000002</v>
      </c>
      <c r="L1052" s="312">
        <f t="shared" si="76"/>
        <v>49</v>
      </c>
      <c r="M1052" s="263"/>
      <c r="N1052" s="263"/>
      <c r="O1052" s="263"/>
      <c r="P1052" s="263"/>
      <c r="Q1052" s="263"/>
      <c r="R1052" s="263"/>
      <c r="S1052" s="29">
        <v>1158.1500000000001</v>
      </c>
      <c r="T1052" s="29">
        <v>0</v>
      </c>
      <c r="U1052" s="29">
        <v>208.47</v>
      </c>
      <c r="V1052" s="29">
        <v>1366.62</v>
      </c>
      <c r="W1052" s="29">
        <v>0</v>
      </c>
      <c r="X1052" s="29">
        <v>1</v>
      </c>
      <c r="Y1052" s="29">
        <v>13.6662</v>
      </c>
    </row>
    <row r="1053" spans="2:25">
      <c r="B1053" s="111">
        <v>1</v>
      </c>
      <c r="C1053" s="111">
        <v>306987</v>
      </c>
      <c r="D1053" s="111" t="s">
        <v>759</v>
      </c>
      <c r="E1053" s="111" t="s">
        <v>448</v>
      </c>
      <c r="F1053" s="265">
        <v>42158</v>
      </c>
      <c r="G1053" s="265">
        <v>42202</v>
      </c>
      <c r="H1053" s="266">
        <f t="shared" si="73"/>
        <v>1822.8</v>
      </c>
      <c r="I1053" s="266">
        <f t="shared" si="74"/>
        <v>0</v>
      </c>
      <c r="J1053" s="295">
        <v>1</v>
      </c>
      <c r="K1053" s="266">
        <f t="shared" si="75"/>
        <v>18.228000000000002</v>
      </c>
      <c r="L1053" s="312">
        <f t="shared" si="76"/>
        <v>44</v>
      </c>
      <c r="M1053" s="263"/>
      <c r="N1053" s="263"/>
      <c r="O1053" s="263"/>
      <c r="P1053" s="263"/>
      <c r="Q1053" s="263"/>
      <c r="R1053" s="263"/>
      <c r="S1053" s="29">
        <v>1822.8</v>
      </c>
      <c r="T1053" s="29">
        <v>0</v>
      </c>
      <c r="U1053" s="29">
        <v>328.1</v>
      </c>
      <c r="V1053" s="29">
        <v>2150.9</v>
      </c>
      <c r="W1053" s="29">
        <v>0</v>
      </c>
      <c r="X1053" s="29">
        <v>1</v>
      </c>
      <c r="Y1053" s="29">
        <v>21.509</v>
      </c>
    </row>
    <row r="1054" spans="2:25">
      <c r="B1054" s="111">
        <v>1</v>
      </c>
      <c r="C1054" s="111">
        <v>306978</v>
      </c>
      <c r="D1054" s="111" t="s">
        <v>757</v>
      </c>
      <c r="E1054" s="111" t="s">
        <v>448</v>
      </c>
      <c r="F1054" s="265">
        <v>42158</v>
      </c>
      <c r="G1054" s="265">
        <v>42202</v>
      </c>
      <c r="H1054" s="266">
        <f t="shared" si="73"/>
        <v>203.37</v>
      </c>
      <c r="I1054" s="266">
        <f t="shared" si="74"/>
        <v>0</v>
      </c>
      <c r="J1054" s="295">
        <v>1</v>
      </c>
      <c r="K1054" s="266">
        <f t="shared" si="75"/>
        <v>2.0337000000000001</v>
      </c>
      <c r="L1054" s="312">
        <f t="shared" si="76"/>
        <v>44</v>
      </c>
      <c r="M1054" s="263"/>
      <c r="N1054" s="263"/>
      <c r="O1054" s="263"/>
      <c r="P1054" s="263"/>
      <c r="Q1054" s="263"/>
      <c r="R1054" s="263"/>
      <c r="S1054" s="29">
        <v>203.37</v>
      </c>
      <c r="T1054" s="29">
        <v>0</v>
      </c>
      <c r="U1054" s="29">
        <v>36.61</v>
      </c>
      <c r="V1054" s="29">
        <v>239.98</v>
      </c>
      <c r="W1054" s="29">
        <v>0</v>
      </c>
      <c r="X1054" s="29">
        <v>1</v>
      </c>
      <c r="Y1054" s="29">
        <v>2.3997999999999999</v>
      </c>
    </row>
    <row r="1055" spans="2:25">
      <c r="B1055" s="111">
        <v>1</v>
      </c>
      <c r="C1055" s="111">
        <v>306974</v>
      </c>
      <c r="D1055" s="111" t="s">
        <v>759</v>
      </c>
      <c r="E1055" s="111" t="s">
        <v>448</v>
      </c>
      <c r="F1055" s="265">
        <v>42158</v>
      </c>
      <c r="G1055" s="265">
        <v>42202</v>
      </c>
      <c r="H1055" s="266">
        <f t="shared" si="73"/>
        <v>488.34</v>
      </c>
      <c r="I1055" s="266">
        <f t="shared" si="74"/>
        <v>0</v>
      </c>
      <c r="J1055" s="295">
        <v>1</v>
      </c>
      <c r="K1055" s="266">
        <f t="shared" si="75"/>
        <v>4.8834</v>
      </c>
      <c r="L1055" s="312">
        <f t="shared" si="76"/>
        <v>44</v>
      </c>
      <c r="M1055" s="263"/>
      <c r="N1055" s="263"/>
      <c r="O1055" s="263"/>
      <c r="P1055" s="263"/>
      <c r="Q1055" s="263"/>
      <c r="R1055" s="263"/>
      <c r="S1055" s="29">
        <v>488.34</v>
      </c>
      <c r="T1055" s="29">
        <v>0</v>
      </c>
      <c r="U1055" s="29">
        <v>87.9</v>
      </c>
      <c r="V1055" s="29">
        <v>576.24</v>
      </c>
      <c r="W1055" s="29">
        <v>0</v>
      </c>
      <c r="X1055" s="29">
        <v>1</v>
      </c>
      <c r="Y1055" s="29">
        <v>5.7624000000000004</v>
      </c>
    </row>
    <row r="1056" spans="2:25">
      <c r="B1056" s="111">
        <v>1</v>
      </c>
      <c r="C1056" s="111">
        <v>307017</v>
      </c>
      <c r="D1056" s="111" t="s">
        <v>757</v>
      </c>
      <c r="E1056" s="111" t="s">
        <v>448</v>
      </c>
      <c r="F1056" s="265">
        <v>42158</v>
      </c>
      <c r="G1056" s="265">
        <v>42202</v>
      </c>
      <c r="H1056" s="266">
        <f t="shared" si="73"/>
        <v>306.73</v>
      </c>
      <c r="I1056" s="266">
        <f t="shared" si="74"/>
        <v>0</v>
      </c>
      <c r="J1056" s="295">
        <v>1</v>
      </c>
      <c r="K1056" s="266">
        <f t="shared" si="75"/>
        <v>3.0673000000000004</v>
      </c>
      <c r="L1056" s="312">
        <f t="shared" si="76"/>
        <v>44</v>
      </c>
      <c r="M1056" s="263"/>
      <c r="N1056" s="263"/>
      <c r="O1056" s="263"/>
      <c r="P1056" s="263"/>
      <c r="Q1056" s="263"/>
      <c r="R1056" s="263"/>
      <c r="S1056" s="29">
        <v>306.73</v>
      </c>
      <c r="T1056" s="29">
        <v>0</v>
      </c>
      <c r="U1056" s="29">
        <v>55.21</v>
      </c>
      <c r="V1056" s="29">
        <v>361.94</v>
      </c>
      <c r="W1056" s="29">
        <v>0</v>
      </c>
      <c r="X1056" s="29">
        <v>1</v>
      </c>
      <c r="Y1056" s="29">
        <v>3.6194000000000002</v>
      </c>
    </row>
    <row r="1057" spans="2:25">
      <c r="B1057" s="111">
        <v>1</v>
      </c>
      <c r="C1057" s="111">
        <v>306975</v>
      </c>
      <c r="D1057" s="111" t="s">
        <v>759</v>
      </c>
      <c r="E1057" s="111" t="s">
        <v>448</v>
      </c>
      <c r="F1057" s="265">
        <v>42158</v>
      </c>
      <c r="G1057" s="265">
        <v>42202</v>
      </c>
      <c r="H1057" s="266">
        <f t="shared" si="73"/>
        <v>358.05</v>
      </c>
      <c r="I1057" s="266">
        <f t="shared" si="74"/>
        <v>0</v>
      </c>
      <c r="J1057" s="295">
        <v>1</v>
      </c>
      <c r="K1057" s="266">
        <f t="shared" si="75"/>
        <v>3.5805000000000002</v>
      </c>
      <c r="L1057" s="312">
        <f t="shared" si="76"/>
        <v>44</v>
      </c>
      <c r="M1057" s="263"/>
      <c r="N1057" s="263"/>
      <c r="O1057" s="263"/>
      <c r="P1057" s="263"/>
      <c r="Q1057" s="263"/>
      <c r="R1057" s="263"/>
      <c r="S1057" s="29">
        <v>358.05</v>
      </c>
      <c r="T1057" s="29">
        <v>0</v>
      </c>
      <c r="U1057" s="29">
        <v>64.45</v>
      </c>
      <c r="V1057" s="29">
        <v>422.5</v>
      </c>
      <c r="W1057" s="29">
        <v>0</v>
      </c>
      <c r="X1057" s="29">
        <v>1</v>
      </c>
      <c r="Y1057" s="29">
        <v>4.2249999999999996</v>
      </c>
    </row>
    <row r="1058" spans="2:25">
      <c r="B1058" s="111">
        <v>4</v>
      </c>
      <c r="C1058" s="111">
        <v>29908</v>
      </c>
      <c r="D1058" s="111" t="s">
        <v>758</v>
      </c>
      <c r="E1058" s="111" t="s">
        <v>448</v>
      </c>
      <c r="F1058" s="265">
        <v>42156</v>
      </c>
      <c r="G1058" s="265">
        <v>42207</v>
      </c>
      <c r="H1058" s="266">
        <f t="shared" si="73"/>
        <v>2399.66</v>
      </c>
      <c r="I1058" s="266">
        <f t="shared" si="74"/>
        <v>0</v>
      </c>
      <c r="J1058" s="295">
        <v>1</v>
      </c>
      <c r="K1058" s="266">
        <f t="shared" si="75"/>
        <v>23.996600000000001</v>
      </c>
      <c r="L1058" s="312">
        <f t="shared" si="76"/>
        <v>51</v>
      </c>
      <c r="M1058" s="263"/>
      <c r="N1058" s="263"/>
      <c r="O1058" s="263"/>
      <c r="P1058" s="263"/>
      <c r="Q1058" s="263"/>
      <c r="R1058" s="263"/>
      <c r="S1058" s="29">
        <v>2399.66</v>
      </c>
      <c r="T1058" s="29">
        <v>0</v>
      </c>
      <c r="U1058" s="29">
        <v>431.94</v>
      </c>
      <c r="V1058" s="29">
        <v>2831.6</v>
      </c>
      <c r="W1058" s="29">
        <v>0</v>
      </c>
      <c r="X1058" s="29">
        <v>1</v>
      </c>
      <c r="Y1058" s="29">
        <v>28.315999999999999</v>
      </c>
    </row>
    <row r="1059" spans="2:25">
      <c r="B1059" s="111">
        <v>1</v>
      </c>
      <c r="C1059" s="111">
        <v>306977</v>
      </c>
      <c r="D1059" s="111" t="s">
        <v>758</v>
      </c>
      <c r="E1059" s="111" t="s">
        <v>448</v>
      </c>
      <c r="F1059" s="265">
        <v>42158</v>
      </c>
      <c r="G1059" s="265">
        <v>42207</v>
      </c>
      <c r="H1059" s="266">
        <f t="shared" si="73"/>
        <v>1274.49</v>
      </c>
      <c r="I1059" s="266">
        <f t="shared" si="74"/>
        <v>0</v>
      </c>
      <c r="J1059" s="295">
        <v>1</v>
      </c>
      <c r="K1059" s="266">
        <f t="shared" si="75"/>
        <v>12.744900000000001</v>
      </c>
      <c r="L1059" s="312">
        <f t="shared" si="76"/>
        <v>49</v>
      </c>
      <c r="M1059" s="263"/>
      <c r="N1059" s="263"/>
      <c r="O1059" s="263"/>
      <c r="P1059" s="263"/>
      <c r="Q1059" s="263"/>
      <c r="R1059" s="263"/>
      <c r="S1059" s="29">
        <v>1274.49</v>
      </c>
      <c r="T1059" s="29">
        <v>0</v>
      </c>
      <c r="U1059" s="29">
        <v>229.41</v>
      </c>
      <c r="V1059" s="29">
        <v>1503.9</v>
      </c>
      <c r="W1059" s="29">
        <v>0</v>
      </c>
      <c r="X1059" s="29">
        <v>1</v>
      </c>
      <c r="Y1059" s="29">
        <v>15.039</v>
      </c>
    </row>
    <row r="1060" spans="2:25">
      <c r="B1060" s="111">
        <v>4</v>
      </c>
      <c r="C1060" s="111">
        <v>30072</v>
      </c>
      <c r="D1060" s="111" t="s">
        <v>758</v>
      </c>
      <c r="E1060" s="111" t="s">
        <v>448</v>
      </c>
      <c r="F1060" s="265">
        <v>42159</v>
      </c>
      <c r="G1060" s="265">
        <v>42207</v>
      </c>
      <c r="H1060" s="266">
        <f t="shared" si="73"/>
        <v>418.89</v>
      </c>
      <c r="I1060" s="266">
        <f t="shared" si="74"/>
        <v>0</v>
      </c>
      <c r="J1060" s="295">
        <v>1</v>
      </c>
      <c r="K1060" s="266">
        <f t="shared" si="75"/>
        <v>4.1889000000000003</v>
      </c>
      <c r="L1060" s="312">
        <f t="shared" si="76"/>
        <v>48</v>
      </c>
      <c r="M1060" s="263"/>
      <c r="N1060" s="263"/>
      <c r="O1060" s="263"/>
      <c r="P1060" s="263"/>
      <c r="Q1060" s="263"/>
      <c r="R1060" s="263"/>
      <c r="S1060" s="29">
        <v>418.89</v>
      </c>
      <c r="T1060" s="29">
        <v>0</v>
      </c>
      <c r="U1060" s="29">
        <v>75.400000000000006</v>
      </c>
      <c r="V1060" s="29">
        <v>494.29</v>
      </c>
      <c r="W1060" s="29">
        <v>0</v>
      </c>
      <c r="X1060" s="29">
        <v>1</v>
      </c>
      <c r="Y1060" s="29">
        <v>4.9428999999999998</v>
      </c>
    </row>
    <row r="1061" spans="2:25">
      <c r="B1061" s="111">
        <v>4</v>
      </c>
      <c r="C1061" s="111">
        <v>30079</v>
      </c>
      <c r="D1061" s="111" t="s">
        <v>758</v>
      </c>
      <c r="E1061" s="111" t="s">
        <v>448</v>
      </c>
      <c r="F1061" s="265">
        <v>42159</v>
      </c>
      <c r="G1061" s="265">
        <v>42207</v>
      </c>
      <c r="H1061" s="266">
        <f t="shared" si="73"/>
        <v>1590.93</v>
      </c>
      <c r="I1061" s="266">
        <f t="shared" si="74"/>
        <v>0</v>
      </c>
      <c r="J1061" s="295">
        <v>1</v>
      </c>
      <c r="K1061" s="266">
        <f t="shared" si="75"/>
        <v>15.909300000000002</v>
      </c>
      <c r="L1061" s="312">
        <f t="shared" si="76"/>
        <v>48</v>
      </c>
      <c r="M1061" s="263"/>
      <c r="N1061" s="263"/>
      <c r="O1061" s="263"/>
      <c r="P1061" s="263"/>
      <c r="Q1061" s="263"/>
      <c r="R1061" s="263"/>
      <c r="S1061" s="29">
        <v>1590.93</v>
      </c>
      <c r="T1061" s="29">
        <v>0</v>
      </c>
      <c r="U1061" s="29">
        <v>286.37</v>
      </c>
      <c r="V1061" s="29">
        <v>1877.3</v>
      </c>
      <c r="W1061" s="29">
        <v>0</v>
      </c>
      <c r="X1061" s="29">
        <v>1</v>
      </c>
      <c r="Y1061" s="29">
        <v>18.773</v>
      </c>
    </row>
    <row r="1062" spans="2:25">
      <c r="B1062" s="111">
        <v>4</v>
      </c>
      <c r="C1062" s="111">
        <v>30080</v>
      </c>
      <c r="D1062" s="111" t="s">
        <v>758</v>
      </c>
      <c r="E1062" s="111" t="s">
        <v>448</v>
      </c>
      <c r="F1062" s="265">
        <v>42159</v>
      </c>
      <c r="G1062" s="265">
        <v>42207</v>
      </c>
      <c r="H1062" s="266">
        <f t="shared" si="73"/>
        <v>5153.7700000000004</v>
      </c>
      <c r="I1062" s="266">
        <f t="shared" si="74"/>
        <v>0</v>
      </c>
      <c r="J1062" s="295">
        <v>1</v>
      </c>
      <c r="K1062" s="266">
        <f t="shared" si="75"/>
        <v>51.537700000000008</v>
      </c>
      <c r="L1062" s="312">
        <f t="shared" si="76"/>
        <v>48</v>
      </c>
      <c r="M1062" s="263"/>
      <c r="N1062" s="263"/>
      <c r="O1062" s="263"/>
      <c r="P1062" s="263"/>
      <c r="Q1062" s="263"/>
      <c r="R1062" s="263"/>
      <c r="S1062" s="29">
        <v>5153.7700000000004</v>
      </c>
      <c r="T1062" s="29">
        <v>0</v>
      </c>
      <c r="U1062" s="29">
        <v>927.68</v>
      </c>
      <c r="V1062" s="29">
        <v>6081.45</v>
      </c>
      <c r="W1062" s="29">
        <v>0</v>
      </c>
      <c r="X1062" s="29">
        <v>1</v>
      </c>
      <c r="Y1062" s="29">
        <v>60.814500000000002</v>
      </c>
    </row>
    <row r="1063" spans="2:25">
      <c r="B1063" s="111">
        <v>4</v>
      </c>
      <c r="C1063" s="111">
        <v>30210</v>
      </c>
      <c r="D1063" s="111" t="s">
        <v>759</v>
      </c>
      <c r="E1063" s="111" t="s">
        <v>448</v>
      </c>
      <c r="F1063" s="265">
        <v>42160</v>
      </c>
      <c r="G1063" s="265">
        <v>42216</v>
      </c>
      <c r="H1063" s="266">
        <f t="shared" si="73"/>
        <v>1270.18</v>
      </c>
      <c r="I1063" s="266">
        <f t="shared" si="74"/>
        <v>0</v>
      </c>
      <c r="J1063" s="295">
        <v>1</v>
      </c>
      <c r="K1063" s="266">
        <f t="shared" si="75"/>
        <v>12.7018</v>
      </c>
      <c r="L1063" s="312">
        <f t="shared" si="76"/>
        <v>56</v>
      </c>
      <c r="M1063" s="263"/>
      <c r="N1063" s="263"/>
      <c r="O1063" s="263"/>
      <c r="P1063" s="263"/>
      <c r="Q1063" s="263"/>
      <c r="R1063" s="263"/>
      <c r="S1063" s="29">
        <v>1270.18</v>
      </c>
      <c r="T1063" s="29">
        <v>0</v>
      </c>
      <c r="U1063" s="29">
        <v>228.63</v>
      </c>
      <c r="V1063" s="29">
        <v>1498.81</v>
      </c>
      <c r="W1063" s="29">
        <v>0</v>
      </c>
      <c r="X1063" s="29">
        <v>1</v>
      </c>
      <c r="Y1063" s="29">
        <v>14.988099999999999</v>
      </c>
    </row>
    <row r="1064" spans="2:25">
      <c r="B1064" s="111">
        <v>4</v>
      </c>
      <c r="C1064" s="111">
        <v>30209</v>
      </c>
      <c r="D1064" s="111" t="s">
        <v>759</v>
      </c>
      <c r="E1064" s="111" t="s">
        <v>448</v>
      </c>
      <c r="F1064" s="265">
        <v>42160</v>
      </c>
      <c r="G1064" s="265">
        <v>42216</v>
      </c>
      <c r="H1064" s="266">
        <f t="shared" si="73"/>
        <v>2050.65</v>
      </c>
      <c r="I1064" s="266">
        <f t="shared" si="74"/>
        <v>0</v>
      </c>
      <c r="J1064" s="295">
        <v>1</v>
      </c>
      <c r="K1064" s="266">
        <f t="shared" si="75"/>
        <v>20.506500000000003</v>
      </c>
      <c r="L1064" s="312">
        <f t="shared" si="76"/>
        <v>56</v>
      </c>
      <c r="M1064" s="263"/>
      <c r="N1064" s="263"/>
      <c r="O1064" s="263"/>
      <c r="P1064" s="263"/>
      <c r="Q1064" s="263"/>
      <c r="R1064" s="263"/>
      <c r="S1064" s="29">
        <v>2050.65</v>
      </c>
      <c r="T1064" s="29">
        <v>0</v>
      </c>
      <c r="U1064" s="29">
        <v>369.12</v>
      </c>
      <c r="V1064" s="29">
        <v>2419.77</v>
      </c>
      <c r="W1064" s="29">
        <v>0</v>
      </c>
      <c r="X1064" s="29">
        <v>1</v>
      </c>
      <c r="Y1064" s="29">
        <v>24.197700000000001</v>
      </c>
    </row>
    <row r="1065" spans="2:25">
      <c r="B1065" s="111">
        <v>4</v>
      </c>
      <c r="C1065" s="111">
        <v>30233</v>
      </c>
      <c r="D1065" s="111" t="s">
        <v>758</v>
      </c>
      <c r="E1065" s="111" t="s">
        <v>448</v>
      </c>
      <c r="F1065" s="265">
        <v>42161</v>
      </c>
      <c r="G1065" s="265">
        <v>42207</v>
      </c>
      <c r="H1065" s="266">
        <f t="shared" si="73"/>
        <v>1056.31</v>
      </c>
      <c r="I1065" s="266">
        <f t="shared" si="74"/>
        <v>0</v>
      </c>
      <c r="J1065" s="295">
        <v>1</v>
      </c>
      <c r="K1065" s="266">
        <f t="shared" si="75"/>
        <v>10.5631</v>
      </c>
      <c r="L1065" s="312">
        <f t="shared" si="76"/>
        <v>46</v>
      </c>
      <c r="M1065" s="263"/>
      <c r="N1065" s="263"/>
      <c r="O1065" s="263"/>
      <c r="P1065" s="263"/>
      <c r="Q1065" s="263"/>
      <c r="R1065" s="263"/>
      <c r="S1065" s="29">
        <v>1056.31</v>
      </c>
      <c r="T1065" s="29">
        <v>0</v>
      </c>
      <c r="U1065" s="29">
        <v>190.14</v>
      </c>
      <c r="V1065" s="29">
        <v>1246.45</v>
      </c>
      <c r="W1065" s="29">
        <v>0</v>
      </c>
      <c r="X1065" s="29">
        <v>1</v>
      </c>
      <c r="Y1065" s="29">
        <v>12.464499999999999</v>
      </c>
    </row>
    <row r="1066" spans="2:25">
      <c r="B1066" s="111">
        <v>4</v>
      </c>
      <c r="C1066" s="111">
        <v>30360</v>
      </c>
      <c r="D1066" s="111" t="s">
        <v>757</v>
      </c>
      <c r="E1066" s="111" t="s">
        <v>448</v>
      </c>
      <c r="F1066" s="265">
        <v>42164</v>
      </c>
      <c r="G1066" s="265">
        <v>42202</v>
      </c>
      <c r="H1066" s="266">
        <f t="shared" si="73"/>
        <v>270.39999999999998</v>
      </c>
      <c r="I1066" s="266">
        <f t="shared" si="74"/>
        <v>0</v>
      </c>
      <c r="J1066" s="295">
        <v>1</v>
      </c>
      <c r="K1066" s="266">
        <f t="shared" si="75"/>
        <v>2.7039999999999997</v>
      </c>
      <c r="L1066" s="312">
        <f t="shared" si="76"/>
        <v>38</v>
      </c>
      <c r="M1066" s="263"/>
      <c r="N1066" s="263"/>
      <c r="O1066" s="263"/>
      <c r="P1066" s="263"/>
      <c r="Q1066" s="263"/>
      <c r="R1066" s="263"/>
      <c r="S1066" s="29">
        <v>270.39999999999998</v>
      </c>
      <c r="T1066" s="29">
        <v>0</v>
      </c>
      <c r="U1066" s="29">
        <v>48.67</v>
      </c>
      <c r="V1066" s="29">
        <v>319.07</v>
      </c>
      <c r="W1066" s="29">
        <v>0</v>
      </c>
      <c r="X1066" s="29">
        <v>1</v>
      </c>
      <c r="Y1066" s="29">
        <v>3.1907000000000001</v>
      </c>
    </row>
    <row r="1067" spans="2:25">
      <c r="B1067" s="111">
        <v>4</v>
      </c>
      <c r="C1067" s="111">
        <v>30319</v>
      </c>
      <c r="D1067" s="111" t="s">
        <v>759</v>
      </c>
      <c r="E1067" s="111" t="s">
        <v>448</v>
      </c>
      <c r="F1067" s="265">
        <v>42163</v>
      </c>
      <c r="G1067" s="265">
        <v>42216</v>
      </c>
      <c r="H1067" s="266">
        <f t="shared" si="73"/>
        <v>846.39</v>
      </c>
      <c r="I1067" s="266">
        <f t="shared" si="74"/>
        <v>146.5</v>
      </c>
      <c r="J1067" s="295">
        <v>1</v>
      </c>
      <c r="K1067" s="266">
        <f t="shared" si="75"/>
        <v>6.9988999999999999</v>
      </c>
      <c r="L1067" s="312">
        <f t="shared" si="76"/>
        <v>53</v>
      </c>
      <c r="M1067" s="263"/>
      <c r="N1067" s="263"/>
      <c r="O1067" s="263"/>
      <c r="P1067" s="263"/>
      <c r="Q1067" s="263"/>
      <c r="R1067" s="263"/>
      <c r="S1067" s="29">
        <v>846.39</v>
      </c>
      <c r="T1067" s="29">
        <v>0</v>
      </c>
      <c r="U1067" s="29">
        <v>152.35</v>
      </c>
      <c r="V1067" s="29">
        <v>998.74</v>
      </c>
      <c r="W1067" s="29">
        <v>172.87</v>
      </c>
      <c r="X1067" s="29">
        <v>1</v>
      </c>
      <c r="Y1067" s="29">
        <v>8.2586999999999993</v>
      </c>
    </row>
    <row r="1068" spans="2:25">
      <c r="B1068" s="111">
        <v>4</v>
      </c>
      <c r="C1068" s="111">
        <v>30318</v>
      </c>
      <c r="D1068" s="111" t="s">
        <v>759</v>
      </c>
      <c r="E1068" s="111" t="s">
        <v>448</v>
      </c>
      <c r="F1068" s="265">
        <v>42163</v>
      </c>
      <c r="G1068" s="265">
        <v>42216</v>
      </c>
      <c r="H1068" s="266">
        <f t="shared" si="73"/>
        <v>1356</v>
      </c>
      <c r="I1068" s="266">
        <f t="shared" si="74"/>
        <v>0</v>
      </c>
      <c r="J1068" s="295">
        <v>1</v>
      </c>
      <c r="K1068" s="266">
        <f t="shared" si="75"/>
        <v>13.56</v>
      </c>
      <c r="L1068" s="312">
        <f t="shared" si="76"/>
        <v>53</v>
      </c>
      <c r="M1068" s="263"/>
      <c r="N1068" s="263"/>
      <c r="O1068" s="263"/>
      <c r="P1068" s="263"/>
      <c r="Q1068" s="263"/>
      <c r="R1068" s="263"/>
      <c r="S1068" s="29">
        <v>1356</v>
      </c>
      <c r="T1068" s="29">
        <v>0</v>
      </c>
      <c r="U1068" s="29">
        <v>244.08</v>
      </c>
      <c r="V1068" s="29">
        <v>1600.08</v>
      </c>
      <c r="W1068" s="29">
        <v>0</v>
      </c>
      <c r="X1068" s="29">
        <v>1</v>
      </c>
      <c r="Y1068" s="29">
        <v>16.000800000000002</v>
      </c>
    </row>
    <row r="1069" spans="2:25">
      <c r="B1069" s="111">
        <v>4</v>
      </c>
      <c r="C1069" s="111">
        <v>30332</v>
      </c>
      <c r="D1069" s="111" t="s">
        <v>758</v>
      </c>
      <c r="E1069" s="111" t="s">
        <v>448</v>
      </c>
      <c r="F1069" s="265">
        <v>42164</v>
      </c>
      <c r="G1069" s="265">
        <v>42209</v>
      </c>
      <c r="H1069" s="266">
        <f t="shared" si="73"/>
        <v>1268.52</v>
      </c>
      <c r="I1069" s="266">
        <f t="shared" si="74"/>
        <v>0</v>
      </c>
      <c r="J1069" s="295">
        <v>1</v>
      </c>
      <c r="K1069" s="266">
        <f t="shared" si="75"/>
        <v>12.6852</v>
      </c>
      <c r="L1069" s="312">
        <f t="shared" si="76"/>
        <v>45</v>
      </c>
      <c r="M1069" s="263"/>
      <c r="N1069" s="263"/>
      <c r="O1069" s="263"/>
      <c r="P1069" s="263"/>
      <c r="Q1069" s="263"/>
      <c r="R1069" s="263"/>
      <c r="S1069" s="29">
        <v>1268.52</v>
      </c>
      <c r="T1069" s="29">
        <v>0</v>
      </c>
      <c r="U1069" s="29">
        <v>228.33</v>
      </c>
      <c r="V1069" s="29">
        <v>1496.85</v>
      </c>
      <c r="W1069" s="29">
        <v>0</v>
      </c>
      <c r="X1069" s="29">
        <v>1</v>
      </c>
      <c r="Y1069" s="29">
        <v>14.968500000000001</v>
      </c>
    </row>
    <row r="1070" spans="2:25">
      <c r="B1070" s="111">
        <v>4</v>
      </c>
      <c r="C1070" s="111">
        <v>30331</v>
      </c>
      <c r="D1070" s="111" t="s">
        <v>758</v>
      </c>
      <c r="E1070" s="111" t="s">
        <v>448</v>
      </c>
      <c r="F1070" s="265">
        <v>42164</v>
      </c>
      <c r="G1070" s="265">
        <v>42209</v>
      </c>
      <c r="H1070" s="266">
        <f t="shared" ref="H1070:H1101" si="77">S1070+T1070</f>
        <v>4272.93</v>
      </c>
      <c r="I1070" s="266">
        <f t="shared" ref="I1070:I1101" si="78">W1070/1.18</f>
        <v>0</v>
      </c>
      <c r="J1070" s="295">
        <v>1</v>
      </c>
      <c r="K1070" s="266">
        <f t="shared" ref="K1070:K1101" si="79">(H1070-I1070)*J1070%</f>
        <v>42.729300000000002</v>
      </c>
      <c r="L1070" s="312">
        <f t="shared" ref="L1070:L1101" si="80">G1070-F1070</f>
        <v>45</v>
      </c>
      <c r="M1070" s="263"/>
      <c r="N1070" s="263"/>
      <c r="O1070" s="263"/>
      <c r="P1070" s="263"/>
      <c r="Q1070" s="263"/>
      <c r="R1070" s="263"/>
      <c r="S1070" s="29">
        <v>4188.5</v>
      </c>
      <c r="T1070" s="29">
        <v>84.43</v>
      </c>
      <c r="U1070" s="29">
        <v>753.93</v>
      </c>
      <c r="V1070" s="29">
        <v>5026.8599999999997</v>
      </c>
      <c r="W1070" s="29">
        <v>0</v>
      </c>
      <c r="X1070" s="29">
        <v>1</v>
      </c>
      <c r="Y1070" s="29">
        <v>50.268599999999999</v>
      </c>
    </row>
    <row r="1071" spans="2:25">
      <c r="B1071" s="111">
        <v>4</v>
      </c>
      <c r="C1071" s="111">
        <v>30330</v>
      </c>
      <c r="D1071" s="111" t="s">
        <v>758</v>
      </c>
      <c r="E1071" s="111" t="s">
        <v>448</v>
      </c>
      <c r="F1071" s="265">
        <v>42164</v>
      </c>
      <c r="G1071" s="265">
        <v>42215</v>
      </c>
      <c r="H1071" s="266">
        <f t="shared" si="77"/>
        <v>7021.52</v>
      </c>
      <c r="I1071" s="266">
        <f t="shared" si="78"/>
        <v>927.89830508474586</v>
      </c>
      <c r="J1071" s="295">
        <v>1</v>
      </c>
      <c r="K1071" s="266">
        <f t="shared" si="79"/>
        <v>60.936216949152552</v>
      </c>
      <c r="L1071" s="312">
        <f t="shared" si="80"/>
        <v>51</v>
      </c>
      <c r="M1071" s="263"/>
      <c r="N1071" s="263"/>
      <c r="O1071" s="263"/>
      <c r="P1071" s="263"/>
      <c r="Q1071" s="263"/>
      <c r="R1071" s="263"/>
      <c r="S1071" s="29">
        <v>7021.52</v>
      </c>
      <c r="T1071" s="29">
        <v>0</v>
      </c>
      <c r="U1071" s="29">
        <v>1263.8699999999999</v>
      </c>
      <c r="V1071" s="29">
        <v>8285.39</v>
      </c>
      <c r="W1071" s="29">
        <v>1094.92</v>
      </c>
      <c r="X1071" s="29">
        <v>1</v>
      </c>
      <c r="Y1071" s="29">
        <v>71.904700000000005</v>
      </c>
    </row>
    <row r="1072" spans="2:25">
      <c r="B1072" s="111">
        <v>4</v>
      </c>
      <c r="C1072" s="111">
        <v>30339</v>
      </c>
      <c r="D1072" s="111" t="s">
        <v>758</v>
      </c>
      <c r="E1072" s="111" t="s">
        <v>448</v>
      </c>
      <c r="F1072" s="265">
        <v>42164</v>
      </c>
      <c r="G1072" s="265">
        <v>42209</v>
      </c>
      <c r="H1072" s="266">
        <f t="shared" si="77"/>
        <v>890.3</v>
      </c>
      <c r="I1072" s="266">
        <f t="shared" si="78"/>
        <v>0</v>
      </c>
      <c r="J1072" s="295">
        <v>1</v>
      </c>
      <c r="K1072" s="266">
        <f t="shared" si="79"/>
        <v>8.9030000000000005</v>
      </c>
      <c r="L1072" s="312">
        <f t="shared" si="80"/>
        <v>45</v>
      </c>
      <c r="M1072" s="263"/>
      <c r="N1072" s="263"/>
      <c r="O1072" s="263"/>
      <c r="P1072" s="263"/>
      <c r="Q1072" s="263"/>
      <c r="R1072" s="263"/>
      <c r="S1072" s="29">
        <v>890.3</v>
      </c>
      <c r="T1072" s="29">
        <v>0</v>
      </c>
      <c r="U1072" s="29">
        <v>160.25</v>
      </c>
      <c r="V1072" s="29">
        <v>1050.55</v>
      </c>
      <c r="W1072" s="29">
        <v>0</v>
      </c>
      <c r="X1072" s="29">
        <v>1</v>
      </c>
      <c r="Y1072" s="29">
        <v>10.5055</v>
      </c>
    </row>
    <row r="1073" spans="2:25">
      <c r="B1073" s="111">
        <v>4</v>
      </c>
      <c r="C1073" s="111">
        <v>30404</v>
      </c>
      <c r="D1073" s="111" t="s">
        <v>760</v>
      </c>
      <c r="E1073" s="111" t="s">
        <v>448</v>
      </c>
      <c r="F1073" s="265">
        <v>42164</v>
      </c>
      <c r="G1073" s="265">
        <v>42209</v>
      </c>
      <c r="H1073" s="266">
        <f t="shared" si="77"/>
        <v>490.91</v>
      </c>
      <c r="I1073" s="266">
        <f t="shared" si="78"/>
        <v>0</v>
      </c>
      <c r="J1073" s="295">
        <v>1</v>
      </c>
      <c r="K1073" s="266">
        <f t="shared" si="79"/>
        <v>4.9091000000000005</v>
      </c>
      <c r="L1073" s="312">
        <f t="shared" si="80"/>
        <v>45</v>
      </c>
      <c r="M1073" s="263"/>
      <c r="N1073" s="263"/>
      <c r="O1073" s="263"/>
      <c r="P1073" s="263"/>
      <c r="Q1073" s="263"/>
      <c r="R1073" s="263"/>
      <c r="S1073" s="29">
        <v>490.91</v>
      </c>
      <c r="T1073" s="29">
        <v>0</v>
      </c>
      <c r="U1073" s="29">
        <v>88.36</v>
      </c>
      <c r="V1073" s="29">
        <v>579.27</v>
      </c>
      <c r="W1073" s="29">
        <v>0</v>
      </c>
      <c r="X1073" s="29">
        <v>1</v>
      </c>
      <c r="Y1073" s="29">
        <v>5.7927</v>
      </c>
    </row>
    <row r="1074" spans="2:25">
      <c r="B1074" s="111">
        <v>6</v>
      </c>
      <c r="C1074" s="111">
        <v>952</v>
      </c>
      <c r="D1074" s="111" t="s">
        <v>381</v>
      </c>
      <c r="E1074" s="111" t="s">
        <v>382</v>
      </c>
      <c r="F1074" s="265">
        <v>42164</v>
      </c>
      <c r="G1074" s="265">
        <v>42216</v>
      </c>
      <c r="H1074" s="266">
        <f t="shared" si="77"/>
        <v>207.63</v>
      </c>
      <c r="I1074" s="266">
        <f t="shared" si="78"/>
        <v>0</v>
      </c>
      <c r="J1074" s="295">
        <v>1</v>
      </c>
      <c r="K1074" s="266">
        <f t="shared" si="79"/>
        <v>2.0762999999999998</v>
      </c>
      <c r="L1074" s="312">
        <f t="shared" si="80"/>
        <v>52</v>
      </c>
      <c r="M1074" s="263"/>
      <c r="N1074" s="263"/>
      <c r="O1074" s="263"/>
      <c r="P1074" s="263"/>
      <c r="Q1074" s="263"/>
      <c r="R1074" s="263"/>
      <c r="S1074" s="29">
        <v>207.63</v>
      </c>
      <c r="T1074" s="29">
        <v>0</v>
      </c>
      <c r="U1074" s="29">
        <v>37.369999999999997</v>
      </c>
      <c r="V1074" s="29">
        <v>245</v>
      </c>
      <c r="W1074" s="29">
        <v>0</v>
      </c>
      <c r="X1074" s="29">
        <v>1</v>
      </c>
      <c r="Y1074" s="29">
        <v>2.4500000000000002</v>
      </c>
    </row>
    <row r="1075" spans="2:25">
      <c r="B1075" s="111">
        <v>4</v>
      </c>
      <c r="C1075" s="111">
        <v>30430</v>
      </c>
      <c r="D1075" s="111" t="s">
        <v>758</v>
      </c>
      <c r="E1075" s="111" t="s">
        <v>448</v>
      </c>
      <c r="F1075" s="265">
        <v>42165</v>
      </c>
      <c r="G1075" s="265">
        <v>42209</v>
      </c>
      <c r="H1075" s="266">
        <f t="shared" si="77"/>
        <v>1089.8</v>
      </c>
      <c r="I1075" s="266">
        <f t="shared" si="78"/>
        <v>0</v>
      </c>
      <c r="J1075" s="295">
        <v>1</v>
      </c>
      <c r="K1075" s="266">
        <f t="shared" si="79"/>
        <v>10.898</v>
      </c>
      <c r="L1075" s="312">
        <f t="shared" si="80"/>
        <v>44</v>
      </c>
      <c r="M1075" s="263"/>
      <c r="N1075" s="263"/>
      <c r="O1075" s="263"/>
      <c r="P1075" s="263"/>
      <c r="Q1075" s="263"/>
      <c r="R1075" s="263"/>
      <c r="S1075" s="29">
        <v>1089.8</v>
      </c>
      <c r="T1075" s="29">
        <v>0</v>
      </c>
      <c r="U1075" s="29">
        <v>196.16</v>
      </c>
      <c r="V1075" s="29">
        <v>1285.96</v>
      </c>
      <c r="W1075" s="29">
        <v>0</v>
      </c>
      <c r="X1075" s="29">
        <v>1</v>
      </c>
      <c r="Y1075" s="29">
        <v>12.8596</v>
      </c>
    </row>
    <row r="1076" spans="2:25">
      <c r="B1076" s="111">
        <v>4</v>
      </c>
      <c r="C1076" s="111">
        <v>30431</v>
      </c>
      <c r="D1076" s="111" t="s">
        <v>759</v>
      </c>
      <c r="E1076" s="111" t="s">
        <v>448</v>
      </c>
      <c r="F1076" s="265">
        <v>42165</v>
      </c>
      <c r="G1076" s="265">
        <v>42216</v>
      </c>
      <c r="H1076" s="266">
        <f t="shared" si="77"/>
        <v>570.84</v>
      </c>
      <c r="I1076" s="266">
        <f t="shared" si="78"/>
        <v>0</v>
      </c>
      <c r="J1076" s="295">
        <v>1</v>
      </c>
      <c r="K1076" s="266">
        <f t="shared" si="79"/>
        <v>5.7084000000000001</v>
      </c>
      <c r="L1076" s="312">
        <f t="shared" si="80"/>
        <v>51</v>
      </c>
      <c r="M1076" s="263"/>
      <c r="N1076" s="263"/>
      <c r="O1076" s="263"/>
      <c r="P1076" s="263"/>
      <c r="Q1076" s="263"/>
      <c r="R1076" s="263"/>
      <c r="S1076" s="29">
        <v>570.84</v>
      </c>
      <c r="T1076" s="29">
        <v>0</v>
      </c>
      <c r="U1076" s="29">
        <v>102.75</v>
      </c>
      <c r="V1076" s="29">
        <v>673.59</v>
      </c>
      <c r="W1076" s="29">
        <v>0</v>
      </c>
      <c r="X1076" s="29">
        <v>1</v>
      </c>
      <c r="Y1076" s="29">
        <v>6.7359</v>
      </c>
    </row>
    <row r="1077" spans="2:25">
      <c r="B1077" s="111">
        <v>4</v>
      </c>
      <c r="C1077" s="111">
        <v>30432</v>
      </c>
      <c r="D1077" s="111" t="s">
        <v>758</v>
      </c>
      <c r="E1077" s="111" t="s">
        <v>448</v>
      </c>
      <c r="F1077" s="265">
        <v>42165</v>
      </c>
      <c r="G1077" s="265">
        <v>42209</v>
      </c>
      <c r="H1077" s="266">
        <f t="shared" si="77"/>
        <v>599.69000000000005</v>
      </c>
      <c r="I1077" s="266">
        <f t="shared" si="78"/>
        <v>0</v>
      </c>
      <c r="J1077" s="295">
        <v>1</v>
      </c>
      <c r="K1077" s="266">
        <f t="shared" si="79"/>
        <v>5.996900000000001</v>
      </c>
      <c r="L1077" s="312">
        <f t="shared" si="80"/>
        <v>44</v>
      </c>
      <c r="M1077" s="263"/>
      <c r="N1077" s="263"/>
      <c r="O1077" s="263"/>
      <c r="P1077" s="263"/>
      <c r="Q1077" s="263"/>
      <c r="R1077" s="263"/>
      <c r="S1077" s="29">
        <v>599.69000000000005</v>
      </c>
      <c r="T1077" s="29">
        <v>0</v>
      </c>
      <c r="U1077" s="29">
        <v>107.94</v>
      </c>
      <c r="V1077" s="29">
        <v>707.63</v>
      </c>
      <c r="W1077" s="29">
        <v>0</v>
      </c>
      <c r="X1077" s="29">
        <v>1</v>
      </c>
      <c r="Y1077" s="29">
        <v>7.0762999999999998</v>
      </c>
    </row>
    <row r="1078" spans="2:25">
      <c r="B1078" s="111">
        <v>4</v>
      </c>
      <c r="C1078" s="111">
        <v>30429</v>
      </c>
      <c r="D1078" s="111" t="s">
        <v>759</v>
      </c>
      <c r="E1078" s="111" t="s">
        <v>448</v>
      </c>
      <c r="F1078" s="265">
        <v>42165</v>
      </c>
      <c r="G1078" s="265">
        <v>42216</v>
      </c>
      <c r="H1078" s="266">
        <f t="shared" si="77"/>
        <v>1614.49</v>
      </c>
      <c r="I1078" s="266">
        <f t="shared" si="78"/>
        <v>0</v>
      </c>
      <c r="J1078" s="295">
        <v>1</v>
      </c>
      <c r="K1078" s="266">
        <f t="shared" si="79"/>
        <v>16.1449</v>
      </c>
      <c r="L1078" s="312">
        <f t="shared" si="80"/>
        <v>51</v>
      </c>
      <c r="M1078" s="263"/>
      <c r="N1078" s="263"/>
      <c r="O1078" s="263"/>
      <c r="P1078" s="263"/>
      <c r="Q1078" s="263"/>
      <c r="R1078" s="263"/>
      <c r="S1078" s="29">
        <v>1614.49</v>
      </c>
      <c r="T1078" s="29">
        <v>0</v>
      </c>
      <c r="U1078" s="29">
        <v>290.61</v>
      </c>
      <c r="V1078" s="29">
        <v>1905.1</v>
      </c>
      <c r="W1078" s="29">
        <v>0</v>
      </c>
      <c r="X1078" s="29">
        <v>1</v>
      </c>
      <c r="Y1078" s="29">
        <v>19.050999999999998</v>
      </c>
    </row>
    <row r="1079" spans="2:25">
      <c r="B1079" s="111">
        <v>4</v>
      </c>
      <c r="C1079" s="111">
        <v>30513</v>
      </c>
      <c r="D1079" s="111" t="s">
        <v>757</v>
      </c>
      <c r="E1079" s="111" t="s">
        <v>448</v>
      </c>
      <c r="F1079" s="265">
        <v>42166</v>
      </c>
      <c r="G1079" s="265">
        <v>42202</v>
      </c>
      <c r="H1079" s="266">
        <f t="shared" si="77"/>
        <v>312.63</v>
      </c>
      <c r="I1079" s="266">
        <f t="shared" si="78"/>
        <v>0</v>
      </c>
      <c r="J1079" s="295">
        <v>1</v>
      </c>
      <c r="K1079" s="266">
        <f t="shared" si="79"/>
        <v>3.1263000000000001</v>
      </c>
      <c r="L1079" s="312">
        <f t="shared" si="80"/>
        <v>36</v>
      </c>
      <c r="M1079" s="263"/>
      <c r="N1079" s="263"/>
      <c r="O1079" s="263"/>
      <c r="P1079" s="263"/>
      <c r="Q1079" s="263"/>
      <c r="R1079" s="263"/>
      <c r="S1079" s="29">
        <v>312.63</v>
      </c>
      <c r="T1079" s="29">
        <v>0</v>
      </c>
      <c r="U1079" s="29">
        <v>56.27</v>
      </c>
      <c r="V1079" s="29">
        <v>368.9</v>
      </c>
      <c r="W1079" s="29">
        <v>0</v>
      </c>
      <c r="X1079" s="29">
        <v>1</v>
      </c>
      <c r="Y1079" s="29">
        <v>3.6890000000000001</v>
      </c>
    </row>
    <row r="1080" spans="2:25">
      <c r="B1080" s="111">
        <v>4</v>
      </c>
      <c r="C1080" s="111">
        <v>30512</v>
      </c>
      <c r="D1080" s="111" t="s">
        <v>758</v>
      </c>
      <c r="E1080" s="111" t="s">
        <v>448</v>
      </c>
      <c r="F1080" s="265">
        <v>42166</v>
      </c>
      <c r="G1080" s="265">
        <v>42209</v>
      </c>
      <c r="H1080" s="266">
        <f t="shared" si="77"/>
        <v>2660.26</v>
      </c>
      <c r="I1080" s="266">
        <f t="shared" si="78"/>
        <v>0</v>
      </c>
      <c r="J1080" s="295">
        <v>1</v>
      </c>
      <c r="K1080" s="266">
        <f t="shared" si="79"/>
        <v>26.602600000000002</v>
      </c>
      <c r="L1080" s="312">
        <f t="shared" si="80"/>
        <v>43</v>
      </c>
      <c r="M1080" s="263"/>
      <c r="N1080" s="263"/>
      <c r="O1080" s="263"/>
      <c r="P1080" s="263"/>
      <c r="Q1080" s="263"/>
      <c r="R1080" s="263"/>
      <c r="S1080" s="29">
        <v>2660.26</v>
      </c>
      <c r="T1080" s="29">
        <v>0</v>
      </c>
      <c r="U1080" s="29">
        <v>478.85</v>
      </c>
      <c r="V1080" s="29">
        <v>3139.11</v>
      </c>
      <c r="W1080" s="29">
        <v>0</v>
      </c>
      <c r="X1080" s="29">
        <v>1</v>
      </c>
      <c r="Y1080" s="29">
        <v>31.391100000000002</v>
      </c>
    </row>
    <row r="1081" spans="2:25">
      <c r="B1081" s="111">
        <v>4</v>
      </c>
      <c r="C1081" s="111">
        <v>30511</v>
      </c>
      <c r="D1081" s="111" t="s">
        <v>759</v>
      </c>
      <c r="E1081" s="111" t="s">
        <v>448</v>
      </c>
      <c r="F1081" s="265">
        <v>42166</v>
      </c>
      <c r="G1081" s="265">
        <v>42216</v>
      </c>
      <c r="H1081" s="266">
        <f t="shared" si="77"/>
        <v>1567.69</v>
      </c>
      <c r="I1081" s="266">
        <f t="shared" si="78"/>
        <v>0</v>
      </c>
      <c r="J1081" s="295">
        <v>1</v>
      </c>
      <c r="K1081" s="266">
        <f t="shared" si="79"/>
        <v>15.676900000000002</v>
      </c>
      <c r="L1081" s="312">
        <f t="shared" si="80"/>
        <v>50</v>
      </c>
      <c r="M1081" s="263"/>
      <c r="N1081" s="263"/>
      <c r="O1081" s="263"/>
      <c r="P1081" s="263"/>
      <c r="Q1081" s="263"/>
      <c r="R1081" s="263"/>
      <c r="S1081" s="29">
        <v>1567.69</v>
      </c>
      <c r="T1081" s="29">
        <v>0</v>
      </c>
      <c r="U1081" s="29">
        <v>282.18</v>
      </c>
      <c r="V1081" s="29">
        <v>1849.87</v>
      </c>
      <c r="W1081" s="29">
        <v>0</v>
      </c>
      <c r="X1081" s="29">
        <v>1</v>
      </c>
      <c r="Y1081" s="29">
        <v>18.498699999999999</v>
      </c>
    </row>
    <row r="1082" spans="2:25">
      <c r="B1082" s="111">
        <v>4</v>
      </c>
      <c r="C1082" s="111">
        <v>30615</v>
      </c>
      <c r="D1082" s="111" t="s">
        <v>757</v>
      </c>
      <c r="E1082" s="111" t="s">
        <v>448</v>
      </c>
      <c r="F1082" s="265">
        <v>42167</v>
      </c>
      <c r="G1082" s="265">
        <v>42202</v>
      </c>
      <c r="H1082" s="266">
        <f t="shared" si="77"/>
        <v>129.08000000000001</v>
      </c>
      <c r="I1082" s="266">
        <f t="shared" si="78"/>
        <v>0</v>
      </c>
      <c r="J1082" s="295">
        <v>1</v>
      </c>
      <c r="K1082" s="266">
        <f t="shared" si="79"/>
        <v>1.2908000000000002</v>
      </c>
      <c r="L1082" s="312">
        <f t="shared" si="80"/>
        <v>35</v>
      </c>
      <c r="M1082" s="263"/>
      <c r="N1082" s="263"/>
      <c r="O1082" s="263"/>
      <c r="P1082" s="263"/>
      <c r="Q1082" s="263"/>
      <c r="R1082" s="263"/>
      <c r="S1082" s="29">
        <v>129.08000000000001</v>
      </c>
      <c r="T1082" s="29">
        <v>0</v>
      </c>
      <c r="U1082" s="29">
        <v>23.23</v>
      </c>
      <c r="V1082" s="29">
        <v>152.31</v>
      </c>
      <c r="W1082" s="29">
        <v>0</v>
      </c>
      <c r="X1082" s="29">
        <v>1</v>
      </c>
      <c r="Y1082" s="29">
        <v>1.5230999999999999</v>
      </c>
    </row>
    <row r="1083" spans="2:25">
      <c r="B1083" s="111">
        <v>4</v>
      </c>
      <c r="C1083" s="111">
        <v>30611</v>
      </c>
      <c r="D1083" s="111" t="s">
        <v>759</v>
      </c>
      <c r="E1083" s="111" t="s">
        <v>448</v>
      </c>
      <c r="F1083" s="265">
        <v>42167</v>
      </c>
      <c r="G1083" s="265">
        <v>42216</v>
      </c>
      <c r="H1083" s="266">
        <f t="shared" si="77"/>
        <v>1428.38</v>
      </c>
      <c r="I1083" s="266">
        <f t="shared" si="78"/>
        <v>0</v>
      </c>
      <c r="J1083" s="295">
        <v>1</v>
      </c>
      <c r="K1083" s="266">
        <f t="shared" si="79"/>
        <v>14.283800000000001</v>
      </c>
      <c r="L1083" s="312">
        <f t="shared" si="80"/>
        <v>49</v>
      </c>
      <c r="M1083" s="263"/>
      <c r="N1083" s="263"/>
      <c r="O1083" s="263"/>
      <c r="P1083" s="263"/>
      <c r="Q1083" s="263"/>
      <c r="R1083" s="263"/>
      <c r="S1083" s="29">
        <v>1428.38</v>
      </c>
      <c r="T1083" s="29">
        <v>0</v>
      </c>
      <c r="U1083" s="29">
        <v>257.11</v>
      </c>
      <c r="V1083" s="29">
        <v>1685.49</v>
      </c>
      <c r="W1083" s="29">
        <v>0</v>
      </c>
      <c r="X1083" s="29">
        <v>1</v>
      </c>
      <c r="Y1083" s="29">
        <v>16.854900000000001</v>
      </c>
    </row>
    <row r="1084" spans="2:25">
      <c r="B1084" s="111">
        <v>6</v>
      </c>
      <c r="C1084" s="111">
        <v>959</v>
      </c>
      <c r="D1084" s="111" t="s">
        <v>381</v>
      </c>
      <c r="E1084" s="111" t="s">
        <v>382</v>
      </c>
      <c r="F1084" s="265">
        <v>42167</v>
      </c>
      <c r="G1084" s="265">
        <v>42216</v>
      </c>
      <c r="H1084" s="266">
        <f t="shared" si="77"/>
        <v>6864.41</v>
      </c>
      <c r="I1084" s="266">
        <f t="shared" si="78"/>
        <v>0</v>
      </c>
      <c r="J1084" s="295">
        <v>1</v>
      </c>
      <c r="K1084" s="266">
        <f t="shared" si="79"/>
        <v>68.644099999999995</v>
      </c>
      <c r="L1084" s="312">
        <f t="shared" si="80"/>
        <v>49</v>
      </c>
      <c r="M1084" s="263"/>
      <c r="N1084" s="263"/>
      <c r="O1084" s="263"/>
      <c r="P1084" s="263"/>
      <c r="Q1084" s="263"/>
      <c r="R1084" s="263"/>
      <c r="S1084" s="29">
        <v>6864.41</v>
      </c>
      <c r="T1084" s="29">
        <v>0</v>
      </c>
      <c r="U1084" s="29">
        <v>1235.5899999999999</v>
      </c>
      <c r="V1084" s="29">
        <v>8100</v>
      </c>
      <c r="W1084" s="29">
        <v>0</v>
      </c>
      <c r="X1084" s="29">
        <v>1</v>
      </c>
      <c r="Y1084" s="29">
        <v>81</v>
      </c>
    </row>
    <row r="1085" spans="2:25">
      <c r="B1085" s="111">
        <v>4</v>
      </c>
      <c r="C1085" s="111">
        <v>30735</v>
      </c>
      <c r="D1085" s="111" t="s">
        <v>757</v>
      </c>
      <c r="E1085" s="111" t="s">
        <v>448</v>
      </c>
      <c r="F1085" s="265">
        <v>42168</v>
      </c>
      <c r="G1085" s="265">
        <v>42202</v>
      </c>
      <c r="H1085" s="266">
        <f t="shared" si="77"/>
        <v>236.89</v>
      </c>
      <c r="I1085" s="266">
        <f t="shared" si="78"/>
        <v>0</v>
      </c>
      <c r="J1085" s="295">
        <v>1</v>
      </c>
      <c r="K1085" s="266">
        <f t="shared" si="79"/>
        <v>2.3689</v>
      </c>
      <c r="L1085" s="312">
        <f t="shared" si="80"/>
        <v>34</v>
      </c>
      <c r="M1085" s="263"/>
      <c r="N1085" s="263"/>
      <c r="O1085" s="263"/>
      <c r="P1085" s="263"/>
      <c r="Q1085" s="263"/>
      <c r="R1085" s="263"/>
      <c r="S1085" s="29">
        <v>236.89</v>
      </c>
      <c r="T1085" s="29">
        <v>0</v>
      </c>
      <c r="U1085" s="29">
        <v>42.64</v>
      </c>
      <c r="V1085" s="29">
        <v>279.52999999999997</v>
      </c>
      <c r="W1085" s="29">
        <v>0</v>
      </c>
      <c r="X1085" s="29">
        <v>1</v>
      </c>
      <c r="Y1085" s="29">
        <v>2.7953000000000001</v>
      </c>
    </row>
    <row r="1086" spans="2:25">
      <c r="B1086" s="111">
        <v>6</v>
      </c>
      <c r="C1086" s="111">
        <v>963</v>
      </c>
      <c r="D1086" s="111" t="s">
        <v>458</v>
      </c>
      <c r="E1086" s="111" t="s">
        <v>448</v>
      </c>
      <c r="F1086" s="265">
        <v>42170</v>
      </c>
      <c r="G1086" s="265">
        <v>42186</v>
      </c>
      <c r="H1086" s="266">
        <f t="shared" si="77"/>
        <v>5006.78</v>
      </c>
      <c r="I1086" s="266">
        <f t="shared" si="78"/>
        <v>0</v>
      </c>
      <c r="J1086" s="295">
        <v>1</v>
      </c>
      <c r="K1086" s="266">
        <f t="shared" si="79"/>
        <v>50.067799999999998</v>
      </c>
      <c r="L1086" s="312">
        <f t="shared" si="80"/>
        <v>16</v>
      </c>
      <c r="M1086" s="263"/>
      <c r="N1086" s="263"/>
      <c r="O1086" s="263"/>
      <c r="P1086" s="263"/>
      <c r="Q1086" s="263"/>
      <c r="R1086" s="263"/>
      <c r="S1086" s="29">
        <v>5006.78</v>
      </c>
      <c r="T1086" s="29">
        <v>0</v>
      </c>
      <c r="U1086" s="29">
        <v>901.22</v>
      </c>
      <c r="V1086" s="29">
        <v>5908</v>
      </c>
      <c r="W1086" s="29">
        <v>0</v>
      </c>
      <c r="X1086" s="29">
        <v>1</v>
      </c>
      <c r="Y1086" s="29">
        <v>59.08</v>
      </c>
    </row>
    <row r="1087" spans="2:25">
      <c r="B1087" s="111">
        <v>4</v>
      </c>
      <c r="C1087" s="111">
        <v>30789</v>
      </c>
      <c r="D1087" s="111" t="s">
        <v>757</v>
      </c>
      <c r="E1087" s="111" t="s">
        <v>448</v>
      </c>
      <c r="F1087" s="265">
        <v>42170</v>
      </c>
      <c r="G1087" s="265">
        <v>42202</v>
      </c>
      <c r="H1087" s="266">
        <f t="shared" si="77"/>
        <v>239.18</v>
      </c>
      <c r="I1087" s="266">
        <f t="shared" si="78"/>
        <v>0</v>
      </c>
      <c r="J1087" s="295">
        <v>1</v>
      </c>
      <c r="K1087" s="266">
        <f t="shared" si="79"/>
        <v>2.3917999999999999</v>
      </c>
      <c r="L1087" s="312">
        <f t="shared" si="80"/>
        <v>32</v>
      </c>
      <c r="M1087" s="263"/>
      <c r="N1087" s="263"/>
      <c r="O1087" s="263"/>
      <c r="P1087" s="263"/>
      <c r="Q1087" s="263"/>
      <c r="R1087" s="263"/>
      <c r="S1087" s="29">
        <v>239.18</v>
      </c>
      <c r="T1087" s="29">
        <v>0</v>
      </c>
      <c r="U1087" s="29">
        <v>43.05</v>
      </c>
      <c r="V1087" s="29">
        <v>282.23</v>
      </c>
      <c r="W1087" s="29">
        <v>0</v>
      </c>
      <c r="X1087" s="29">
        <v>1</v>
      </c>
      <c r="Y1087" s="29">
        <v>2.8222999999999998</v>
      </c>
    </row>
    <row r="1088" spans="2:25">
      <c r="B1088" s="111">
        <v>4</v>
      </c>
      <c r="C1088" s="111">
        <v>30782</v>
      </c>
      <c r="D1088" s="111" t="s">
        <v>757</v>
      </c>
      <c r="E1088" s="111" t="s">
        <v>448</v>
      </c>
      <c r="F1088" s="265">
        <v>42170</v>
      </c>
      <c r="G1088" s="265">
        <v>42202</v>
      </c>
      <c r="H1088" s="266">
        <f t="shared" si="77"/>
        <v>458.42</v>
      </c>
      <c r="I1088" s="266">
        <f t="shared" si="78"/>
        <v>0</v>
      </c>
      <c r="J1088" s="295">
        <v>1</v>
      </c>
      <c r="K1088" s="266">
        <f t="shared" si="79"/>
        <v>4.5842000000000001</v>
      </c>
      <c r="L1088" s="312">
        <f t="shared" si="80"/>
        <v>32</v>
      </c>
      <c r="M1088" s="263"/>
      <c r="N1088" s="263"/>
      <c r="O1088" s="263"/>
      <c r="P1088" s="263"/>
      <c r="Q1088" s="263"/>
      <c r="R1088" s="263"/>
      <c r="S1088" s="29">
        <v>458.42</v>
      </c>
      <c r="T1088" s="29">
        <v>0</v>
      </c>
      <c r="U1088" s="29">
        <v>82.52</v>
      </c>
      <c r="V1088" s="29">
        <v>540.94000000000005</v>
      </c>
      <c r="W1088" s="29">
        <v>0</v>
      </c>
      <c r="X1088" s="29">
        <v>1</v>
      </c>
      <c r="Y1088" s="29">
        <v>5.4093999999999998</v>
      </c>
    </row>
    <row r="1089" spans="2:25">
      <c r="B1089" s="111">
        <v>4</v>
      </c>
      <c r="C1089" s="111">
        <v>30900</v>
      </c>
      <c r="D1089" s="111" t="s">
        <v>764</v>
      </c>
      <c r="E1089" s="111" t="s">
        <v>448</v>
      </c>
      <c r="F1089" s="265">
        <v>42171</v>
      </c>
      <c r="G1089" s="265">
        <v>42192</v>
      </c>
      <c r="H1089" s="266">
        <f t="shared" si="77"/>
        <v>549.4</v>
      </c>
      <c r="I1089" s="266">
        <f t="shared" si="78"/>
        <v>0</v>
      </c>
      <c r="J1089" s="295">
        <v>1</v>
      </c>
      <c r="K1089" s="266">
        <f t="shared" si="79"/>
        <v>5.4939999999999998</v>
      </c>
      <c r="L1089" s="312">
        <f t="shared" si="80"/>
        <v>21</v>
      </c>
      <c r="M1089" s="263"/>
      <c r="N1089" s="263"/>
      <c r="O1089" s="263"/>
      <c r="P1089" s="263"/>
      <c r="Q1089" s="263"/>
      <c r="R1089" s="263"/>
      <c r="S1089" s="29">
        <v>549.4</v>
      </c>
      <c r="T1089" s="29">
        <v>0</v>
      </c>
      <c r="U1089" s="29">
        <v>98.89</v>
      </c>
      <c r="V1089" s="29">
        <v>648.29</v>
      </c>
      <c r="W1089" s="29">
        <v>0</v>
      </c>
      <c r="X1089" s="29">
        <v>1</v>
      </c>
      <c r="Y1089" s="29">
        <v>6.4828999999999999</v>
      </c>
    </row>
    <row r="1090" spans="2:25">
      <c r="B1090" s="111">
        <v>4</v>
      </c>
      <c r="C1090" s="270">
        <v>30957</v>
      </c>
      <c r="D1090" s="111" t="s">
        <v>772</v>
      </c>
      <c r="E1090" s="111" t="s">
        <v>448</v>
      </c>
      <c r="F1090" s="265">
        <v>42172</v>
      </c>
      <c r="G1090" s="265">
        <v>42192</v>
      </c>
      <c r="H1090" s="266">
        <f t="shared" si="77"/>
        <v>6780</v>
      </c>
      <c r="I1090" s="266">
        <f t="shared" si="78"/>
        <v>0</v>
      </c>
      <c r="J1090" s="295">
        <v>0.5</v>
      </c>
      <c r="K1090" s="266">
        <f t="shared" si="79"/>
        <v>33.9</v>
      </c>
      <c r="L1090" s="312">
        <f t="shared" si="80"/>
        <v>20</v>
      </c>
      <c r="M1090" s="263"/>
      <c r="N1090" s="263"/>
      <c r="O1090" s="263"/>
      <c r="P1090" s="263"/>
      <c r="Q1090" s="263"/>
      <c r="R1090" s="263"/>
      <c r="S1090" s="29">
        <v>6780</v>
      </c>
      <c r="T1090" s="29">
        <v>0</v>
      </c>
      <c r="U1090" s="29">
        <v>1220.4000000000001</v>
      </c>
      <c r="V1090" s="29">
        <v>8000.4</v>
      </c>
      <c r="W1090" s="29">
        <v>0</v>
      </c>
      <c r="X1090" s="29">
        <v>1</v>
      </c>
      <c r="Y1090" s="29">
        <v>80.004000000000005</v>
      </c>
    </row>
    <row r="1091" spans="2:25">
      <c r="B1091" s="111">
        <v>4</v>
      </c>
      <c r="C1091" s="111">
        <v>31150</v>
      </c>
      <c r="D1091" s="111" t="s">
        <v>760</v>
      </c>
      <c r="E1091" s="111" t="s">
        <v>448</v>
      </c>
      <c r="F1091" s="265">
        <v>42174</v>
      </c>
      <c r="G1091" s="265">
        <v>42209</v>
      </c>
      <c r="H1091" s="266">
        <f t="shared" si="77"/>
        <v>201.41</v>
      </c>
      <c r="I1091" s="266">
        <f t="shared" si="78"/>
        <v>0</v>
      </c>
      <c r="J1091" s="295">
        <v>1</v>
      </c>
      <c r="K1091" s="266">
        <f t="shared" si="79"/>
        <v>2.0141</v>
      </c>
      <c r="L1091" s="312">
        <f t="shared" si="80"/>
        <v>35</v>
      </c>
      <c r="M1091" s="263"/>
      <c r="N1091" s="263"/>
      <c r="O1091" s="263"/>
      <c r="P1091" s="263"/>
      <c r="Q1091" s="263"/>
      <c r="R1091" s="263"/>
      <c r="S1091" s="29">
        <v>201.41</v>
      </c>
      <c r="T1091" s="29">
        <v>0</v>
      </c>
      <c r="U1091" s="29">
        <v>36.25</v>
      </c>
      <c r="V1091" s="29">
        <v>237.66</v>
      </c>
      <c r="W1091" s="29">
        <v>0</v>
      </c>
      <c r="X1091" s="29">
        <v>1</v>
      </c>
      <c r="Y1091" s="29">
        <v>2.3765999999999998</v>
      </c>
    </row>
    <row r="1092" spans="2:25">
      <c r="B1092" s="111">
        <v>4</v>
      </c>
      <c r="C1092" s="270">
        <v>31304</v>
      </c>
      <c r="D1092" s="111" t="s">
        <v>761</v>
      </c>
      <c r="E1092" s="111" t="s">
        <v>448</v>
      </c>
      <c r="F1092" s="265">
        <v>42177</v>
      </c>
      <c r="G1092" s="265">
        <v>42192</v>
      </c>
      <c r="H1092" s="266">
        <f t="shared" si="77"/>
        <v>9492</v>
      </c>
      <c r="I1092" s="266">
        <f t="shared" si="78"/>
        <v>0</v>
      </c>
      <c r="J1092" s="295">
        <v>0.5</v>
      </c>
      <c r="K1092" s="266">
        <f t="shared" si="79"/>
        <v>47.46</v>
      </c>
      <c r="L1092" s="312">
        <f t="shared" si="80"/>
        <v>15</v>
      </c>
      <c r="M1092" s="263"/>
      <c r="N1092" s="263"/>
      <c r="O1092" s="263"/>
      <c r="P1092" s="263"/>
      <c r="Q1092" s="263"/>
      <c r="R1092" s="263"/>
      <c r="S1092" s="29">
        <v>9492</v>
      </c>
      <c r="T1092" s="29">
        <v>0</v>
      </c>
      <c r="U1092" s="29">
        <v>1708.56</v>
      </c>
      <c r="V1092" s="29">
        <v>11200.56</v>
      </c>
      <c r="W1092" s="29">
        <v>0</v>
      </c>
      <c r="X1092" s="29">
        <v>1</v>
      </c>
      <c r="Y1092" s="29">
        <v>112.0056</v>
      </c>
    </row>
    <row r="1093" spans="2:25">
      <c r="B1093" s="111">
        <v>4</v>
      </c>
      <c r="C1093" s="270">
        <v>31276</v>
      </c>
      <c r="D1093" s="111" t="s">
        <v>772</v>
      </c>
      <c r="E1093" s="111" t="s">
        <v>448</v>
      </c>
      <c r="F1093" s="265">
        <v>42177</v>
      </c>
      <c r="G1093" s="265">
        <v>42192</v>
      </c>
      <c r="H1093" s="266">
        <f t="shared" si="77"/>
        <v>20340</v>
      </c>
      <c r="I1093" s="266">
        <f t="shared" si="78"/>
        <v>0</v>
      </c>
      <c r="J1093" s="295">
        <v>0.5</v>
      </c>
      <c r="K1093" s="266">
        <f t="shared" si="79"/>
        <v>101.7</v>
      </c>
      <c r="L1093" s="312">
        <f t="shared" si="80"/>
        <v>15</v>
      </c>
      <c r="M1093" s="263"/>
      <c r="N1093" s="263"/>
      <c r="O1093" s="263"/>
      <c r="P1093" s="263"/>
      <c r="Q1093" s="263"/>
      <c r="R1093" s="263"/>
      <c r="S1093" s="29">
        <v>20340</v>
      </c>
      <c r="T1093" s="29">
        <v>0</v>
      </c>
      <c r="U1093" s="29">
        <v>3661.2</v>
      </c>
      <c r="V1093" s="29">
        <v>24001.200000000001</v>
      </c>
      <c r="W1093" s="29">
        <v>0</v>
      </c>
      <c r="X1093" s="29">
        <v>1</v>
      </c>
      <c r="Y1093" s="29">
        <v>240.012</v>
      </c>
    </row>
    <row r="1094" spans="2:25">
      <c r="B1094" s="111">
        <v>4</v>
      </c>
      <c r="C1094" s="111">
        <v>31561</v>
      </c>
      <c r="D1094" s="111" t="s">
        <v>760</v>
      </c>
      <c r="E1094" s="111" t="s">
        <v>448</v>
      </c>
      <c r="F1094" s="265">
        <v>42180</v>
      </c>
      <c r="G1094" s="265">
        <v>42209</v>
      </c>
      <c r="H1094" s="266">
        <f t="shared" si="77"/>
        <v>174.59</v>
      </c>
      <c r="I1094" s="266">
        <f t="shared" si="78"/>
        <v>0</v>
      </c>
      <c r="J1094" s="295">
        <v>1</v>
      </c>
      <c r="K1094" s="266">
        <f t="shared" si="79"/>
        <v>1.7459</v>
      </c>
      <c r="L1094" s="312">
        <f t="shared" si="80"/>
        <v>29</v>
      </c>
      <c r="M1094" s="263"/>
      <c r="N1094" s="263"/>
      <c r="O1094" s="263"/>
      <c r="P1094" s="263"/>
      <c r="Q1094" s="263"/>
      <c r="R1094" s="263"/>
      <c r="S1094" s="29">
        <v>174.59</v>
      </c>
      <c r="T1094" s="29">
        <v>0</v>
      </c>
      <c r="U1094" s="29">
        <v>31.43</v>
      </c>
      <c r="V1094" s="29">
        <v>206.02</v>
      </c>
      <c r="W1094" s="29">
        <v>0</v>
      </c>
      <c r="X1094" s="29">
        <v>1</v>
      </c>
      <c r="Y1094" s="29">
        <v>2.0602</v>
      </c>
    </row>
    <row r="1095" spans="2:25">
      <c r="B1095" s="111">
        <v>4</v>
      </c>
      <c r="C1095" s="270">
        <v>31723</v>
      </c>
      <c r="D1095" s="111" t="s">
        <v>764</v>
      </c>
      <c r="E1095" s="111" t="s">
        <v>448</v>
      </c>
      <c r="F1095" s="265">
        <v>42181</v>
      </c>
      <c r="G1095" s="265">
        <v>42192</v>
      </c>
      <c r="H1095" s="266">
        <f t="shared" si="77"/>
        <v>3552.72</v>
      </c>
      <c r="I1095" s="266">
        <f t="shared" si="78"/>
        <v>0</v>
      </c>
      <c r="J1095" s="295">
        <v>0.5</v>
      </c>
      <c r="K1095" s="266">
        <f t="shared" si="79"/>
        <v>17.7636</v>
      </c>
      <c r="L1095" s="312">
        <f t="shared" si="80"/>
        <v>11</v>
      </c>
      <c r="M1095" s="263"/>
      <c r="N1095" s="263"/>
      <c r="O1095" s="263"/>
      <c r="P1095" s="263"/>
      <c r="Q1095" s="263"/>
      <c r="R1095" s="263"/>
      <c r="S1095" s="29">
        <v>3552.72</v>
      </c>
      <c r="T1095" s="29">
        <v>0</v>
      </c>
      <c r="U1095" s="29">
        <v>639.49</v>
      </c>
      <c r="V1095" s="29">
        <v>4192.21</v>
      </c>
      <c r="W1095" s="29">
        <v>0</v>
      </c>
      <c r="X1095" s="29">
        <v>1</v>
      </c>
      <c r="Y1095" s="29">
        <v>41.9221</v>
      </c>
    </row>
    <row r="1096" spans="2:25">
      <c r="B1096" s="111">
        <v>6</v>
      </c>
      <c r="C1096" s="111">
        <v>979</v>
      </c>
      <c r="D1096" s="111" t="s">
        <v>381</v>
      </c>
      <c r="E1096" s="111" t="s">
        <v>382</v>
      </c>
      <c r="F1096" s="265">
        <v>42181</v>
      </c>
      <c r="G1096" s="265">
        <v>42205</v>
      </c>
      <c r="H1096" s="266">
        <f t="shared" si="77"/>
        <v>9687.6299999999992</v>
      </c>
      <c r="I1096" s="266">
        <f t="shared" si="78"/>
        <v>0</v>
      </c>
      <c r="J1096" s="295">
        <v>1</v>
      </c>
      <c r="K1096" s="266">
        <f t="shared" si="79"/>
        <v>96.876300000000001</v>
      </c>
      <c r="L1096" s="312">
        <f t="shared" si="80"/>
        <v>24</v>
      </c>
      <c r="M1096" s="263"/>
      <c r="N1096" s="263"/>
      <c r="O1096" s="263"/>
      <c r="P1096" s="263"/>
      <c r="Q1096" s="263"/>
      <c r="R1096" s="263"/>
      <c r="S1096" s="29">
        <v>9687.6299999999992</v>
      </c>
      <c r="T1096" s="29">
        <v>0</v>
      </c>
      <c r="U1096" s="29">
        <v>1743.77</v>
      </c>
      <c r="V1096" s="29">
        <v>11431.4</v>
      </c>
      <c r="W1096" s="29">
        <v>0</v>
      </c>
      <c r="X1096" s="29">
        <v>1</v>
      </c>
      <c r="Y1096" s="29">
        <v>114.31399999999999</v>
      </c>
    </row>
    <row r="1097" spans="2:25">
      <c r="B1097" s="111">
        <v>6</v>
      </c>
      <c r="C1097" s="111">
        <v>982</v>
      </c>
      <c r="D1097" s="111" t="s">
        <v>381</v>
      </c>
      <c r="E1097" s="111" t="s">
        <v>382</v>
      </c>
      <c r="F1097" s="265">
        <v>42182</v>
      </c>
      <c r="G1097" s="265">
        <v>42205</v>
      </c>
      <c r="H1097" s="266">
        <f t="shared" si="77"/>
        <v>9716.9500000000007</v>
      </c>
      <c r="I1097" s="266">
        <f t="shared" si="78"/>
        <v>0</v>
      </c>
      <c r="J1097" s="295">
        <v>1</v>
      </c>
      <c r="K1097" s="266">
        <f t="shared" si="79"/>
        <v>97.169500000000014</v>
      </c>
      <c r="L1097" s="312">
        <f t="shared" si="80"/>
        <v>23</v>
      </c>
      <c r="M1097" s="263"/>
      <c r="N1097" s="263"/>
      <c r="O1097" s="263"/>
      <c r="P1097" s="263"/>
      <c r="Q1097" s="263"/>
      <c r="R1097" s="263"/>
      <c r="S1097" s="29">
        <v>9716.9500000000007</v>
      </c>
      <c r="T1097" s="29">
        <v>0</v>
      </c>
      <c r="U1097" s="29">
        <v>1749.05</v>
      </c>
      <c r="V1097" s="29">
        <v>11466</v>
      </c>
      <c r="W1097" s="29">
        <v>0</v>
      </c>
      <c r="X1097" s="29">
        <v>1</v>
      </c>
      <c r="Y1097" s="29">
        <v>114.66</v>
      </c>
    </row>
    <row r="1098" spans="2:25">
      <c r="B1098" s="111">
        <v>4</v>
      </c>
      <c r="C1098" s="270">
        <v>31853</v>
      </c>
      <c r="D1098" s="111" t="s">
        <v>761</v>
      </c>
      <c r="E1098" s="111" t="s">
        <v>448</v>
      </c>
      <c r="F1098" s="265">
        <v>42185</v>
      </c>
      <c r="G1098" s="265">
        <v>42192</v>
      </c>
      <c r="H1098" s="266">
        <f t="shared" si="77"/>
        <v>13560</v>
      </c>
      <c r="I1098" s="266">
        <f t="shared" si="78"/>
        <v>0</v>
      </c>
      <c r="J1098" s="295">
        <v>0.5</v>
      </c>
      <c r="K1098" s="266">
        <f t="shared" si="79"/>
        <v>67.8</v>
      </c>
      <c r="L1098" s="312">
        <f t="shared" si="80"/>
        <v>7</v>
      </c>
      <c r="M1098" s="263"/>
      <c r="N1098" s="263"/>
      <c r="O1098" s="263"/>
      <c r="P1098" s="263"/>
      <c r="Q1098" s="263"/>
      <c r="R1098" s="263"/>
      <c r="S1098" s="29">
        <v>13560</v>
      </c>
      <c r="T1098" s="29">
        <v>0</v>
      </c>
      <c r="U1098" s="29">
        <v>2440.8000000000002</v>
      </c>
      <c r="V1098" s="29">
        <v>16000.8</v>
      </c>
      <c r="W1098" s="29">
        <v>0</v>
      </c>
      <c r="X1098" s="29">
        <v>1</v>
      </c>
      <c r="Y1098" s="29">
        <v>160.00800000000001</v>
      </c>
    </row>
    <row r="1099" spans="2:25">
      <c r="B1099" s="111">
        <v>4</v>
      </c>
      <c r="C1099" s="270">
        <v>32012</v>
      </c>
      <c r="D1099" s="111" t="s">
        <v>764</v>
      </c>
      <c r="E1099" s="111" t="s">
        <v>448</v>
      </c>
      <c r="F1099" s="265">
        <v>42185</v>
      </c>
      <c r="G1099" s="265">
        <v>42192</v>
      </c>
      <c r="H1099" s="266">
        <f t="shared" si="77"/>
        <v>20340</v>
      </c>
      <c r="I1099" s="266">
        <f t="shared" si="78"/>
        <v>0</v>
      </c>
      <c r="J1099" s="295">
        <v>0.5</v>
      </c>
      <c r="K1099" s="266">
        <f t="shared" si="79"/>
        <v>101.7</v>
      </c>
      <c r="L1099" s="312">
        <f t="shared" si="80"/>
        <v>7</v>
      </c>
      <c r="M1099" s="263"/>
      <c r="N1099" s="263"/>
      <c r="O1099" s="263"/>
      <c r="P1099" s="263"/>
      <c r="Q1099" s="263"/>
      <c r="R1099" s="263"/>
      <c r="S1099" s="29">
        <v>20340</v>
      </c>
      <c r="T1099" s="29">
        <v>0</v>
      </c>
      <c r="U1099" s="29">
        <v>3661.2</v>
      </c>
      <c r="V1099" s="29">
        <v>24001.200000000001</v>
      </c>
      <c r="W1099" s="29">
        <v>0</v>
      </c>
      <c r="X1099" s="29">
        <v>1</v>
      </c>
      <c r="Y1099" s="29">
        <v>240.012</v>
      </c>
    </row>
    <row r="1100" spans="2:25">
      <c r="B1100" s="111">
        <v>4</v>
      </c>
      <c r="C1100" s="111">
        <v>919</v>
      </c>
      <c r="D1100" s="111" t="s">
        <v>762</v>
      </c>
      <c r="E1100" s="111" t="s">
        <v>448</v>
      </c>
      <c r="F1100" s="265">
        <v>42186</v>
      </c>
      <c r="G1100" s="265">
        <v>42187</v>
      </c>
      <c r="H1100" s="266">
        <f t="shared" si="77"/>
        <v>458.53</v>
      </c>
      <c r="I1100" s="266">
        <f t="shared" si="78"/>
        <v>0</v>
      </c>
      <c r="J1100" s="295">
        <v>1</v>
      </c>
      <c r="K1100" s="266">
        <f t="shared" si="79"/>
        <v>4.5853000000000002</v>
      </c>
      <c r="L1100" s="312">
        <f t="shared" si="80"/>
        <v>1</v>
      </c>
      <c r="M1100" s="263"/>
      <c r="N1100" s="263"/>
      <c r="O1100" s="263"/>
      <c r="P1100" s="263"/>
      <c r="Q1100" s="263"/>
      <c r="R1100" s="263"/>
      <c r="S1100" s="29">
        <v>458.53</v>
      </c>
      <c r="T1100" s="29">
        <v>0</v>
      </c>
      <c r="U1100" s="29">
        <v>82.54</v>
      </c>
      <c r="V1100" s="29">
        <v>541.07000000000005</v>
      </c>
      <c r="W1100" s="29">
        <v>0</v>
      </c>
      <c r="X1100" s="29">
        <v>1</v>
      </c>
      <c r="Y1100" s="29">
        <v>5.4107000000000003</v>
      </c>
    </row>
    <row r="1101" spans="2:25">
      <c r="B1101" s="111">
        <v>6</v>
      </c>
      <c r="C1101" s="111">
        <v>990</v>
      </c>
      <c r="D1101" s="111" t="s">
        <v>381</v>
      </c>
      <c r="E1101" s="111" t="s">
        <v>382</v>
      </c>
      <c r="F1101" s="265">
        <v>42187</v>
      </c>
      <c r="G1101" s="265">
        <v>42205</v>
      </c>
      <c r="H1101" s="266">
        <f t="shared" si="77"/>
        <v>4287.97</v>
      </c>
      <c r="I1101" s="266">
        <f t="shared" si="78"/>
        <v>0</v>
      </c>
      <c r="J1101" s="295">
        <v>1</v>
      </c>
      <c r="K1101" s="266">
        <f t="shared" si="79"/>
        <v>42.879700000000007</v>
      </c>
      <c r="L1101" s="312">
        <f t="shared" si="80"/>
        <v>18</v>
      </c>
      <c r="M1101" s="263"/>
      <c r="N1101" s="263"/>
      <c r="O1101" s="263"/>
      <c r="P1101" s="263"/>
      <c r="Q1101" s="263"/>
      <c r="R1101" s="263"/>
      <c r="S1101" s="29">
        <v>4287.97</v>
      </c>
      <c r="T1101" s="29">
        <v>0</v>
      </c>
      <c r="U1101" s="29">
        <v>771.83</v>
      </c>
      <c r="V1101" s="29">
        <v>5059.8</v>
      </c>
      <c r="W1101" s="29">
        <v>0</v>
      </c>
      <c r="X1101" s="29">
        <v>1</v>
      </c>
      <c r="Y1101" s="29">
        <v>50.597999999999999</v>
      </c>
    </row>
    <row r="1102" spans="2:25">
      <c r="B1102" s="111">
        <v>4</v>
      </c>
      <c r="C1102" s="270">
        <v>32409</v>
      </c>
      <c r="D1102" s="111" t="s">
        <v>772</v>
      </c>
      <c r="E1102" s="111" t="s">
        <v>448</v>
      </c>
      <c r="F1102" s="265">
        <v>42191</v>
      </c>
      <c r="G1102" s="265">
        <v>42208</v>
      </c>
      <c r="H1102" s="266">
        <f t="shared" ref="H1102:H1107" si="81">S1102+T1102</f>
        <v>8136</v>
      </c>
      <c r="I1102" s="266">
        <f t="shared" ref="I1102:I1107" si="82">W1102/1.18</f>
        <v>0</v>
      </c>
      <c r="J1102" s="295">
        <v>0.5</v>
      </c>
      <c r="K1102" s="266">
        <f t="shared" ref="K1102:K1107" si="83">(H1102-I1102)*J1102%</f>
        <v>40.68</v>
      </c>
      <c r="L1102" s="312">
        <f t="shared" ref="L1102:L1107" si="84">G1102-F1102</f>
        <v>17</v>
      </c>
      <c r="M1102" s="263"/>
      <c r="N1102" s="263"/>
      <c r="O1102" s="263"/>
      <c r="P1102" s="263"/>
      <c r="Q1102" s="263"/>
      <c r="R1102" s="263"/>
      <c r="S1102" s="29">
        <v>8136</v>
      </c>
      <c r="T1102" s="29">
        <v>0</v>
      </c>
      <c r="U1102" s="29">
        <v>1464.48</v>
      </c>
      <c r="V1102" s="29">
        <v>9600.48</v>
      </c>
      <c r="W1102" s="29">
        <v>0</v>
      </c>
      <c r="X1102" s="29">
        <v>1</v>
      </c>
      <c r="Y1102" s="29">
        <v>96.004800000000003</v>
      </c>
    </row>
    <row r="1103" spans="2:25">
      <c r="B1103" s="111">
        <v>4</v>
      </c>
      <c r="C1103" s="270">
        <v>31720</v>
      </c>
      <c r="D1103" s="111" t="s">
        <v>764</v>
      </c>
      <c r="E1103" s="111" t="s">
        <v>448</v>
      </c>
      <c r="F1103" s="265">
        <v>42181</v>
      </c>
      <c r="G1103" s="265">
        <v>42192</v>
      </c>
      <c r="H1103" s="266">
        <f t="shared" si="81"/>
        <v>16787.28</v>
      </c>
      <c r="I1103" s="266">
        <f t="shared" si="82"/>
        <v>0</v>
      </c>
      <c r="J1103" s="295">
        <v>0.5</v>
      </c>
      <c r="K1103" s="266">
        <f t="shared" si="83"/>
        <v>83.936399999999992</v>
      </c>
      <c r="L1103" s="312">
        <f t="shared" si="84"/>
        <v>11</v>
      </c>
      <c r="M1103" s="263"/>
      <c r="N1103" s="263"/>
      <c r="O1103" s="263"/>
      <c r="P1103" s="263"/>
      <c r="Q1103" s="263"/>
      <c r="R1103" s="263"/>
      <c r="S1103" s="29">
        <v>16787.28</v>
      </c>
      <c r="T1103" s="29">
        <v>0</v>
      </c>
      <c r="U1103" s="29">
        <v>3021.71</v>
      </c>
      <c r="V1103" s="29">
        <v>19808.990000000002</v>
      </c>
      <c r="W1103" s="29">
        <v>0</v>
      </c>
      <c r="X1103" s="29">
        <v>1</v>
      </c>
      <c r="Y1103" s="29">
        <v>198.0899</v>
      </c>
    </row>
    <row r="1104" spans="2:25">
      <c r="B1104" s="111">
        <v>4</v>
      </c>
      <c r="C1104" s="111">
        <v>922</v>
      </c>
      <c r="D1104" s="111" t="s">
        <v>762</v>
      </c>
      <c r="E1104" s="111" t="s">
        <v>448</v>
      </c>
      <c r="F1104" s="265">
        <v>42193</v>
      </c>
      <c r="G1104" s="265">
        <v>42198</v>
      </c>
      <c r="H1104" s="266">
        <f t="shared" si="81"/>
        <v>430.27</v>
      </c>
      <c r="I1104" s="266">
        <f t="shared" si="82"/>
        <v>0</v>
      </c>
      <c r="J1104" s="295">
        <v>1</v>
      </c>
      <c r="K1104" s="266">
        <f t="shared" si="83"/>
        <v>4.3026999999999997</v>
      </c>
      <c r="L1104" s="312">
        <f t="shared" si="84"/>
        <v>5</v>
      </c>
      <c r="M1104" s="263"/>
      <c r="N1104" s="263"/>
      <c r="O1104" s="263"/>
      <c r="P1104" s="263"/>
      <c r="Q1104" s="263"/>
      <c r="R1104" s="263"/>
      <c r="S1104" s="29">
        <v>430.27</v>
      </c>
      <c r="T1104" s="29">
        <v>0</v>
      </c>
      <c r="U1104" s="29">
        <v>77.45</v>
      </c>
      <c r="V1104" s="29">
        <v>507.72</v>
      </c>
      <c r="W1104" s="29">
        <v>0</v>
      </c>
      <c r="X1104" s="29">
        <v>1</v>
      </c>
      <c r="Y1104" s="29">
        <v>5.0772000000000004</v>
      </c>
    </row>
    <row r="1105" spans="2:25">
      <c r="B1105" s="111">
        <v>4</v>
      </c>
      <c r="C1105" s="270">
        <v>32743</v>
      </c>
      <c r="D1105" s="111" t="s">
        <v>772</v>
      </c>
      <c r="E1105" s="111" t="s">
        <v>448</v>
      </c>
      <c r="F1105" s="265">
        <v>42194</v>
      </c>
      <c r="G1105" s="265">
        <v>42208</v>
      </c>
      <c r="H1105" s="266">
        <f t="shared" si="81"/>
        <v>2712</v>
      </c>
      <c r="I1105" s="266">
        <f t="shared" si="82"/>
        <v>0</v>
      </c>
      <c r="J1105" s="295">
        <v>0.5</v>
      </c>
      <c r="K1105" s="266">
        <f t="shared" si="83"/>
        <v>13.56</v>
      </c>
      <c r="L1105" s="312">
        <f t="shared" si="84"/>
        <v>14</v>
      </c>
      <c r="M1105" s="263"/>
      <c r="N1105" s="263"/>
      <c r="O1105" s="263"/>
      <c r="P1105" s="263"/>
      <c r="Q1105" s="263"/>
      <c r="R1105" s="263"/>
      <c r="S1105" s="29">
        <v>2712</v>
      </c>
      <c r="T1105" s="29">
        <v>0</v>
      </c>
      <c r="U1105" s="29">
        <v>488.16</v>
      </c>
      <c r="V1105" s="29">
        <v>3200.16</v>
      </c>
      <c r="W1105" s="29">
        <v>0</v>
      </c>
      <c r="X1105" s="29">
        <v>1</v>
      </c>
      <c r="Y1105" s="29">
        <v>32.001600000000003</v>
      </c>
    </row>
    <row r="1106" spans="2:25">
      <c r="B1106" s="111">
        <v>4</v>
      </c>
      <c r="C1106" s="270">
        <v>33034</v>
      </c>
      <c r="D1106" s="111" t="s">
        <v>772</v>
      </c>
      <c r="E1106" s="111" t="s">
        <v>448</v>
      </c>
      <c r="F1106" s="265">
        <v>42198</v>
      </c>
      <c r="G1106" s="265">
        <v>42208</v>
      </c>
      <c r="H1106" s="266">
        <f t="shared" si="81"/>
        <v>26170.799999999999</v>
      </c>
      <c r="I1106" s="266">
        <f t="shared" si="82"/>
        <v>0</v>
      </c>
      <c r="J1106" s="295">
        <v>0.5</v>
      </c>
      <c r="K1106" s="266">
        <f t="shared" si="83"/>
        <v>130.85399999999998</v>
      </c>
      <c r="L1106" s="312">
        <f t="shared" si="84"/>
        <v>10</v>
      </c>
      <c r="M1106" s="263"/>
      <c r="N1106" s="263"/>
      <c r="O1106" s="263"/>
      <c r="P1106" s="263"/>
      <c r="Q1106" s="263"/>
      <c r="R1106" s="263"/>
      <c r="S1106" s="29">
        <v>26170.799999999999</v>
      </c>
      <c r="T1106" s="29">
        <v>0</v>
      </c>
      <c r="U1106" s="29">
        <v>4710.74</v>
      </c>
      <c r="V1106" s="29">
        <v>30881.54</v>
      </c>
      <c r="W1106" s="29">
        <v>0</v>
      </c>
      <c r="X1106" s="29">
        <v>1</v>
      </c>
      <c r="Y1106" s="29">
        <v>308.81540000000001</v>
      </c>
    </row>
    <row r="1107" spans="2:25">
      <c r="B1107" s="111">
        <v>4</v>
      </c>
      <c r="C1107" s="270">
        <v>33031</v>
      </c>
      <c r="D1107" s="111" t="s">
        <v>772</v>
      </c>
      <c r="E1107" s="111" t="s">
        <v>448</v>
      </c>
      <c r="F1107" s="265">
        <v>42198</v>
      </c>
      <c r="G1107" s="265">
        <v>42208</v>
      </c>
      <c r="H1107" s="266">
        <f t="shared" si="81"/>
        <v>12204</v>
      </c>
      <c r="I1107" s="266">
        <f t="shared" si="82"/>
        <v>0</v>
      </c>
      <c r="J1107" s="295">
        <v>0.5</v>
      </c>
      <c r="K1107" s="266">
        <f t="shared" si="83"/>
        <v>61.02</v>
      </c>
      <c r="L1107" s="312">
        <f t="shared" si="84"/>
        <v>10</v>
      </c>
      <c r="M1107" s="263"/>
      <c r="N1107" s="263"/>
      <c r="O1107" s="263"/>
      <c r="P1107" s="263"/>
      <c r="Q1107" s="263"/>
      <c r="R1107" s="263"/>
      <c r="S1107" s="29">
        <v>12204</v>
      </c>
      <c r="T1107" s="29">
        <v>0</v>
      </c>
      <c r="U1107" s="29">
        <v>2196.7199999999998</v>
      </c>
      <c r="V1107" s="29">
        <v>14400.72</v>
      </c>
      <c r="W1107" s="29">
        <v>0</v>
      </c>
      <c r="X1107" s="29">
        <v>1</v>
      </c>
      <c r="Y1107" s="29">
        <v>144.00720000000001</v>
      </c>
    </row>
    <row r="1108" spans="2:25">
      <c r="G1108" s="268" t="s">
        <v>765</v>
      </c>
      <c r="H1108" s="310">
        <f>SUM(H1006:H1107)</f>
        <v>316166.62000000005</v>
      </c>
      <c r="I1108" s="59"/>
      <c r="J1108" s="311" t="s">
        <v>383</v>
      </c>
      <c r="K1108" s="310">
        <f>SUM(K1006:K1107)</f>
        <v>2435.5200525423729</v>
      </c>
    </row>
    <row r="1113" spans="2:25">
      <c r="B1113" s="33">
        <v>4</v>
      </c>
      <c r="C1113" s="33">
        <v>30957</v>
      </c>
      <c r="D1113" s="33" t="s">
        <v>772</v>
      </c>
      <c r="E1113" s="33" t="s">
        <v>448</v>
      </c>
      <c r="F1113" s="280">
        <v>42172</v>
      </c>
      <c r="G1113" s="280">
        <v>42192</v>
      </c>
      <c r="H1113" s="33">
        <v>6780</v>
      </c>
      <c r="I1113" s="33">
        <v>0</v>
      </c>
      <c r="J1113" s="301">
        <v>1220.4000000000001</v>
      </c>
      <c r="K1113" s="33">
        <v>8000.4</v>
      </c>
      <c r="L1113" s="33">
        <v>0</v>
      </c>
      <c r="M1113" s="33">
        <v>1</v>
      </c>
      <c r="N1113" s="33">
        <v>80.004000000000005</v>
      </c>
      <c r="O1113" s="33">
        <v>12519</v>
      </c>
      <c r="P1113" s="33">
        <v>968847</v>
      </c>
    </row>
    <row r="1114" spans="2:25">
      <c r="B1114" s="33">
        <v>4</v>
      </c>
      <c r="C1114" s="33">
        <v>30957</v>
      </c>
      <c r="D1114" s="33" t="s">
        <v>772</v>
      </c>
      <c r="E1114" s="33" t="s">
        <v>448</v>
      </c>
      <c r="F1114" s="280">
        <v>42172</v>
      </c>
      <c r="G1114" s="280">
        <v>42192</v>
      </c>
      <c r="H1114" s="33">
        <v>6780</v>
      </c>
      <c r="I1114" s="33">
        <v>0</v>
      </c>
      <c r="J1114" s="301">
        <v>1220.4000000000001</v>
      </c>
      <c r="K1114" s="33">
        <v>8000.4</v>
      </c>
      <c r="L1114" s="33">
        <v>0</v>
      </c>
      <c r="M1114" s="33">
        <v>1</v>
      </c>
      <c r="N1114" s="33">
        <v>80.004000000000005</v>
      </c>
      <c r="O1114" s="33">
        <v>12519</v>
      </c>
      <c r="P1114" s="33">
        <v>968847</v>
      </c>
    </row>
    <row r="1115" spans="2:25">
      <c r="B1115" s="29">
        <v>4</v>
      </c>
      <c r="C1115" s="29">
        <v>31276</v>
      </c>
      <c r="D1115" s="29" t="s">
        <v>772</v>
      </c>
      <c r="E1115" s="29" t="s">
        <v>448</v>
      </c>
      <c r="F1115" s="263">
        <v>42177</v>
      </c>
      <c r="G1115" s="263">
        <v>42192</v>
      </c>
      <c r="H1115" s="29">
        <v>20340</v>
      </c>
      <c r="I1115" s="29">
        <v>0</v>
      </c>
      <c r="J1115" s="292">
        <v>3661.2</v>
      </c>
      <c r="K1115" s="29">
        <v>24001.200000000001</v>
      </c>
      <c r="L1115" s="29">
        <v>0</v>
      </c>
      <c r="M1115" s="29">
        <v>1</v>
      </c>
      <c r="N1115" s="29">
        <v>240.012</v>
      </c>
      <c r="O1115" s="29">
        <v>12520</v>
      </c>
      <c r="P1115" s="29">
        <v>969340</v>
      </c>
    </row>
    <row r="1116" spans="2:25">
      <c r="B1116" s="29">
        <v>4</v>
      </c>
      <c r="C1116" s="29">
        <v>31276</v>
      </c>
      <c r="D1116" s="29" t="s">
        <v>772</v>
      </c>
      <c r="E1116" s="29" t="s">
        <v>448</v>
      </c>
      <c r="F1116" s="263">
        <v>42177</v>
      </c>
      <c r="G1116" s="263">
        <v>42192</v>
      </c>
      <c r="H1116" s="29">
        <v>20340</v>
      </c>
      <c r="I1116" s="29">
        <v>0</v>
      </c>
      <c r="J1116" s="292">
        <v>3661.2</v>
      </c>
      <c r="K1116" s="29">
        <v>24001.200000000001</v>
      </c>
      <c r="L1116" s="29">
        <v>0</v>
      </c>
      <c r="M1116" s="29">
        <v>1</v>
      </c>
      <c r="N1116" s="29">
        <v>240.012</v>
      </c>
      <c r="O1116" s="29">
        <v>12520</v>
      </c>
      <c r="P1116" s="29">
        <v>969340</v>
      </c>
    </row>
    <row r="1117" spans="2:25">
      <c r="B1117" s="29">
        <v>4</v>
      </c>
      <c r="C1117" s="29">
        <v>31276</v>
      </c>
      <c r="D1117" s="29" t="s">
        <v>772</v>
      </c>
      <c r="E1117" s="29" t="s">
        <v>448</v>
      </c>
      <c r="F1117" s="263">
        <v>42177</v>
      </c>
      <c r="G1117" s="263">
        <v>42192</v>
      </c>
      <c r="H1117" s="29">
        <v>20340</v>
      </c>
      <c r="I1117" s="29">
        <v>0</v>
      </c>
      <c r="J1117" s="292">
        <v>3661.2</v>
      </c>
      <c r="K1117" s="29">
        <v>24001.200000000001</v>
      </c>
      <c r="L1117" s="29">
        <v>0</v>
      </c>
      <c r="M1117" s="29">
        <v>1</v>
      </c>
      <c r="N1117" s="29">
        <v>240.012</v>
      </c>
      <c r="O1117" s="29">
        <v>12520</v>
      </c>
      <c r="P1117" s="29">
        <v>969340</v>
      </c>
    </row>
    <row r="1118" spans="2:25">
      <c r="B1118" s="29">
        <v>4</v>
      </c>
      <c r="C1118" s="29">
        <v>31276</v>
      </c>
      <c r="D1118" s="29" t="s">
        <v>772</v>
      </c>
      <c r="E1118" s="29" t="s">
        <v>448</v>
      </c>
      <c r="F1118" s="263">
        <v>42177</v>
      </c>
      <c r="G1118" s="263">
        <v>42192</v>
      </c>
      <c r="H1118" s="29">
        <v>20340</v>
      </c>
      <c r="I1118" s="29">
        <v>0</v>
      </c>
      <c r="J1118" s="292">
        <v>3661.2</v>
      </c>
      <c r="K1118" s="29">
        <v>24001.200000000001</v>
      </c>
      <c r="L1118" s="29">
        <v>0</v>
      </c>
      <c r="M1118" s="29">
        <v>1</v>
      </c>
      <c r="N1118" s="29">
        <v>240.012</v>
      </c>
      <c r="O1118" s="29">
        <v>12520</v>
      </c>
      <c r="P1118" s="29">
        <v>969340</v>
      </c>
    </row>
    <row r="1119" spans="2:25">
      <c r="B1119" s="29">
        <v>4</v>
      </c>
      <c r="C1119" s="29">
        <v>31276</v>
      </c>
      <c r="D1119" s="29" t="s">
        <v>772</v>
      </c>
      <c r="E1119" s="29" t="s">
        <v>448</v>
      </c>
      <c r="F1119" s="263">
        <v>42177</v>
      </c>
      <c r="G1119" s="263">
        <v>42192</v>
      </c>
      <c r="H1119" s="29">
        <v>20340</v>
      </c>
      <c r="I1119" s="29">
        <v>0</v>
      </c>
      <c r="J1119" s="292">
        <v>3661.2</v>
      </c>
      <c r="K1119" s="29">
        <v>24001.200000000001</v>
      </c>
      <c r="L1119" s="29">
        <v>0</v>
      </c>
      <c r="M1119" s="29">
        <v>1</v>
      </c>
      <c r="N1119" s="29">
        <v>240.012</v>
      </c>
      <c r="O1119" s="29">
        <v>12520</v>
      </c>
      <c r="P1119" s="29">
        <v>969340</v>
      </c>
    </row>
    <row r="1120" spans="2:25">
      <c r="B1120" s="29">
        <v>4</v>
      </c>
      <c r="C1120" s="29">
        <v>31276</v>
      </c>
      <c r="D1120" s="29" t="s">
        <v>772</v>
      </c>
      <c r="E1120" s="29" t="s">
        <v>448</v>
      </c>
      <c r="F1120" s="263">
        <v>42177</v>
      </c>
      <c r="G1120" s="263">
        <v>42192</v>
      </c>
      <c r="H1120" s="29">
        <v>20340</v>
      </c>
      <c r="I1120" s="29">
        <v>0</v>
      </c>
      <c r="J1120" s="292">
        <v>3661.2</v>
      </c>
      <c r="K1120" s="29">
        <v>24001.200000000001</v>
      </c>
      <c r="L1120" s="29">
        <v>0</v>
      </c>
      <c r="M1120" s="29">
        <v>1</v>
      </c>
      <c r="N1120" s="29">
        <v>240.012</v>
      </c>
      <c r="O1120" s="29">
        <v>12519</v>
      </c>
      <c r="P1120" s="29">
        <v>969340</v>
      </c>
    </row>
    <row r="1121" spans="2:16">
      <c r="B1121" s="29">
        <v>4</v>
      </c>
      <c r="C1121" s="29">
        <v>31276</v>
      </c>
      <c r="D1121" s="29" t="s">
        <v>772</v>
      </c>
      <c r="E1121" s="29" t="s">
        <v>448</v>
      </c>
      <c r="F1121" s="263">
        <v>42177</v>
      </c>
      <c r="G1121" s="263">
        <v>42192</v>
      </c>
      <c r="H1121" s="29">
        <v>20340</v>
      </c>
      <c r="I1121" s="29">
        <v>0</v>
      </c>
      <c r="J1121" s="292">
        <v>3661.2</v>
      </c>
      <c r="K1121" s="29">
        <v>24001.200000000001</v>
      </c>
      <c r="L1121" s="29">
        <v>0</v>
      </c>
      <c r="M1121" s="29">
        <v>1</v>
      </c>
      <c r="N1121" s="29">
        <v>240.012</v>
      </c>
      <c r="O1121" s="29">
        <v>12519</v>
      </c>
      <c r="P1121" s="29">
        <v>969340</v>
      </c>
    </row>
    <row r="1122" spans="2:16">
      <c r="B1122" s="29">
        <v>4</v>
      </c>
      <c r="C1122" s="29">
        <v>31276</v>
      </c>
      <c r="D1122" s="29" t="s">
        <v>772</v>
      </c>
      <c r="E1122" s="29" t="s">
        <v>448</v>
      </c>
      <c r="F1122" s="263">
        <v>42177</v>
      </c>
      <c r="G1122" s="263">
        <v>42192</v>
      </c>
      <c r="H1122" s="29">
        <v>20340</v>
      </c>
      <c r="I1122" s="29">
        <v>0</v>
      </c>
      <c r="J1122" s="292">
        <v>3661.2</v>
      </c>
      <c r="K1122" s="29">
        <v>24001.200000000001</v>
      </c>
      <c r="L1122" s="29">
        <v>0</v>
      </c>
      <c r="M1122" s="29">
        <v>1</v>
      </c>
      <c r="N1122" s="29">
        <v>240.012</v>
      </c>
      <c r="O1122" s="29">
        <v>12519</v>
      </c>
      <c r="P1122" s="29">
        <v>969340</v>
      </c>
    </row>
    <row r="1123" spans="2:16">
      <c r="B1123" s="33">
        <v>4</v>
      </c>
      <c r="C1123" s="33">
        <v>31304</v>
      </c>
      <c r="D1123" s="33" t="s">
        <v>761</v>
      </c>
      <c r="E1123" s="33" t="s">
        <v>448</v>
      </c>
      <c r="F1123" s="280">
        <v>42177</v>
      </c>
      <c r="G1123" s="280">
        <v>42192</v>
      </c>
      <c r="H1123" s="33">
        <v>9492</v>
      </c>
      <c r="I1123" s="33">
        <v>0</v>
      </c>
      <c r="J1123" s="301">
        <v>1708.56</v>
      </c>
      <c r="K1123" s="33">
        <v>11200.56</v>
      </c>
      <c r="L1123" s="33">
        <v>0</v>
      </c>
      <c r="M1123" s="33">
        <v>1</v>
      </c>
      <c r="N1123" s="33">
        <v>112.0056</v>
      </c>
      <c r="O1123" s="33">
        <v>12519</v>
      </c>
      <c r="P1123" s="33">
        <v>969389</v>
      </c>
    </row>
    <row r="1124" spans="2:16">
      <c r="B1124" s="33">
        <v>4</v>
      </c>
      <c r="C1124" s="33">
        <v>31304</v>
      </c>
      <c r="D1124" s="33" t="s">
        <v>761</v>
      </c>
      <c r="E1124" s="33" t="s">
        <v>448</v>
      </c>
      <c r="F1124" s="280">
        <v>42177</v>
      </c>
      <c r="G1124" s="280">
        <v>42192</v>
      </c>
      <c r="H1124" s="33">
        <v>9492</v>
      </c>
      <c r="I1124" s="33">
        <v>0</v>
      </c>
      <c r="J1124" s="301">
        <v>1708.56</v>
      </c>
      <c r="K1124" s="33">
        <v>11200.56</v>
      </c>
      <c r="L1124" s="33">
        <v>0</v>
      </c>
      <c r="M1124" s="33">
        <v>1</v>
      </c>
      <c r="N1124" s="33">
        <v>112.0056</v>
      </c>
      <c r="O1124" s="33">
        <v>12519</v>
      </c>
      <c r="P1124" s="33">
        <v>969389</v>
      </c>
    </row>
    <row r="1125" spans="2:16">
      <c r="B1125" s="29">
        <v>4</v>
      </c>
      <c r="C1125" s="29">
        <v>31723</v>
      </c>
      <c r="D1125" s="29" t="s">
        <v>764</v>
      </c>
      <c r="E1125" s="29" t="s">
        <v>448</v>
      </c>
      <c r="F1125" s="263">
        <v>42181</v>
      </c>
      <c r="G1125" s="263">
        <v>42192</v>
      </c>
      <c r="H1125" s="29">
        <v>3552.72</v>
      </c>
      <c r="I1125" s="29">
        <v>0</v>
      </c>
      <c r="J1125" s="292">
        <v>639.49</v>
      </c>
      <c r="K1125" s="29">
        <v>4192.21</v>
      </c>
      <c r="L1125" s="29">
        <v>0</v>
      </c>
      <c r="M1125" s="29">
        <v>1</v>
      </c>
      <c r="N1125" s="29">
        <v>41.9221</v>
      </c>
      <c r="O1125" s="29">
        <v>12519</v>
      </c>
      <c r="P1125" s="29">
        <v>970058</v>
      </c>
    </row>
    <row r="1126" spans="2:16">
      <c r="B1126" s="29">
        <v>4</v>
      </c>
      <c r="C1126" s="29">
        <v>31723</v>
      </c>
      <c r="D1126" s="29" t="s">
        <v>764</v>
      </c>
      <c r="E1126" s="29" t="s">
        <v>448</v>
      </c>
      <c r="F1126" s="263">
        <v>42181</v>
      </c>
      <c r="G1126" s="263">
        <v>42192</v>
      </c>
      <c r="H1126" s="29">
        <v>3552.72</v>
      </c>
      <c r="I1126" s="29">
        <v>0</v>
      </c>
      <c r="J1126" s="292">
        <v>639.49</v>
      </c>
      <c r="K1126" s="29">
        <v>4192.21</v>
      </c>
      <c r="L1126" s="29">
        <v>0</v>
      </c>
      <c r="M1126" s="29">
        <v>1</v>
      </c>
      <c r="N1126" s="29">
        <v>41.9221</v>
      </c>
      <c r="O1126" s="29">
        <v>12519</v>
      </c>
      <c r="P1126" s="29">
        <v>970058</v>
      </c>
    </row>
    <row r="1127" spans="2:16">
      <c r="B1127" s="33">
        <v>4</v>
      </c>
      <c r="C1127" s="33">
        <v>31720</v>
      </c>
      <c r="D1127" s="33" t="s">
        <v>764</v>
      </c>
      <c r="E1127" s="33" t="s">
        <v>448</v>
      </c>
      <c r="F1127" s="280">
        <v>42181</v>
      </c>
      <c r="G1127" s="280">
        <v>42192</v>
      </c>
      <c r="H1127" s="33">
        <v>16787.28</v>
      </c>
      <c r="I1127" s="33">
        <v>0</v>
      </c>
      <c r="J1127" s="301">
        <v>3021.71</v>
      </c>
      <c r="K1127" s="33">
        <v>19808.990000000002</v>
      </c>
      <c r="L1127" s="33">
        <v>0</v>
      </c>
      <c r="M1127" s="33">
        <v>1</v>
      </c>
      <c r="N1127" s="33">
        <v>198.0899</v>
      </c>
      <c r="O1127" s="33">
        <v>12520</v>
      </c>
      <c r="P1127" s="33">
        <v>970045</v>
      </c>
    </row>
    <row r="1128" spans="2:16">
      <c r="B1128" s="33">
        <v>4</v>
      </c>
      <c r="C1128" s="33">
        <v>31720</v>
      </c>
      <c r="D1128" s="33" t="s">
        <v>764</v>
      </c>
      <c r="E1128" s="33" t="s">
        <v>448</v>
      </c>
      <c r="F1128" s="280">
        <v>42181</v>
      </c>
      <c r="G1128" s="280">
        <v>42192</v>
      </c>
      <c r="H1128" s="33">
        <v>16787.28</v>
      </c>
      <c r="I1128" s="33">
        <v>0</v>
      </c>
      <c r="J1128" s="301">
        <v>3021.71</v>
      </c>
      <c r="K1128" s="33">
        <v>19808.990000000002</v>
      </c>
      <c r="L1128" s="33">
        <v>0</v>
      </c>
      <c r="M1128" s="33">
        <v>1</v>
      </c>
      <c r="N1128" s="33">
        <v>198.0899</v>
      </c>
      <c r="O1128" s="33">
        <v>12520</v>
      </c>
      <c r="P1128" s="33">
        <v>970045</v>
      </c>
    </row>
    <row r="1129" spans="2:16">
      <c r="B1129" s="33">
        <v>4</v>
      </c>
      <c r="C1129" s="33">
        <v>31720</v>
      </c>
      <c r="D1129" s="33" t="s">
        <v>764</v>
      </c>
      <c r="E1129" s="33" t="s">
        <v>448</v>
      </c>
      <c r="F1129" s="280">
        <v>42181</v>
      </c>
      <c r="G1129" s="280">
        <v>42192</v>
      </c>
      <c r="H1129" s="33">
        <v>16787.28</v>
      </c>
      <c r="I1129" s="33">
        <v>0</v>
      </c>
      <c r="J1129" s="301">
        <v>3021.71</v>
      </c>
      <c r="K1129" s="33">
        <v>19808.990000000002</v>
      </c>
      <c r="L1129" s="33">
        <v>0</v>
      </c>
      <c r="M1129" s="33">
        <v>1</v>
      </c>
      <c r="N1129" s="33">
        <v>198.0899</v>
      </c>
      <c r="O1129" s="33">
        <v>12519</v>
      </c>
      <c r="P1129" s="33">
        <v>970045</v>
      </c>
    </row>
    <row r="1130" spans="2:16">
      <c r="B1130" s="29">
        <v>4</v>
      </c>
      <c r="C1130" s="29">
        <v>31853</v>
      </c>
      <c r="D1130" s="29" t="s">
        <v>761</v>
      </c>
      <c r="E1130" s="29" t="s">
        <v>448</v>
      </c>
      <c r="F1130" s="263">
        <v>42185</v>
      </c>
      <c r="G1130" s="263">
        <v>42192</v>
      </c>
      <c r="H1130" s="29">
        <v>13560</v>
      </c>
      <c r="I1130" s="29">
        <v>0</v>
      </c>
      <c r="J1130" s="292">
        <v>2440.8000000000002</v>
      </c>
      <c r="K1130" s="29">
        <v>16000.8</v>
      </c>
      <c r="L1130" s="29">
        <v>0</v>
      </c>
      <c r="M1130" s="29">
        <v>1</v>
      </c>
      <c r="N1130" s="29">
        <v>160.00800000000001</v>
      </c>
      <c r="O1130" s="29">
        <v>12520</v>
      </c>
      <c r="P1130" s="29">
        <v>970270</v>
      </c>
    </row>
    <row r="1131" spans="2:16">
      <c r="B1131" s="29">
        <v>4</v>
      </c>
      <c r="C1131" s="29">
        <v>31853</v>
      </c>
      <c r="D1131" s="29" t="s">
        <v>761</v>
      </c>
      <c r="E1131" s="29" t="s">
        <v>448</v>
      </c>
      <c r="F1131" s="263">
        <v>42185</v>
      </c>
      <c r="G1131" s="263">
        <v>42192</v>
      </c>
      <c r="H1131" s="29">
        <v>13560</v>
      </c>
      <c r="I1131" s="29">
        <v>0</v>
      </c>
      <c r="J1131" s="292">
        <v>2440.8000000000002</v>
      </c>
      <c r="K1131" s="29">
        <v>16000.8</v>
      </c>
      <c r="L1131" s="29">
        <v>0</v>
      </c>
      <c r="M1131" s="29">
        <v>1</v>
      </c>
      <c r="N1131" s="29">
        <v>160.00800000000001</v>
      </c>
      <c r="O1131" s="29">
        <v>12520</v>
      </c>
      <c r="P1131" s="29">
        <v>970270</v>
      </c>
    </row>
    <row r="1132" spans="2:16">
      <c r="B1132" s="29">
        <v>4</v>
      </c>
      <c r="C1132" s="29">
        <v>31853</v>
      </c>
      <c r="D1132" s="29" t="s">
        <v>761</v>
      </c>
      <c r="E1132" s="29" t="s">
        <v>448</v>
      </c>
      <c r="F1132" s="263">
        <v>42185</v>
      </c>
      <c r="G1132" s="263">
        <v>42192</v>
      </c>
      <c r="H1132" s="29">
        <v>13560</v>
      </c>
      <c r="I1132" s="29">
        <v>0</v>
      </c>
      <c r="J1132" s="292">
        <v>2440.8000000000002</v>
      </c>
      <c r="K1132" s="29">
        <v>16000.8</v>
      </c>
      <c r="L1132" s="29">
        <v>0</v>
      </c>
      <c r="M1132" s="29">
        <v>1</v>
      </c>
      <c r="N1132" s="29">
        <v>160.00800000000001</v>
      </c>
      <c r="O1132" s="29">
        <v>12520</v>
      </c>
      <c r="P1132" s="29">
        <v>970270</v>
      </c>
    </row>
    <row r="1133" spans="2:16">
      <c r="B1133" s="33">
        <v>4</v>
      </c>
      <c r="C1133" s="33">
        <v>32012</v>
      </c>
      <c r="D1133" s="33" t="s">
        <v>764</v>
      </c>
      <c r="E1133" s="33" t="s">
        <v>448</v>
      </c>
      <c r="F1133" s="280">
        <v>42185</v>
      </c>
      <c r="G1133" s="280">
        <v>42192</v>
      </c>
      <c r="H1133" s="33">
        <v>20340</v>
      </c>
      <c r="I1133" s="33">
        <v>0</v>
      </c>
      <c r="J1133" s="301">
        <v>3661.2</v>
      </c>
      <c r="K1133" s="33">
        <v>24001.200000000001</v>
      </c>
      <c r="L1133" s="33">
        <v>0</v>
      </c>
      <c r="M1133" s="33">
        <v>1</v>
      </c>
      <c r="N1133" s="33">
        <v>240.012</v>
      </c>
      <c r="O1133" s="33">
        <v>12520</v>
      </c>
      <c r="P1133" s="33">
        <v>970467</v>
      </c>
    </row>
    <row r="1134" spans="2:16">
      <c r="B1134" s="33">
        <v>4</v>
      </c>
      <c r="C1134" s="33">
        <v>32012</v>
      </c>
      <c r="D1134" s="33" t="s">
        <v>764</v>
      </c>
      <c r="E1134" s="33" t="s">
        <v>448</v>
      </c>
      <c r="F1134" s="280">
        <v>42185</v>
      </c>
      <c r="G1134" s="280">
        <v>42192</v>
      </c>
      <c r="H1134" s="33">
        <v>20340</v>
      </c>
      <c r="I1134" s="33">
        <v>0</v>
      </c>
      <c r="J1134" s="301">
        <v>3661.2</v>
      </c>
      <c r="K1134" s="33">
        <v>24001.200000000001</v>
      </c>
      <c r="L1134" s="33">
        <v>0</v>
      </c>
      <c r="M1134" s="33">
        <v>1</v>
      </c>
      <c r="N1134" s="33">
        <v>240.012</v>
      </c>
      <c r="O1134" s="33">
        <v>12520</v>
      </c>
      <c r="P1134" s="33">
        <v>970467</v>
      </c>
    </row>
    <row r="1135" spans="2:16">
      <c r="B1135" s="33">
        <v>4</v>
      </c>
      <c r="C1135" s="33">
        <v>32012</v>
      </c>
      <c r="D1135" s="33" t="s">
        <v>764</v>
      </c>
      <c r="E1135" s="33" t="s">
        <v>448</v>
      </c>
      <c r="F1135" s="280">
        <v>42185</v>
      </c>
      <c r="G1135" s="280">
        <v>42192</v>
      </c>
      <c r="H1135" s="33">
        <v>20340</v>
      </c>
      <c r="I1135" s="33">
        <v>0</v>
      </c>
      <c r="J1135" s="301">
        <v>3661.2</v>
      </c>
      <c r="K1135" s="33">
        <v>24001.200000000001</v>
      </c>
      <c r="L1135" s="33">
        <v>0</v>
      </c>
      <c r="M1135" s="33">
        <v>1</v>
      </c>
      <c r="N1135" s="33">
        <v>240.012</v>
      </c>
      <c r="O1135" s="33">
        <v>12520</v>
      </c>
      <c r="P1135" s="33">
        <v>970467</v>
      </c>
    </row>
    <row r="1136" spans="2:16">
      <c r="B1136" s="33">
        <v>4</v>
      </c>
      <c r="C1136" s="33">
        <v>32012</v>
      </c>
      <c r="D1136" s="33" t="s">
        <v>764</v>
      </c>
      <c r="E1136" s="33" t="s">
        <v>448</v>
      </c>
      <c r="F1136" s="280">
        <v>42185</v>
      </c>
      <c r="G1136" s="280">
        <v>42192</v>
      </c>
      <c r="H1136" s="33">
        <v>20340</v>
      </c>
      <c r="I1136" s="33">
        <v>0</v>
      </c>
      <c r="J1136" s="301">
        <v>3661.2</v>
      </c>
      <c r="K1136" s="33">
        <v>24001.200000000001</v>
      </c>
      <c r="L1136" s="33">
        <v>0</v>
      </c>
      <c r="M1136" s="33">
        <v>1</v>
      </c>
      <c r="N1136" s="33">
        <v>240.012</v>
      </c>
      <c r="O1136" s="33">
        <v>12519</v>
      </c>
      <c r="P1136" s="33">
        <v>970467</v>
      </c>
    </row>
    <row r="1137" spans="2:16">
      <c r="B1137" s="33">
        <v>4</v>
      </c>
      <c r="C1137" s="33">
        <v>32012</v>
      </c>
      <c r="D1137" s="33" t="s">
        <v>764</v>
      </c>
      <c r="E1137" s="33" t="s">
        <v>448</v>
      </c>
      <c r="F1137" s="280">
        <v>42185</v>
      </c>
      <c r="G1137" s="280">
        <v>42192</v>
      </c>
      <c r="H1137" s="33">
        <v>20340</v>
      </c>
      <c r="I1137" s="33">
        <v>0</v>
      </c>
      <c r="J1137" s="301">
        <v>3661.2</v>
      </c>
      <c r="K1137" s="33">
        <v>24001.200000000001</v>
      </c>
      <c r="L1137" s="33">
        <v>0</v>
      </c>
      <c r="M1137" s="33">
        <v>1</v>
      </c>
      <c r="N1137" s="33">
        <v>240.012</v>
      </c>
      <c r="O1137" s="33">
        <v>12519</v>
      </c>
      <c r="P1137" s="33">
        <v>970467</v>
      </c>
    </row>
    <row r="1138" spans="2:16">
      <c r="B1138" s="29">
        <v>4</v>
      </c>
      <c r="C1138" s="29">
        <v>32409</v>
      </c>
      <c r="D1138" s="29" t="s">
        <v>772</v>
      </c>
      <c r="E1138" s="29" t="s">
        <v>448</v>
      </c>
      <c r="F1138" s="263">
        <v>42191</v>
      </c>
      <c r="G1138" s="263">
        <v>42208</v>
      </c>
      <c r="H1138" s="29">
        <v>8136</v>
      </c>
      <c r="I1138" s="29">
        <v>0</v>
      </c>
      <c r="J1138" s="292">
        <v>1464.48</v>
      </c>
      <c r="K1138" s="29">
        <v>9600.48</v>
      </c>
      <c r="L1138" s="29">
        <v>0</v>
      </c>
      <c r="M1138" s="29">
        <v>1</v>
      </c>
      <c r="N1138" s="29">
        <v>96.004800000000003</v>
      </c>
      <c r="O1138" s="29">
        <v>12520</v>
      </c>
      <c r="P1138" s="29">
        <v>971039</v>
      </c>
    </row>
    <row r="1139" spans="2:16">
      <c r="B1139" s="29">
        <v>4</v>
      </c>
      <c r="C1139" s="29">
        <v>32409</v>
      </c>
      <c r="D1139" s="29" t="s">
        <v>772</v>
      </c>
      <c r="E1139" s="29" t="s">
        <v>448</v>
      </c>
      <c r="F1139" s="263">
        <v>42191</v>
      </c>
      <c r="G1139" s="263">
        <v>42208</v>
      </c>
      <c r="H1139" s="29">
        <v>8136</v>
      </c>
      <c r="I1139" s="29">
        <v>0</v>
      </c>
      <c r="J1139" s="292">
        <v>1464.48</v>
      </c>
      <c r="K1139" s="29">
        <v>9600.48</v>
      </c>
      <c r="L1139" s="29">
        <v>0</v>
      </c>
      <c r="M1139" s="29">
        <v>1</v>
      </c>
      <c r="N1139" s="29">
        <v>96.004800000000003</v>
      </c>
      <c r="O1139" s="29">
        <v>12519</v>
      </c>
      <c r="P1139" s="29">
        <v>971039</v>
      </c>
    </row>
    <row r="1140" spans="2:16">
      <c r="B1140" s="33">
        <v>4</v>
      </c>
      <c r="C1140" s="33">
        <v>32743</v>
      </c>
      <c r="D1140" s="33" t="s">
        <v>772</v>
      </c>
      <c r="E1140" s="33" t="s">
        <v>448</v>
      </c>
      <c r="F1140" s="280">
        <v>42194</v>
      </c>
      <c r="G1140" s="280">
        <v>42208</v>
      </c>
      <c r="H1140" s="33">
        <v>2712</v>
      </c>
      <c r="I1140" s="33">
        <v>0</v>
      </c>
      <c r="J1140" s="301">
        <v>488.16</v>
      </c>
      <c r="K1140" s="33">
        <v>3200.16</v>
      </c>
      <c r="L1140" s="33">
        <v>0</v>
      </c>
      <c r="M1140" s="33">
        <v>1</v>
      </c>
      <c r="N1140" s="33">
        <v>32.001600000000003</v>
      </c>
      <c r="O1140" s="33">
        <v>12519</v>
      </c>
      <c r="P1140" s="33">
        <v>971588</v>
      </c>
    </row>
    <row r="1141" spans="2:16">
      <c r="B1141" s="29">
        <v>4</v>
      </c>
      <c r="C1141" s="29">
        <v>33031</v>
      </c>
      <c r="D1141" s="29" t="s">
        <v>772</v>
      </c>
      <c r="E1141" s="29" t="s">
        <v>448</v>
      </c>
      <c r="F1141" s="263">
        <v>42198</v>
      </c>
      <c r="G1141" s="263">
        <v>42208</v>
      </c>
      <c r="H1141" s="29">
        <v>12204</v>
      </c>
      <c r="I1141" s="29">
        <v>0</v>
      </c>
      <c r="J1141" s="292">
        <v>2196.7199999999998</v>
      </c>
      <c r="K1141" s="29">
        <v>14400.72</v>
      </c>
      <c r="L1141" s="29">
        <v>0</v>
      </c>
      <c r="M1141" s="29">
        <v>1</v>
      </c>
      <c r="N1141" s="29">
        <v>144.00720000000001</v>
      </c>
      <c r="O1141" s="29">
        <v>12520</v>
      </c>
      <c r="P1141" s="29">
        <v>972057</v>
      </c>
    </row>
    <row r="1142" spans="2:16">
      <c r="B1142" s="29">
        <v>4</v>
      </c>
      <c r="C1142" s="29">
        <v>33031</v>
      </c>
      <c r="D1142" s="29" t="s">
        <v>772</v>
      </c>
      <c r="E1142" s="29" t="s">
        <v>448</v>
      </c>
      <c r="F1142" s="263">
        <v>42198</v>
      </c>
      <c r="G1142" s="263">
        <v>42208</v>
      </c>
      <c r="H1142" s="29">
        <v>12204</v>
      </c>
      <c r="I1142" s="29">
        <v>0</v>
      </c>
      <c r="J1142" s="292">
        <v>2196.7199999999998</v>
      </c>
      <c r="K1142" s="29">
        <v>14400.72</v>
      </c>
      <c r="L1142" s="29">
        <v>0</v>
      </c>
      <c r="M1142" s="29">
        <v>1</v>
      </c>
      <c r="N1142" s="29">
        <v>144.00720000000001</v>
      </c>
      <c r="O1142" s="29">
        <v>12520</v>
      </c>
      <c r="P1142" s="29">
        <v>972057</v>
      </c>
    </row>
    <row r="1143" spans="2:16">
      <c r="B1143" s="29">
        <v>4</v>
      </c>
      <c r="C1143" s="29">
        <v>33031</v>
      </c>
      <c r="D1143" s="29" t="s">
        <v>772</v>
      </c>
      <c r="E1143" s="29" t="s">
        <v>448</v>
      </c>
      <c r="F1143" s="263">
        <v>42198</v>
      </c>
      <c r="G1143" s="263">
        <v>42208</v>
      </c>
      <c r="H1143" s="29">
        <v>12204</v>
      </c>
      <c r="I1143" s="29">
        <v>0</v>
      </c>
      <c r="J1143" s="292">
        <v>2196.7199999999998</v>
      </c>
      <c r="K1143" s="29">
        <v>14400.72</v>
      </c>
      <c r="L1143" s="29">
        <v>0</v>
      </c>
      <c r="M1143" s="29">
        <v>1</v>
      </c>
      <c r="N1143" s="29">
        <v>144.00720000000001</v>
      </c>
      <c r="O1143" s="29">
        <v>12520</v>
      </c>
      <c r="P1143" s="29">
        <v>972057</v>
      </c>
    </row>
    <row r="1144" spans="2:16">
      <c r="B1144" s="29">
        <v>4</v>
      </c>
      <c r="C1144" s="29">
        <v>33031</v>
      </c>
      <c r="D1144" s="29" t="s">
        <v>772</v>
      </c>
      <c r="E1144" s="29" t="s">
        <v>448</v>
      </c>
      <c r="F1144" s="263">
        <v>42198</v>
      </c>
      <c r="G1144" s="263">
        <v>42208</v>
      </c>
      <c r="H1144" s="29">
        <v>12204</v>
      </c>
      <c r="I1144" s="29">
        <v>0</v>
      </c>
      <c r="J1144" s="292">
        <v>2196.7199999999998</v>
      </c>
      <c r="K1144" s="29">
        <v>14400.72</v>
      </c>
      <c r="L1144" s="29">
        <v>0</v>
      </c>
      <c r="M1144" s="29">
        <v>1</v>
      </c>
      <c r="N1144" s="29">
        <v>144.00720000000001</v>
      </c>
      <c r="O1144" s="29">
        <v>12520</v>
      </c>
      <c r="P1144" s="29">
        <v>972057</v>
      </c>
    </row>
    <row r="1145" spans="2:16">
      <c r="B1145" s="29">
        <v>4</v>
      </c>
      <c r="C1145" s="29">
        <v>33031</v>
      </c>
      <c r="D1145" s="29" t="s">
        <v>772</v>
      </c>
      <c r="E1145" s="29" t="s">
        <v>448</v>
      </c>
      <c r="F1145" s="263">
        <v>42198</v>
      </c>
      <c r="G1145" s="263">
        <v>42208</v>
      </c>
      <c r="H1145" s="29">
        <v>12204</v>
      </c>
      <c r="I1145" s="29">
        <v>0</v>
      </c>
      <c r="J1145" s="292">
        <v>2196.7199999999998</v>
      </c>
      <c r="K1145" s="29">
        <v>14400.72</v>
      </c>
      <c r="L1145" s="29">
        <v>0</v>
      </c>
      <c r="M1145" s="29">
        <v>1</v>
      </c>
      <c r="N1145" s="29">
        <v>144.00720000000001</v>
      </c>
      <c r="O1145" s="29">
        <v>12519</v>
      </c>
      <c r="P1145" s="29">
        <v>972057</v>
      </c>
    </row>
    <row r="1146" spans="2:16">
      <c r="B1146" s="29">
        <v>4</v>
      </c>
      <c r="C1146" s="29">
        <v>33031</v>
      </c>
      <c r="D1146" s="29" t="s">
        <v>772</v>
      </c>
      <c r="E1146" s="29" t="s">
        <v>448</v>
      </c>
      <c r="F1146" s="263">
        <v>42198</v>
      </c>
      <c r="G1146" s="263">
        <v>42208</v>
      </c>
      <c r="H1146" s="29">
        <v>12204</v>
      </c>
      <c r="I1146" s="29">
        <v>0</v>
      </c>
      <c r="J1146" s="292">
        <v>2196.7199999999998</v>
      </c>
      <c r="K1146" s="29">
        <v>14400.72</v>
      </c>
      <c r="L1146" s="29">
        <v>0</v>
      </c>
      <c r="M1146" s="29">
        <v>1</v>
      </c>
      <c r="N1146" s="29">
        <v>144.00720000000001</v>
      </c>
      <c r="O1146" s="29">
        <v>12519</v>
      </c>
      <c r="P1146" s="29">
        <v>972057</v>
      </c>
    </row>
    <row r="1147" spans="2:16">
      <c r="B1147" s="33">
        <v>4</v>
      </c>
      <c r="C1147" s="33">
        <v>33034</v>
      </c>
      <c r="D1147" s="33" t="s">
        <v>772</v>
      </c>
      <c r="E1147" s="33" t="s">
        <v>448</v>
      </c>
      <c r="F1147" s="280">
        <v>42198</v>
      </c>
      <c r="G1147" s="280">
        <v>42208</v>
      </c>
      <c r="H1147" s="33">
        <v>26170.799999999999</v>
      </c>
      <c r="I1147" s="33">
        <v>0</v>
      </c>
      <c r="J1147" s="301">
        <v>4710.74</v>
      </c>
      <c r="K1147" s="33">
        <v>30881.54</v>
      </c>
      <c r="L1147" s="33">
        <v>0</v>
      </c>
      <c r="M1147" s="33">
        <v>1</v>
      </c>
      <c r="N1147" s="33">
        <v>308.81540000000001</v>
      </c>
      <c r="O1147" s="33">
        <v>12520</v>
      </c>
      <c r="P1147" s="33">
        <v>972065</v>
      </c>
    </row>
    <row r="1148" spans="2:16">
      <c r="B1148" s="33">
        <v>4</v>
      </c>
      <c r="C1148" s="33">
        <v>33034</v>
      </c>
      <c r="D1148" s="33" t="s">
        <v>772</v>
      </c>
      <c r="E1148" s="33" t="s">
        <v>448</v>
      </c>
      <c r="F1148" s="280">
        <v>42198</v>
      </c>
      <c r="G1148" s="280">
        <v>42208</v>
      </c>
      <c r="H1148" s="33">
        <v>26170.799999999999</v>
      </c>
      <c r="I1148" s="33">
        <v>0</v>
      </c>
      <c r="J1148" s="301">
        <v>4710.74</v>
      </c>
      <c r="K1148" s="33">
        <v>30881.54</v>
      </c>
      <c r="L1148" s="33">
        <v>0</v>
      </c>
      <c r="M1148" s="33">
        <v>1</v>
      </c>
      <c r="N1148" s="33">
        <v>308.81540000000001</v>
      </c>
      <c r="O1148" s="33">
        <v>12520</v>
      </c>
      <c r="P1148" s="33">
        <v>972065</v>
      </c>
    </row>
    <row r="1149" spans="2:16">
      <c r="B1149" s="33">
        <v>4</v>
      </c>
      <c r="C1149" s="33">
        <v>33034</v>
      </c>
      <c r="D1149" s="33" t="s">
        <v>772</v>
      </c>
      <c r="E1149" s="33" t="s">
        <v>448</v>
      </c>
      <c r="F1149" s="280">
        <v>42198</v>
      </c>
      <c r="G1149" s="280">
        <v>42208</v>
      </c>
      <c r="H1149" s="33">
        <v>26170.799999999999</v>
      </c>
      <c r="I1149" s="33">
        <v>0</v>
      </c>
      <c r="J1149" s="301">
        <v>4710.74</v>
      </c>
      <c r="K1149" s="33">
        <v>30881.54</v>
      </c>
      <c r="L1149" s="33">
        <v>0</v>
      </c>
      <c r="M1149" s="33">
        <v>1</v>
      </c>
      <c r="N1149" s="33">
        <v>308.81540000000001</v>
      </c>
      <c r="O1149" s="33">
        <v>12519</v>
      </c>
      <c r="P1149" s="33">
        <v>972065</v>
      </c>
    </row>
    <row r="1150" spans="2:16">
      <c r="B1150" s="33">
        <v>4</v>
      </c>
      <c r="C1150" s="33">
        <v>33034</v>
      </c>
      <c r="D1150" s="33" t="s">
        <v>772</v>
      </c>
      <c r="E1150" s="33" t="s">
        <v>448</v>
      </c>
      <c r="F1150" s="280">
        <v>42198</v>
      </c>
      <c r="G1150" s="280">
        <v>42208</v>
      </c>
      <c r="H1150" s="33">
        <v>26170.799999999999</v>
      </c>
      <c r="I1150" s="33">
        <v>0</v>
      </c>
      <c r="J1150" s="301">
        <v>4710.74</v>
      </c>
      <c r="K1150" s="33">
        <v>30881.54</v>
      </c>
      <c r="L1150" s="33">
        <v>0</v>
      </c>
      <c r="M1150" s="33">
        <v>1</v>
      </c>
      <c r="N1150" s="33">
        <v>308.81540000000001</v>
      </c>
      <c r="O1150" s="33">
        <v>12519</v>
      </c>
      <c r="P1150" s="33">
        <v>972065</v>
      </c>
    </row>
    <row r="1153" spans="1:21">
      <c r="B1153" s="59"/>
      <c r="C1153" s="59"/>
      <c r="D1153" s="59" t="s">
        <v>794</v>
      </c>
      <c r="E1153" s="59"/>
      <c r="F1153" s="59"/>
      <c r="G1153" s="59"/>
      <c r="H1153" s="59"/>
      <c r="I1153" s="59"/>
      <c r="J1153" s="293"/>
      <c r="K1153" s="59"/>
    </row>
    <row r="1154" spans="1:21">
      <c r="B1154" s="59"/>
      <c r="C1154" s="59"/>
      <c r="D1154" s="59"/>
      <c r="E1154" s="59"/>
      <c r="F1154" s="59"/>
      <c r="G1154" s="59"/>
      <c r="H1154" s="59"/>
      <c r="I1154" s="59"/>
      <c r="J1154" s="293"/>
      <c r="K1154" s="59"/>
    </row>
    <row r="1155" spans="1:21">
      <c r="B1155" s="264" t="s">
        <v>369</v>
      </c>
      <c r="C1155" s="264" t="s">
        <v>370</v>
      </c>
      <c r="D1155" s="264" t="s">
        <v>371</v>
      </c>
      <c r="E1155" s="264" t="s">
        <v>372</v>
      </c>
      <c r="F1155" s="264" t="s">
        <v>373</v>
      </c>
      <c r="G1155" s="264" t="s">
        <v>393</v>
      </c>
      <c r="H1155" s="264" t="s">
        <v>375</v>
      </c>
      <c r="I1155" s="264" t="s">
        <v>376</v>
      </c>
      <c r="J1155" s="294" t="s">
        <v>377</v>
      </c>
      <c r="K1155" s="264" t="s">
        <v>378</v>
      </c>
    </row>
    <row r="1156" spans="1:21">
      <c r="A1156" s="29">
        <v>1</v>
      </c>
      <c r="B1156" s="111">
        <v>4</v>
      </c>
      <c r="C1156" s="111">
        <v>29009</v>
      </c>
      <c r="D1156" s="111" t="s">
        <v>768</v>
      </c>
      <c r="E1156" s="111" t="s">
        <v>448</v>
      </c>
      <c r="F1156" s="265">
        <v>42143</v>
      </c>
      <c r="G1156" s="265">
        <v>42223</v>
      </c>
      <c r="H1156" s="266">
        <f t="shared" ref="H1156:H1187" si="85">O1156+P1156</f>
        <v>290.22000000000003</v>
      </c>
      <c r="I1156" s="266">
        <f t="shared" ref="I1156:I1187" si="86">S1156/1.18</f>
        <v>0</v>
      </c>
      <c r="J1156" s="295">
        <v>0</v>
      </c>
      <c r="K1156" s="266">
        <f t="shared" ref="K1156:K1187" si="87">H1156*J1156%</f>
        <v>0</v>
      </c>
      <c r="L1156" s="312">
        <f t="shared" ref="L1156:L1187" si="88">G1156-F1156</f>
        <v>80</v>
      </c>
      <c r="M1156" s="263"/>
      <c r="N1156" s="263"/>
      <c r="O1156" s="29">
        <v>290.22000000000003</v>
      </c>
      <c r="P1156" s="29">
        <v>0</v>
      </c>
      <c r="Q1156" s="29">
        <v>52.24</v>
      </c>
      <c r="R1156" s="29">
        <v>342.46</v>
      </c>
      <c r="S1156" s="29">
        <v>0</v>
      </c>
      <c r="T1156" s="29">
        <v>1</v>
      </c>
      <c r="U1156" s="29">
        <v>3.4245999999999999</v>
      </c>
    </row>
    <row r="1157" spans="1:21">
      <c r="A1157" s="29">
        <v>2</v>
      </c>
      <c r="B1157" s="111">
        <v>4</v>
      </c>
      <c r="C1157" s="111">
        <v>29168</v>
      </c>
      <c r="D1157" s="111" t="s">
        <v>768</v>
      </c>
      <c r="E1157" s="111" t="s">
        <v>448</v>
      </c>
      <c r="F1157" s="265">
        <v>42145</v>
      </c>
      <c r="G1157" s="265">
        <v>42223</v>
      </c>
      <c r="H1157" s="266">
        <f t="shared" si="85"/>
        <v>279.76</v>
      </c>
      <c r="I1157" s="266">
        <f t="shared" si="86"/>
        <v>0</v>
      </c>
      <c r="J1157" s="295">
        <v>0</v>
      </c>
      <c r="K1157" s="266">
        <f t="shared" si="87"/>
        <v>0</v>
      </c>
      <c r="L1157" s="312">
        <f t="shared" si="88"/>
        <v>78</v>
      </c>
      <c r="M1157" s="263"/>
      <c r="N1157" s="263"/>
      <c r="O1157" s="29">
        <v>279.76</v>
      </c>
      <c r="P1157" s="29">
        <v>0</v>
      </c>
      <c r="Q1157" s="29">
        <v>50.36</v>
      </c>
      <c r="R1157" s="29">
        <v>330.12</v>
      </c>
      <c r="S1157" s="29">
        <v>0</v>
      </c>
      <c r="T1157" s="29">
        <v>1</v>
      </c>
      <c r="U1157" s="29">
        <v>3.3012000000000001</v>
      </c>
    </row>
    <row r="1158" spans="1:21">
      <c r="A1158" s="29">
        <v>3</v>
      </c>
      <c r="B1158" s="111">
        <v>1</v>
      </c>
      <c r="C1158" s="111">
        <v>306996</v>
      </c>
      <c r="D1158" s="111" t="s">
        <v>768</v>
      </c>
      <c r="E1158" s="111" t="s">
        <v>448</v>
      </c>
      <c r="F1158" s="265">
        <v>42158</v>
      </c>
      <c r="G1158" s="265">
        <v>42230</v>
      </c>
      <c r="H1158" s="266">
        <f t="shared" si="85"/>
        <v>336.03</v>
      </c>
      <c r="I1158" s="266">
        <f t="shared" si="86"/>
        <v>0</v>
      </c>
      <c r="J1158" s="295">
        <v>1</v>
      </c>
      <c r="K1158" s="266">
        <f t="shared" si="87"/>
        <v>3.3602999999999996</v>
      </c>
      <c r="L1158" s="312">
        <f t="shared" si="88"/>
        <v>72</v>
      </c>
      <c r="M1158" s="263"/>
      <c r="N1158" s="263"/>
      <c r="O1158" s="29">
        <v>336.03</v>
      </c>
      <c r="P1158" s="29">
        <v>0</v>
      </c>
      <c r="Q1158" s="29">
        <v>60.49</v>
      </c>
      <c r="R1158" s="29">
        <v>396.52</v>
      </c>
      <c r="S1158" s="29">
        <v>0</v>
      </c>
      <c r="T1158" s="29">
        <v>1</v>
      </c>
      <c r="U1158" s="29">
        <v>3.9651999999999998</v>
      </c>
    </row>
    <row r="1159" spans="1:21">
      <c r="A1159" s="29">
        <v>4</v>
      </c>
      <c r="B1159" s="111">
        <v>6</v>
      </c>
      <c r="C1159" s="111">
        <v>948</v>
      </c>
      <c r="D1159" s="111" t="s">
        <v>381</v>
      </c>
      <c r="E1159" s="111" t="s">
        <v>382</v>
      </c>
      <c r="F1159" s="265">
        <v>42158</v>
      </c>
      <c r="G1159" s="265">
        <v>42240</v>
      </c>
      <c r="H1159" s="266">
        <f t="shared" si="85"/>
        <v>6104.24</v>
      </c>
      <c r="I1159" s="266">
        <f t="shared" si="86"/>
        <v>0</v>
      </c>
      <c r="J1159" s="295">
        <v>0</v>
      </c>
      <c r="K1159" s="266">
        <f t="shared" si="87"/>
        <v>0</v>
      </c>
      <c r="L1159" s="312">
        <f t="shared" si="88"/>
        <v>82</v>
      </c>
      <c r="M1159" s="263"/>
      <c r="N1159" s="263"/>
      <c r="O1159" s="29">
        <v>6104.24</v>
      </c>
      <c r="P1159" s="29">
        <v>0</v>
      </c>
      <c r="Q1159" s="29">
        <v>1098.76</v>
      </c>
      <c r="R1159" s="29">
        <v>7203</v>
      </c>
      <c r="S1159" s="29">
        <v>0</v>
      </c>
      <c r="T1159" s="29">
        <v>1</v>
      </c>
      <c r="U1159" s="29">
        <v>72.03</v>
      </c>
    </row>
    <row r="1160" spans="1:21">
      <c r="A1160" s="29">
        <v>5</v>
      </c>
      <c r="B1160" s="111">
        <v>4</v>
      </c>
      <c r="C1160" s="111">
        <v>30064</v>
      </c>
      <c r="D1160" s="111" t="s">
        <v>759</v>
      </c>
      <c r="E1160" s="111" t="s">
        <v>448</v>
      </c>
      <c r="F1160" s="265">
        <v>42159</v>
      </c>
      <c r="G1160" s="265">
        <v>42223</v>
      </c>
      <c r="H1160" s="266">
        <f t="shared" si="85"/>
        <v>11360.51</v>
      </c>
      <c r="I1160" s="266">
        <f t="shared" si="86"/>
        <v>0</v>
      </c>
      <c r="J1160" s="295">
        <v>1</v>
      </c>
      <c r="K1160" s="266">
        <f t="shared" si="87"/>
        <v>113.60510000000001</v>
      </c>
      <c r="L1160" s="312">
        <f t="shared" si="88"/>
        <v>64</v>
      </c>
      <c r="M1160" s="263"/>
      <c r="N1160" s="263"/>
      <c r="O1160" s="29">
        <v>11360.51</v>
      </c>
      <c r="P1160" s="29">
        <v>0</v>
      </c>
      <c r="Q1160" s="29">
        <v>2044.89</v>
      </c>
      <c r="R1160" s="29">
        <v>13405.4</v>
      </c>
      <c r="S1160" s="29">
        <v>0</v>
      </c>
      <c r="T1160" s="29">
        <v>1</v>
      </c>
      <c r="U1160" s="29">
        <v>134.054</v>
      </c>
    </row>
    <row r="1161" spans="1:21">
      <c r="A1161" s="29">
        <v>6</v>
      </c>
      <c r="B1161" s="111">
        <v>4</v>
      </c>
      <c r="C1161" s="111">
        <v>30449</v>
      </c>
      <c r="D1161" s="111" t="s">
        <v>759</v>
      </c>
      <c r="E1161" s="111" t="s">
        <v>448</v>
      </c>
      <c r="F1161" s="265">
        <v>42165</v>
      </c>
      <c r="G1161" s="265">
        <v>42223</v>
      </c>
      <c r="H1161" s="266">
        <f t="shared" si="85"/>
        <v>146.5</v>
      </c>
      <c r="I1161" s="266">
        <f t="shared" si="86"/>
        <v>0</v>
      </c>
      <c r="J1161" s="295">
        <v>1</v>
      </c>
      <c r="K1161" s="266">
        <f t="shared" si="87"/>
        <v>1.4650000000000001</v>
      </c>
      <c r="L1161" s="312">
        <f t="shared" si="88"/>
        <v>58</v>
      </c>
      <c r="M1161" s="263"/>
      <c r="N1161" s="263"/>
      <c r="O1161" s="29">
        <v>146.5</v>
      </c>
      <c r="P1161" s="29">
        <v>0</v>
      </c>
      <c r="Q1161" s="29">
        <v>26.37</v>
      </c>
      <c r="R1161" s="29">
        <v>172.87</v>
      </c>
      <c r="S1161" s="29">
        <v>0</v>
      </c>
      <c r="T1161" s="29">
        <v>1</v>
      </c>
      <c r="U1161" s="29">
        <v>1.7286999999999999</v>
      </c>
    </row>
    <row r="1162" spans="1:21">
      <c r="A1162" s="29">
        <v>7</v>
      </c>
      <c r="B1162" s="111">
        <v>4</v>
      </c>
      <c r="C1162" s="111">
        <v>30590</v>
      </c>
      <c r="D1162" s="111" t="s">
        <v>758</v>
      </c>
      <c r="E1162" s="111" t="s">
        <v>448</v>
      </c>
      <c r="F1162" s="265">
        <v>42167</v>
      </c>
      <c r="G1162" s="265">
        <v>42222</v>
      </c>
      <c r="H1162" s="266">
        <f t="shared" si="85"/>
        <v>3102.21</v>
      </c>
      <c r="I1162" s="266">
        <f t="shared" si="86"/>
        <v>0</v>
      </c>
      <c r="J1162" s="295">
        <v>1</v>
      </c>
      <c r="K1162" s="266">
        <f t="shared" si="87"/>
        <v>31.022100000000002</v>
      </c>
      <c r="L1162" s="312">
        <f t="shared" si="88"/>
        <v>55</v>
      </c>
      <c r="M1162" s="263"/>
      <c r="N1162" s="263"/>
      <c r="O1162" s="29">
        <v>3102.21</v>
      </c>
      <c r="P1162" s="29">
        <v>0</v>
      </c>
      <c r="Q1162" s="29">
        <v>558.4</v>
      </c>
      <c r="R1162" s="29">
        <v>3660.61</v>
      </c>
      <c r="S1162" s="29">
        <v>0</v>
      </c>
      <c r="T1162" s="29">
        <v>1</v>
      </c>
      <c r="U1162" s="29">
        <v>36.606099999999998</v>
      </c>
    </row>
    <row r="1163" spans="1:21">
      <c r="A1163" s="29">
        <v>8</v>
      </c>
      <c r="B1163" s="111">
        <v>4</v>
      </c>
      <c r="C1163" s="111">
        <v>30591</v>
      </c>
      <c r="D1163" s="111" t="s">
        <v>758</v>
      </c>
      <c r="E1163" s="111" t="s">
        <v>448</v>
      </c>
      <c r="F1163" s="265">
        <v>42167</v>
      </c>
      <c r="G1163" s="265">
        <v>42222</v>
      </c>
      <c r="H1163" s="266">
        <f t="shared" si="85"/>
        <v>1719.07</v>
      </c>
      <c r="I1163" s="266">
        <f t="shared" si="86"/>
        <v>0</v>
      </c>
      <c r="J1163" s="295">
        <v>1</v>
      </c>
      <c r="K1163" s="266">
        <f t="shared" si="87"/>
        <v>17.1907</v>
      </c>
      <c r="L1163" s="312">
        <f t="shared" si="88"/>
        <v>55</v>
      </c>
      <c r="M1163" s="263"/>
      <c r="N1163" s="263"/>
      <c r="O1163" s="29">
        <v>1719.07</v>
      </c>
      <c r="P1163" s="29">
        <v>0</v>
      </c>
      <c r="Q1163" s="29">
        <v>309.43</v>
      </c>
      <c r="R1163" s="29">
        <v>2028.5</v>
      </c>
      <c r="S1163" s="29">
        <v>0</v>
      </c>
      <c r="T1163" s="29">
        <v>1</v>
      </c>
      <c r="U1163" s="29">
        <v>20.285</v>
      </c>
    </row>
    <row r="1164" spans="1:21">
      <c r="A1164" s="29">
        <v>9</v>
      </c>
      <c r="B1164" s="111">
        <v>4</v>
      </c>
      <c r="C1164" s="111">
        <v>30589</v>
      </c>
      <c r="D1164" s="111" t="s">
        <v>758</v>
      </c>
      <c r="E1164" s="111" t="s">
        <v>448</v>
      </c>
      <c r="F1164" s="265">
        <v>42167</v>
      </c>
      <c r="G1164" s="265">
        <v>42222</v>
      </c>
      <c r="H1164" s="266">
        <f t="shared" si="85"/>
        <v>2421.56</v>
      </c>
      <c r="I1164" s="266">
        <f t="shared" si="86"/>
        <v>0</v>
      </c>
      <c r="J1164" s="295">
        <v>1</v>
      </c>
      <c r="K1164" s="266">
        <f t="shared" si="87"/>
        <v>24.215599999999998</v>
      </c>
      <c r="L1164" s="312">
        <f t="shared" si="88"/>
        <v>55</v>
      </c>
      <c r="M1164" s="263"/>
      <c r="N1164" s="263"/>
      <c r="O1164" s="29">
        <v>2421.56</v>
      </c>
      <c r="P1164" s="29">
        <v>0</v>
      </c>
      <c r="Q1164" s="29">
        <v>435.88</v>
      </c>
      <c r="R1164" s="29">
        <v>2857.44</v>
      </c>
      <c r="S1164" s="29">
        <v>0</v>
      </c>
      <c r="T1164" s="29">
        <v>1</v>
      </c>
      <c r="U1164" s="29">
        <v>28.574400000000001</v>
      </c>
    </row>
    <row r="1165" spans="1:21">
      <c r="A1165" s="29">
        <v>10</v>
      </c>
      <c r="B1165" s="111">
        <v>4</v>
      </c>
      <c r="C1165" s="111">
        <v>30610</v>
      </c>
      <c r="D1165" s="111" t="s">
        <v>759</v>
      </c>
      <c r="E1165" s="111" t="s">
        <v>448</v>
      </c>
      <c r="F1165" s="265">
        <v>42167</v>
      </c>
      <c r="G1165" s="265">
        <v>42223</v>
      </c>
      <c r="H1165" s="266">
        <f t="shared" si="85"/>
        <v>1927.9</v>
      </c>
      <c r="I1165" s="266">
        <f t="shared" si="86"/>
        <v>0</v>
      </c>
      <c r="J1165" s="295">
        <v>1</v>
      </c>
      <c r="K1165" s="266">
        <f t="shared" si="87"/>
        <v>19.279</v>
      </c>
      <c r="L1165" s="312">
        <f t="shared" si="88"/>
        <v>56</v>
      </c>
      <c r="M1165" s="263"/>
      <c r="N1165" s="263"/>
      <c r="O1165" s="29">
        <v>1927.9</v>
      </c>
      <c r="P1165" s="29">
        <v>0</v>
      </c>
      <c r="Q1165" s="29">
        <v>347.02</v>
      </c>
      <c r="R1165" s="29">
        <v>2274.92</v>
      </c>
      <c r="S1165" s="29">
        <v>0</v>
      </c>
      <c r="T1165" s="29">
        <v>1</v>
      </c>
      <c r="U1165" s="29">
        <v>22.749199999999998</v>
      </c>
    </row>
    <row r="1166" spans="1:21">
      <c r="A1166" s="29">
        <v>11</v>
      </c>
      <c r="B1166" s="111">
        <v>4</v>
      </c>
      <c r="C1166" s="111">
        <v>30614</v>
      </c>
      <c r="D1166" s="111" t="s">
        <v>759</v>
      </c>
      <c r="E1166" s="111" t="s">
        <v>448</v>
      </c>
      <c r="F1166" s="265">
        <v>42167</v>
      </c>
      <c r="G1166" s="265">
        <v>42234</v>
      </c>
      <c r="H1166" s="266">
        <f t="shared" si="85"/>
        <v>2050.65</v>
      </c>
      <c r="I1166" s="266">
        <f t="shared" si="86"/>
        <v>0</v>
      </c>
      <c r="J1166" s="295">
        <v>1</v>
      </c>
      <c r="K1166" s="266">
        <f t="shared" si="87"/>
        <v>20.506500000000003</v>
      </c>
      <c r="L1166" s="312">
        <f t="shared" si="88"/>
        <v>67</v>
      </c>
      <c r="M1166" s="263"/>
      <c r="N1166" s="263"/>
      <c r="O1166" s="29">
        <v>2050.65</v>
      </c>
      <c r="P1166" s="29">
        <v>0</v>
      </c>
      <c r="Q1166" s="29">
        <v>369.12</v>
      </c>
      <c r="R1166" s="29">
        <v>2419.77</v>
      </c>
      <c r="S1166" s="29">
        <v>0</v>
      </c>
      <c r="T1166" s="29">
        <v>1</v>
      </c>
      <c r="U1166" s="29">
        <v>24.197700000000001</v>
      </c>
    </row>
    <row r="1167" spans="1:21">
      <c r="A1167" s="29">
        <v>12</v>
      </c>
      <c r="B1167" s="111">
        <v>4</v>
      </c>
      <c r="C1167" s="111">
        <v>30659</v>
      </c>
      <c r="D1167" s="111" t="s">
        <v>759</v>
      </c>
      <c r="E1167" s="111" t="s">
        <v>448</v>
      </c>
      <c r="F1167" s="265">
        <v>42167</v>
      </c>
      <c r="G1167" s="265">
        <v>42223</v>
      </c>
      <c r="H1167" s="266">
        <f t="shared" si="85"/>
        <v>2794.71</v>
      </c>
      <c r="I1167" s="266">
        <f t="shared" si="86"/>
        <v>0</v>
      </c>
      <c r="J1167" s="295">
        <v>1</v>
      </c>
      <c r="K1167" s="266">
        <f t="shared" si="87"/>
        <v>27.947100000000002</v>
      </c>
      <c r="L1167" s="312">
        <f t="shared" si="88"/>
        <v>56</v>
      </c>
      <c r="M1167" s="263"/>
      <c r="N1167" s="263"/>
      <c r="O1167" s="29">
        <v>2794.71</v>
      </c>
      <c r="P1167" s="29">
        <v>0</v>
      </c>
      <c r="Q1167" s="29">
        <v>503.05</v>
      </c>
      <c r="R1167" s="29">
        <v>3297.76</v>
      </c>
      <c r="S1167" s="29">
        <v>0</v>
      </c>
      <c r="T1167" s="29">
        <v>1</v>
      </c>
      <c r="U1167" s="29">
        <v>32.977600000000002</v>
      </c>
    </row>
    <row r="1168" spans="1:21">
      <c r="A1168" s="29">
        <v>13</v>
      </c>
      <c r="B1168" s="111">
        <v>4</v>
      </c>
      <c r="C1168" s="111">
        <v>30633</v>
      </c>
      <c r="D1168" s="111" t="s">
        <v>759</v>
      </c>
      <c r="E1168" s="111" t="s">
        <v>448</v>
      </c>
      <c r="F1168" s="265">
        <v>42167</v>
      </c>
      <c r="G1168" s="265">
        <v>42223</v>
      </c>
      <c r="H1168" s="266">
        <f t="shared" si="85"/>
        <v>358.05</v>
      </c>
      <c r="I1168" s="266">
        <f t="shared" si="86"/>
        <v>0</v>
      </c>
      <c r="J1168" s="295">
        <v>1</v>
      </c>
      <c r="K1168" s="266">
        <f t="shared" si="87"/>
        <v>3.5805000000000002</v>
      </c>
      <c r="L1168" s="312">
        <f t="shared" si="88"/>
        <v>56</v>
      </c>
      <c r="M1168" s="263"/>
      <c r="N1168" s="263"/>
      <c r="O1168" s="29">
        <v>358.05</v>
      </c>
      <c r="P1168" s="29">
        <v>0</v>
      </c>
      <c r="Q1168" s="29">
        <v>64.45</v>
      </c>
      <c r="R1168" s="29">
        <v>422.5</v>
      </c>
      <c r="S1168" s="29">
        <v>0</v>
      </c>
      <c r="T1168" s="29">
        <v>1</v>
      </c>
      <c r="U1168" s="29">
        <v>4.2249999999999996</v>
      </c>
    </row>
    <row r="1169" spans="1:21">
      <c r="A1169" s="29">
        <v>14</v>
      </c>
      <c r="B1169" s="111">
        <v>4</v>
      </c>
      <c r="C1169" s="111">
        <v>30749</v>
      </c>
      <c r="D1169" s="111" t="s">
        <v>759</v>
      </c>
      <c r="E1169" s="111" t="s">
        <v>448</v>
      </c>
      <c r="F1169" s="265">
        <v>42168</v>
      </c>
      <c r="G1169" s="265">
        <v>42223</v>
      </c>
      <c r="H1169" s="266">
        <f t="shared" si="85"/>
        <v>954.11</v>
      </c>
      <c r="I1169" s="266">
        <f t="shared" si="86"/>
        <v>0</v>
      </c>
      <c r="J1169" s="295">
        <v>1</v>
      </c>
      <c r="K1169" s="266">
        <f t="shared" si="87"/>
        <v>9.5411000000000001</v>
      </c>
      <c r="L1169" s="312">
        <f t="shared" si="88"/>
        <v>55</v>
      </c>
      <c r="M1169" s="263"/>
      <c r="N1169" s="263"/>
      <c r="O1169" s="29">
        <v>954.11</v>
      </c>
      <c r="P1169" s="29">
        <v>0</v>
      </c>
      <c r="Q1169" s="29">
        <v>171.74</v>
      </c>
      <c r="R1169" s="29">
        <v>1125.8499999999999</v>
      </c>
      <c r="S1169" s="29">
        <v>0</v>
      </c>
      <c r="T1169" s="29">
        <v>1</v>
      </c>
      <c r="U1169" s="29">
        <v>11.2585</v>
      </c>
    </row>
    <row r="1170" spans="1:21">
      <c r="A1170" s="29">
        <v>15</v>
      </c>
      <c r="B1170" s="111">
        <v>4</v>
      </c>
      <c r="C1170" s="111">
        <v>30751</v>
      </c>
      <c r="D1170" s="111" t="s">
        <v>759</v>
      </c>
      <c r="E1170" s="111" t="s">
        <v>448</v>
      </c>
      <c r="F1170" s="265">
        <v>42168</v>
      </c>
      <c r="G1170" s="265">
        <v>42234</v>
      </c>
      <c r="H1170" s="266">
        <f t="shared" si="85"/>
        <v>7204.86</v>
      </c>
      <c r="I1170" s="266">
        <f t="shared" si="86"/>
        <v>0</v>
      </c>
      <c r="J1170" s="295">
        <v>1</v>
      </c>
      <c r="K1170" s="266">
        <f t="shared" si="87"/>
        <v>72.048599999999993</v>
      </c>
      <c r="L1170" s="312">
        <f t="shared" si="88"/>
        <v>66</v>
      </c>
      <c r="M1170" s="263"/>
      <c r="N1170" s="263"/>
      <c r="O1170" s="29">
        <v>7204.86</v>
      </c>
      <c r="P1170" s="29">
        <v>0</v>
      </c>
      <c r="Q1170" s="29">
        <v>1296.8699999999999</v>
      </c>
      <c r="R1170" s="29">
        <v>8501.73</v>
      </c>
      <c r="S1170" s="29">
        <v>0</v>
      </c>
      <c r="T1170" s="29">
        <v>1</v>
      </c>
      <c r="U1170" s="29">
        <v>85.017300000000006</v>
      </c>
    </row>
    <row r="1171" spans="1:21">
      <c r="A1171" s="29">
        <v>16</v>
      </c>
      <c r="B1171" s="111">
        <v>4</v>
      </c>
      <c r="C1171" s="111">
        <v>30704</v>
      </c>
      <c r="D1171" s="111" t="s">
        <v>758</v>
      </c>
      <c r="E1171" s="111" t="s">
        <v>448</v>
      </c>
      <c r="F1171" s="265">
        <v>42168</v>
      </c>
      <c r="G1171" s="265">
        <v>42222</v>
      </c>
      <c r="H1171" s="266">
        <f t="shared" si="85"/>
        <v>231.54</v>
      </c>
      <c r="I1171" s="266">
        <f t="shared" si="86"/>
        <v>0</v>
      </c>
      <c r="J1171" s="295">
        <v>1</v>
      </c>
      <c r="K1171" s="266">
        <f t="shared" si="87"/>
        <v>2.3153999999999999</v>
      </c>
      <c r="L1171" s="312">
        <f t="shared" si="88"/>
        <v>54</v>
      </c>
      <c r="M1171" s="263"/>
      <c r="N1171" s="263"/>
      <c r="O1171" s="29">
        <v>231.54</v>
      </c>
      <c r="P1171" s="29">
        <v>0</v>
      </c>
      <c r="Q1171" s="29">
        <v>41.68</v>
      </c>
      <c r="R1171" s="29">
        <v>273.22000000000003</v>
      </c>
      <c r="S1171" s="29">
        <v>0</v>
      </c>
      <c r="T1171" s="29">
        <v>1</v>
      </c>
      <c r="U1171" s="29">
        <v>2.7322000000000002</v>
      </c>
    </row>
    <row r="1172" spans="1:21">
      <c r="A1172" s="29">
        <v>17</v>
      </c>
      <c r="B1172" s="111">
        <v>6</v>
      </c>
      <c r="C1172" s="111">
        <v>966</v>
      </c>
      <c r="D1172" s="111" t="s">
        <v>381</v>
      </c>
      <c r="E1172" s="111" t="s">
        <v>382</v>
      </c>
      <c r="F1172" s="265">
        <v>42171</v>
      </c>
      <c r="G1172" s="265">
        <v>42223</v>
      </c>
      <c r="H1172" s="266">
        <f t="shared" si="85"/>
        <v>1896.19</v>
      </c>
      <c r="I1172" s="266">
        <f t="shared" si="86"/>
        <v>0</v>
      </c>
      <c r="J1172" s="295">
        <v>1</v>
      </c>
      <c r="K1172" s="266">
        <f t="shared" si="87"/>
        <v>18.9619</v>
      </c>
      <c r="L1172" s="312">
        <f t="shared" si="88"/>
        <v>52</v>
      </c>
      <c r="M1172" s="263"/>
      <c r="N1172" s="263"/>
      <c r="O1172" s="29">
        <v>1896.19</v>
      </c>
      <c r="P1172" s="29">
        <v>0</v>
      </c>
      <c r="Q1172" s="29">
        <v>341.31</v>
      </c>
      <c r="R1172" s="29">
        <v>2237.5</v>
      </c>
      <c r="S1172" s="29">
        <v>0</v>
      </c>
      <c r="T1172" s="29">
        <v>1</v>
      </c>
      <c r="U1172" s="29">
        <v>22.375</v>
      </c>
    </row>
    <row r="1173" spans="1:21">
      <c r="A1173" s="29">
        <v>18</v>
      </c>
      <c r="B1173" s="111">
        <v>4</v>
      </c>
      <c r="C1173" s="111">
        <v>30831</v>
      </c>
      <c r="D1173" s="111" t="s">
        <v>758</v>
      </c>
      <c r="E1173" s="111" t="s">
        <v>448</v>
      </c>
      <c r="F1173" s="265">
        <v>42171</v>
      </c>
      <c r="G1173" s="265">
        <v>42222</v>
      </c>
      <c r="H1173" s="266">
        <f t="shared" si="85"/>
        <v>6875.58</v>
      </c>
      <c r="I1173" s="266">
        <f t="shared" si="86"/>
        <v>0</v>
      </c>
      <c r="J1173" s="295">
        <v>1</v>
      </c>
      <c r="K1173" s="266">
        <f t="shared" si="87"/>
        <v>68.755800000000008</v>
      </c>
      <c r="L1173" s="312">
        <f t="shared" si="88"/>
        <v>51</v>
      </c>
      <c r="M1173" s="263"/>
      <c r="N1173" s="263"/>
      <c r="O1173" s="29">
        <v>6875.58</v>
      </c>
      <c r="P1173" s="29">
        <v>0</v>
      </c>
      <c r="Q1173" s="29">
        <v>1237.5999999999999</v>
      </c>
      <c r="R1173" s="29">
        <v>8113.18</v>
      </c>
      <c r="S1173" s="29">
        <v>0</v>
      </c>
      <c r="T1173" s="29">
        <v>1</v>
      </c>
      <c r="U1173" s="29">
        <v>81.131799999999998</v>
      </c>
    </row>
    <row r="1174" spans="1:21">
      <c r="A1174" s="29">
        <v>19</v>
      </c>
      <c r="B1174" s="111">
        <v>4</v>
      </c>
      <c r="C1174" s="111">
        <v>30832</v>
      </c>
      <c r="D1174" s="111" t="s">
        <v>758</v>
      </c>
      <c r="E1174" s="111" t="s">
        <v>448</v>
      </c>
      <c r="F1174" s="265">
        <v>42171</v>
      </c>
      <c r="G1174" s="265">
        <v>42222</v>
      </c>
      <c r="H1174" s="266">
        <f t="shared" si="85"/>
        <v>3599.77</v>
      </c>
      <c r="I1174" s="266">
        <f t="shared" si="86"/>
        <v>0</v>
      </c>
      <c r="J1174" s="295">
        <v>1</v>
      </c>
      <c r="K1174" s="266">
        <f t="shared" si="87"/>
        <v>35.997700000000002</v>
      </c>
      <c r="L1174" s="312">
        <f t="shared" si="88"/>
        <v>51</v>
      </c>
      <c r="M1174" s="263"/>
      <c r="N1174" s="263"/>
      <c r="O1174" s="29">
        <v>3599.77</v>
      </c>
      <c r="P1174" s="29">
        <v>0</v>
      </c>
      <c r="Q1174" s="29">
        <v>647.96</v>
      </c>
      <c r="R1174" s="29">
        <v>4247.7299999999996</v>
      </c>
      <c r="S1174" s="29">
        <v>0</v>
      </c>
      <c r="T1174" s="29">
        <v>1</v>
      </c>
      <c r="U1174" s="29">
        <v>42.4773</v>
      </c>
    </row>
    <row r="1175" spans="1:21">
      <c r="A1175" s="29">
        <v>20</v>
      </c>
      <c r="B1175" s="111">
        <v>6</v>
      </c>
      <c r="C1175" s="111">
        <v>965</v>
      </c>
      <c r="D1175" s="111" t="s">
        <v>381</v>
      </c>
      <c r="E1175" s="111" t="s">
        <v>382</v>
      </c>
      <c r="F1175" s="265">
        <v>42171</v>
      </c>
      <c r="G1175" s="265">
        <v>42223</v>
      </c>
      <c r="H1175" s="266">
        <f t="shared" si="85"/>
        <v>1355.93</v>
      </c>
      <c r="I1175" s="266">
        <f t="shared" si="86"/>
        <v>0</v>
      </c>
      <c r="J1175" s="295">
        <v>1</v>
      </c>
      <c r="K1175" s="266">
        <f t="shared" si="87"/>
        <v>13.5593</v>
      </c>
      <c r="L1175" s="312">
        <f t="shared" si="88"/>
        <v>52</v>
      </c>
      <c r="M1175" s="263"/>
      <c r="N1175" s="263"/>
      <c r="O1175" s="29">
        <v>1355.93</v>
      </c>
      <c r="P1175" s="29">
        <v>0</v>
      </c>
      <c r="Q1175" s="29">
        <v>244.07</v>
      </c>
      <c r="R1175" s="29">
        <v>1600</v>
      </c>
      <c r="S1175" s="29">
        <v>0</v>
      </c>
      <c r="T1175" s="29">
        <v>1</v>
      </c>
      <c r="U1175" s="29">
        <v>16</v>
      </c>
    </row>
    <row r="1176" spans="1:21">
      <c r="A1176" s="29">
        <v>21</v>
      </c>
      <c r="B1176" s="111">
        <v>4</v>
      </c>
      <c r="C1176" s="111">
        <v>30899</v>
      </c>
      <c r="D1176" s="111" t="s">
        <v>767</v>
      </c>
      <c r="E1176" s="111" t="s">
        <v>448</v>
      </c>
      <c r="F1176" s="265">
        <v>42171</v>
      </c>
      <c r="G1176" s="265">
        <v>42244</v>
      </c>
      <c r="H1176" s="266">
        <f t="shared" si="85"/>
        <v>97.02</v>
      </c>
      <c r="I1176" s="266">
        <f t="shared" si="86"/>
        <v>0</v>
      </c>
      <c r="J1176" s="295">
        <v>1</v>
      </c>
      <c r="K1176" s="266">
        <f t="shared" si="87"/>
        <v>0.97019999999999995</v>
      </c>
      <c r="L1176" s="312">
        <f t="shared" si="88"/>
        <v>73</v>
      </c>
      <c r="M1176" s="263"/>
      <c r="N1176" s="263"/>
      <c r="O1176" s="29">
        <v>97.02</v>
      </c>
      <c r="P1176" s="29">
        <v>0</v>
      </c>
      <c r="Q1176" s="29">
        <v>17.46</v>
      </c>
      <c r="R1176" s="29">
        <v>114.48</v>
      </c>
      <c r="S1176" s="29">
        <v>0</v>
      </c>
      <c r="T1176" s="29">
        <v>1</v>
      </c>
      <c r="U1176" s="29">
        <v>1.1448</v>
      </c>
    </row>
    <row r="1177" spans="1:21">
      <c r="A1177" s="29">
        <v>22</v>
      </c>
      <c r="B1177" s="111">
        <v>4</v>
      </c>
      <c r="C1177" s="111">
        <v>30922</v>
      </c>
      <c r="D1177" s="111" t="s">
        <v>758</v>
      </c>
      <c r="E1177" s="111" t="s">
        <v>448</v>
      </c>
      <c r="F1177" s="265">
        <v>42172</v>
      </c>
      <c r="G1177" s="265">
        <v>42222</v>
      </c>
      <c r="H1177" s="266">
        <f t="shared" si="85"/>
        <v>645.26</v>
      </c>
      <c r="I1177" s="266">
        <f t="shared" si="86"/>
        <v>0</v>
      </c>
      <c r="J1177" s="295">
        <v>1</v>
      </c>
      <c r="K1177" s="266">
        <f t="shared" si="87"/>
        <v>6.4526000000000003</v>
      </c>
      <c r="L1177" s="312">
        <f t="shared" si="88"/>
        <v>50</v>
      </c>
      <c r="M1177" s="263"/>
      <c r="N1177" s="263"/>
      <c r="O1177" s="29">
        <v>645.26</v>
      </c>
      <c r="P1177" s="29">
        <v>0</v>
      </c>
      <c r="Q1177" s="29">
        <v>116.15</v>
      </c>
      <c r="R1177" s="29">
        <v>761.41</v>
      </c>
      <c r="S1177" s="29">
        <v>0</v>
      </c>
      <c r="T1177" s="29">
        <v>1</v>
      </c>
      <c r="U1177" s="29">
        <v>7.6140999999999996</v>
      </c>
    </row>
    <row r="1178" spans="1:21">
      <c r="A1178" s="29">
        <v>23</v>
      </c>
      <c r="B1178" s="111">
        <v>4</v>
      </c>
      <c r="C1178" s="111">
        <v>30924</v>
      </c>
      <c r="D1178" s="111" t="s">
        <v>759</v>
      </c>
      <c r="E1178" s="111" t="s">
        <v>448</v>
      </c>
      <c r="F1178" s="265">
        <v>42172</v>
      </c>
      <c r="G1178" s="265">
        <v>42234</v>
      </c>
      <c r="H1178" s="266">
        <f t="shared" si="85"/>
        <v>358.05</v>
      </c>
      <c r="I1178" s="266">
        <f t="shared" si="86"/>
        <v>0</v>
      </c>
      <c r="J1178" s="295">
        <v>1</v>
      </c>
      <c r="K1178" s="266">
        <f t="shared" si="87"/>
        <v>3.5805000000000002</v>
      </c>
      <c r="L1178" s="312">
        <f t="shared" si="88"/>
        <v>62</v>
      </c>
      <c r="M1178" s="263"/>
      <c r="N1178" s="263"/>
      <c r="O1178" s="29">
        <v>358.05</v>
      </c>
      <c r="P1178" s="29">
        <v>0</v>
      </c>
      <c r="Q1178" s="29">
        <v>64.45</v>
      </c>
      <c r="R1178" s="29">
        <v>422.5</v>
      </c>
      <c r="S1178" s="29">
        <v>0</v>
      </c>
      <c r="T1178" s="29">
        <v>1</v>
      </c>
      <c r="U1178" s="29">
        <v>4.2249999999999996</v>
      </c>
    </row>
    <row r="1179" spans="1:21">
      <c r="A1179" s="29">
        <v>24</v>
      </c>
      <c r="B1179" s="111">
        <v>4</v>
      </c>
      <c r="C1179" s="111">
        <v>31000</v>
      </c>
      <c r="D1179" s="111" t="s">
        <v>758</v>
      </c>
      <c r="E1179" s="111" t="s">
        <v>448</v>
      </c>
      <c r="F1179" s="265">
        <v>42173</v>
      </c>
      <c r="G1179" s="265">
        <v>42222</v>
      </c>
      <c r="H1179" s="266">
        <f t="shared" si="85"/>
        <v>2113.6999999999998</v>
      </c>
      <c r="I1179" s="266">
        <f t="shared" si="86"/>
        <v>0</v>
      </c>
      <c r="J1179" s="295">
        <v>1</v>
      </c>
      <c r="K1179" s="266">
        <f t="shared" si="87"/>
        <v>21.136999999999997</v>
      </c>
      <c r="L1179" s="312">
        <f t="shared" si="88"/>
        <v>49</v>
      </c>
      <c r="M1179" s="263"/>
      <c r="N1179" s="263"/>
      <c r="O1179" s="29">
        <v>2113.6999999999998</v>
      </c>
      <c r="P1179" s="29">
        <v>0</v>
      </c>
      <c r="Q1179" s="29">
        <v>380.47</v>
      </c>
      <c r="R1179" s="29">
        <v>2494.17</v>
      </c>
      <c r="S1179" s="29">
        <v>0</v>
      </c>
      <c r="T1179" s="29">
        <v>1</v>
      </c>
      <c r="U1179" s="29">
        <v>24.941700000000001</v>
      </c>
    </row>
    <row r="1180" spans="1:21">
      <c r="A1180" s="29">
        <v>25</v>
      </c>
      <c r="B1180" s="111">
        <v>4</v>
      </c>
      <c r="C1180" s="111">
        <v>31043</v>
      </c>
      <c r="D1180" s="111" t="s">
        <v>758</v>
      </c>
      <c r="E1180" s="111" t="s">
        <v>448</v>
      </c>
      <c r="F1180" s="265">
        <v>42173</v>
      </c>
      <c r="G1180" s="265">
        <v>42222</v>
      </c>
      <c r="H1180" s="266">
        <f t="shared" si="85"/>
        <v>8642.81</v>
      </c>
      <c r="I1180" s="266">
        <f t="shared" si="86"/>
        <v>0</v>
      </c>
      <c r="J1180" s="295">
        <v>1</v>
      </c>
      <c r="K1180" s="266">
        <f t="shared" si="87"/>
        <v>86.428100000000001</v>
      </c>
      <c r="L1180" s="312">
        <f t="shared" si="88"/>
        <v>49</v>
      </c>
      <c r="M1180" s="263"/>
      <c r="N1180" s="263"/>
      <c r="O1180" s="29">
        <v>8642.81</v>
      </c>
      <c r="P1180" s="29">
        <v>0</v>
      </c>
      <c r="Q1180" s="29">
        <v>1555.71</v>
      </c>
      <c r="R1180" s="29">
        <v>10198.52</v>
      </c>
      <c r="S1180" s="29">
        <v>0</v>
      </c>
      <c r="T1180" s="29">
        <v>1</v>
      </c>
      <c r="U1180" s="29">
        <v>101.98520000000001</v>
      </c>
    </row>
    <row r="1181" spans="1:21">
      <c r="A1181" s="29">
        <v>26</v>
      </c>
      <c r="B1181" s="111">
        <v>4</v>
      </c>
      <c r="C1181" s="111">
        <v>31023</v>
      </c>
      <c r="D1181" s="111" t="s">
        <v>757</v>
      </c>
      <c r="E1181" s="111" t="s">
        <v>448</v>
      </c>
      <c r="F1181" s="265">
        <v>42173</v>
      </c>
      <c r="G1181" s="265">
        <v>42223</v>
      </c>
      <c r="H1181" s="266">
        <f t="shared" si="85"/>
        <v>358.76</v>
      </c>
      <c r="I1181" s="266">
        <f t="shared" si="86"/>
        <v>0</v>
      </c>
      <c r="J1181" s="295">
        <v>1</v>
      </c>
      <c r="K1181" s="266">
        <f t="shared" si="87"/>
        <v>3.5876000000000001</v>
      </c>
      <c r="L1181" s="312">
        <f t="shared" si="88"/>
        <v>50</v>
      </c>
      <c r="M1181" s="263"/>
      <c r="N1181" s="263"/>
      <c r="O1181" s="29">
        <v>358.76</v>
      </c>
      <c r="P1181" s="29">
        <v>0</v>
      </c>
      <c r="Q1181" s="29">
        <v>64.58</v>
      </c>
      <c r="R1181" s="29">
        <v>423.34</v>
      </c>
      <c r="S1181" s="29">
        <v>0</v>
      </c>
      <c r="T1181" s="29">
        <v>1</v>
      </c>
      <c r="U1181" s="29">
        <v>4.2333999999999996</v>
      </c>
    </row>
    <row r="1182" spans="1:21">
      <c r="A1182" s="29">
        <v>27</v>
      </c>
      <c r="B1182" s="111">
        <v>4</v>
      </c>
      <c r="C1182" s="111">
        <v>31064</v>
      </c>
      <c r="D1182" s="111" t="s">
        <v>758</v>
      </c>
      <c r="E1182" s="111" t="s">
        <v>448</v>
      </c>
      <c r="F1182" s="265">
        <v>42173</v>
      </c>
      <c r="G1182" s="265">
        <v>42222</v>
      </c>
      <c r="H1182" s="266">
        <f t="shared" si="85"/>
        <v>3044.23</v>
      </c>
      <c r="I1182" s="266">
        <f t="shared" si="86"/>
        <v>0</v>
      </c>
      <c r="J1182" s="295">
        <v>1</v>
      </c>
      <c r="K1182" s="266">
        <f t="shared" si="87"/>
        <v>30.442299999999999</v>
      </c>
      <c r="L1182" s="312">
        <f t="shared" si="88"/>
        <v>49</v>
      </c>
      <c r="M1182" s="263"/>
      <c r="N1182" s="263"/>
      <c r="O1182" s="29">
        <v>3044.23</v>
      </c>
      <c r="P1182" s="29">
        <v>0</v>
      </c>
      <c r="Q1182" s="29">
        <v>547.96</v>
      </c>
      <c r="R1182" s="29">
        <v>3592.19</v>
      </c>
      <c r="S1182" s="29">
        <v>0</v>
      </c>
      <c r="T1182" s="29">
        <v>1</v>
      </c>
      <c r="U1182" s="29">
        <v>35.921900000000001</v>
      </c>
    </row>
    <row r="1183" spans="1:21">
      <c r="A1183" s="29">
        <v>28</v>
      </c>
      <c r="B1183" s="111">
        <v>4</v>
      </c>
      <c r="C1183" s="111">
        <v>31135</v>
      </c>
      <c r="D1183" s="111" t="s">
        <v>758</v>
      </c>
      <c r="E1183" s="111" t="s">
        <v>448</v>
      </c>
      <c r="F1183" s="265">
        <v>42174</v>
      </c>
      <c r="G1183" s="265">
        <v>42222</v>
      </c>
      <c r="H1183" s="266">
        <f t="shared" si="85"/>
        <v>890.3</v>
      </c>
      <c r="I1183" s="266">
        <f t="shared" si="86"/>
        <v>0</v>
      </c>
      <c r="J1183" s="295">
        <v>1</v>
      </c>
      <c r="K1183" s="266">
        <f t="shared" si="87"/>
        <v>8.9030000000000005</v>
      </c>
      <c r="L1183" s="312">
        <f t="shared" si="88"/>
        <v>48</v>
      </c>
      <c r="M1183" s="263"/>
      <c r="N1183" s="263"/>
      <c r="O1183" s="29">
        <v>890.3</v>
      </c>
      <c r="P1183" s="29">
        <v>0</v>
      </c>
      <c r="Q1183" s="29">
        <v>160.25</v>
      </c>
      <c r="R1183" s="29">
        <v>1050.55</v>
      </c>
      <c r="S1183" s="29">
        <v>0</v>
      </c>
      <c r="T1183" s="29">
        <v>1</v>
      </c>
      <c r="U1183" s="29">
        <v>10.5055</v>
      </c>
    </row>
    <row r="1184" spans="1:21">
      <c r="A1184" s="29">
        <v>29</v>
      </c>
      <c r="B1184" s="111">
        <v>4</v>
      </c>
      <c r="C1184" s="111">
        <v>31134</v>
      </c>
      <c r="D1184" s="111" t="s">
        <v>758</v>
      </c>
      <c r="E1184" s="111" t="s">
        <v>448</v>
      </c>
      <c r="F1184" s="265">
        <v>42174</v>
      </c>
      <c r="G1184" s="265">
        <v>42222</v>
      </c>
      <c r="H1184" s="266">
        <f t="shared" si="85"/>
        <v>532.92999999999995</v>
      </c>
      <c r="I1184" s="266">
        <f t="shared" si="86"/>
        <v>0</v>
      </c>
      <c r="J1184" s="295">
        <v>1</v>
      </c>
      <c r="K1184" s="266">
        <f t="shared" si="87"/>
        <v>5.3292999999999999</v>
      </c>
      <c r="L1184" s="312">
        <f t="shared" si="88"/>
        <v>48</v>
      </c>
      <c r="M1184" s="263"/>
      <c r="N1184" s="263"/>
      <c r="O1184" s="29">
        <v>532.92999999999995</v>
      </c>
      <c r="P1184" s="29">
        <v>0</v>
      </c>
      <c r="Q1184" s="29">
        <v>95.93</v>
      </c>
      <c r="R1184" s="29">
        <v>628.86</v>
      </c>
      <c r="S1184" s="29">
        <v>0</v>
      </c>
      <c r="T1184" s="29">
        <v>1</v>
      </c>
      <c r="U1184" s="29">
        <v>6.2885999999999997</v>
      </c>
    </row>
    <row r="1185" spans="1:21">
      <c r="A1185" s="29">
        <v>30</v>
      </c>
      <c r="B1185" s="111">
        <v>4</v>
      </c>
      <c r="C1185" s="111">
        <v>31151</v>
      </c>
      <c r="D1185" s="111" t="s">
        <v>758</v>
      </c>
      <c r="E1185" s="111" t="s">
        <v>448</v>
      </c>
      <c r="F1185" s="265">
        <v>42174</v>
      </c>
      <c r="G1185" s="265">
        <v>42222</v>
      </c>
      <c r="H1185" s="266">
        <f t="shared" si="85"/>
        <v>2286.2199999999998</v>
      </c>
      <c r="I1185" s="266">
        <f t="shared" si="86"/>
        <v>0</v>
      </c>
      <c r="J1185" s="295">
        <v>1</v>
      </c>
      <c r="K1185" s="266">
        <f t="shared" si="87"/>
        <v>22.862199999999998</v>
      </c>
      <c r="L1185" s="312">
        <f t="shared" si="88"/>
        <v>48</v>
      </c>
      <c r="M1185" s="263"/>
      <c r="N1185" s="263"/>
      <c r="O1185" s="29">
        <v>2286.2199999999998</v>
      </c>
      <c r="P1185" s="29">
        <v>0</v>
      </c>
      <c r="Q1185" s="29">
        <v>411.52</v>
      </c>
      <c r="R1185" s="29">
        <v>2697.74</v>
      </c>
      <c r="S1185" s="29">
        <v>0</v>
      </c>
      <c r="T1185" s="29">
        <v>1</v>
      </c>
      <c r="U1185" s="29">
        <v>26.977399999999999</v>
      </c>
    </row>
    <row r="1186" spans="1:21">
      <c r="A1186" s="29">
        <v>31</v>
      </c>
      <c r="B1186" s="111">
        <v>4</v>
      </c>
      <c r="C1186" s="111">
        <v>31218</v>
      </c>
      <c r="D1186" s="111" t="s">
        <v>758</v>
      </c>
      <c r="E1186" s="111" t="s">
        <v>448</v>
      </c>
      <c r="F1186" s="265">
        <v>42175</v>
      </c>
      <c r="G1186" s="265">
        <v>42222</v>
      </c>
      <c r="H1186" s="266">
        <f t="shared" si="85"/>
        <v>286.77</v>
      </c>
      <c r="I1186" s="266">
        <f t="shared" si="86"/>
        <v>0</v>
      </c>
      <c r="J1186" s="295">
        <v>1</v>
      </c>
      <c r="K1186" s="266">
        <f t="shared" si="87"/>
        <v>2.8676999999999997</v>
      </c>
      <c r="L1186" s="312">
        <f t="shared" si="88"/>
        <v>47</v>
      </c>
      <c r="M1186" s="263"/>
      <c r="N1186" s="263"/>
      <c r="O1186" s="29">
        <v>286.77</v>
      </c>
      <c r="P1186" s="29">
        <v>0</v>
      </c>
      <c r="Q1186" s="29">
        <v>51.62</v>
      </c>
      <c r="R1186" s="29">
        <v>338.39</v>
      </c>
      <c r="S1186" s="29">
        <v>0</v>
      </c>
      <c r="T1186" s="29">
        <v>1</v>
      </c>
      <c r="U1186" s="29">
        <v>3.3839000000000001</v>
      </c>
    </row>
    <row r="1187" spans="1:21">
      <c r="A1187" s="29">
        <v>32</v>
      </c>
      <c r="B1187" s="111">
        <v>4</v>
      </c>
      <c r="C1187" s="111">
        <v>31226</v>
      </c>
      <c r="D1187" s="111" t="s">
        <v>758</v>
      </c>
      <c r="E1187" s="111" t="s">
        <v>448</v>
      </c>
      <c r="F1187" s="265">
        <v>42175</v>
      </c>
      <c r="G1187" s="265">
        <v>42222</v>
      </c>
      <c r="H1187" s="266">
        <f t="shared" si="85"/>
        <v>820.19</v>
      </c>
      <c r="I1187" s="266">
        <f t="shared" si="86"/>
        <v>0</v>
      </c>
      <c r="J1187" s="295">
        <v>1</v>
      </c>
      <c r="K1187" s="266">
        <f t="shared" si="87"/>
        <v>8.2019000000000002</v>
      </c>
      <c r="L1187" s="312">
        <f t="shared" si="88"/>
        <v>47</v>
      </c>
      <c r="M1187" s="263"/>
      <c r="N1187" s="263"/>
      <c r="O1187" s="29">
        <v>820.19</v>
      </c>
      <c r="P1187" s="29">
        <v>0</v>
      </c>
      <c r="Q1187" s="29">
        <v>147.63</v>
      </c>
      <c r="R1187" s="29">
        <v>967.82</v>
      </c>
      <c r="S1187" s="29">
        <v>0</v>
      </c>
      <c r="T1187" s="29">
        <v>1</v>
      </c>
      <c r="U1187" s="29">
        <v>9.6782000000000004</v>
      </c>
    </row>
    <row r="1188" spans="1:21">
      <c r="A1188" s="29">
        <v>33</v>
      </c>
      <c r="B1188" s="111">
        <v>4</v>
      </c>
      <c r="C1188" s="111">
        <v>31284</v>
      </c>
      <c r="D1188" s="111" t="s">
        <v>757</v>
      </c>
      <c r="E1188" s="111" t="s">
        <v>448</v>
      </c>
      <c r="F1188" s="265">
        <v>42177</v>
      </c>
      <c r="G1188" s="265">
        <v>42223</v>
      </c>
      <c r="H1188" s="266">
        <f t="shared" ref="H1188:H1219" si="89">O1188+P1188</f>
        <v>152.9</v>
      </c>
      <c r="I1188" s="266">
        <f t="shared" ref="I1188:I1219" si="90">S1188/1.18</f>
        <v>0</v>
      </c>
      <c r="J1188" s="295">
        <v>1</v>
      </c>
      <c r="K1188" s="266">
        <f t="shared" ref="K1188:K1219" si="91">H1188*J1188%</f>
        <v>1.5290000000000001</v>
      </c>
      <c r="L1188" s="312">
        <f t="shared" ref="L1188:L1219" si="92">G1188-F1188</f>
        <v>46</v>
      </c>
      <c r="M1188" s="263"/>
      <c r="N1188" s="263"/>
      <c r="O1188" s="29">
        <v>152.9</v>
      </c>
      <c r="P1188" s="29">
        <v>0</v>
      </c>
      <c r="Q1188" s="29">
        <v>27.52</v>
      </c>
      <c r="R1188" s="29">
        <v>180.42</v>
      </c>
      <c r="S1188" s="29">
        <v>0</v>
      </c>
      <c r="T1188" s="29">
        <v>1</v>
      </c>
      <c r="U1188" s="29">
        <v>1.8042</v>
      </c>
    </row>
    <row r="1189" spans="1:21">
      <c r="A1189" s="29">
        <v>34</v>
      </c>
      <c r="B1189" s="111">
        <v>4</v>
      </c>
      <c r="C1189" s="111">
        <v>31333</v>
      </c>
      <c r="D1189" s="111" t="s">
        <v>759</v>
      </c>
      <c r="E1189" s="111" t="s">
        <v>448</v>
      </c>
      <c r="F1189" s="265">
        <v>42178</v>
      </c>
      <c r="G1189" s="265">
        <v>42234</v>
      </c>
      <c r="H1189" s="266">
        <f t="shared" si="89"/>
        <v>358.05</v>
      </c>
      <c r="I1189" s="266">
        <f t="shared" si="90"/>
        <v>0</v>
      </c>
      <c r="J1189" s="295">
        <v>1</v>
      </c>
      <c r="K1189" s="266">
        <f t="shared" si="91"/>
        <v>3.5805000000000002</v>
      </c>
      <c r="L1189" s="312">
        <f t="shared" si="92"/>
        <v>56</v>
      </c>
      <c r="M1189" s="263"/>
      <c r="N1189" s="263"/>
      <c r="O1189" s="29">
        <v>358.05</v>
      </c>
      <c r="P1189" s="29">
        <v>0</v>
      </c>
      <c r="Q1189" s="29">
        <v>64.45</v>
      </c>
      <c r="R1189" s="29">
        <v>422.5</v>
      </c>
      <c r="S1189" s="29">
        <v>0</v>
      </c>
      <c r="T1189" s="29">
        <v>1</v>
      </c>
      <c r="U1189" s="29">
        <v>4.2249999999999996</v>
      </c>
    </row>
    <row r="1190" spans="1:21">
      <c r="A1190" s="29">
        <v>35</v>
      </c>
      <c r="B1190" s="111">
        <v>4</v>
      </c>
      <c r="C1190" s="111">
        <v>31323</v>
      </c>
      <c r="D1190" s="111" t="s">
        <v>758</v>
      </c>
      <c r="E1190" s="111" t="s">
        <v>448</v>
      </c>
      <c r="F1190" s="265">
        <v>42178</v>
      </c>
      <c r="G1190" s="265">
        <v>42222</v>
      </c>
      <c r="H1190" s="266">
        <f t="shared" si="89"/>
        <v>2437.75</v>
      </c>
      <c r="I1190" s="266">
        <f t="shared" si="90"/>
        <v>0</v>
      </c>
      <c r="J1190" s="295">
        <v>1</v>
      </c>
      <c r="K1190" s="266">
        <f t="shared" si="91"/>
        <v>24.377500000000001</v>
      </c>
      <c r="L1190" s="312">
        <f t="shared" si="92"/>
        <v>44</v>
      </c>
      <c r="M1190" s="263"/>
      <c r="N1190" s="263"/>
      <c r="O1190" s="29">
        <v>2437.75</v>
      </c>
      <c r="P1190" s="29">
        <v>0</v>
      </c>
      <c r="Q1190" s="29">
        <v>438.8</v>
      </c>
      <c r="R1190" s="29">
        <v>2876.55</v>
      </c>
      <c r="S1190" s="29">
        <v>0</v>
      </c>
      <c r="T1190" s="29">
        <v>1</v>
      </c>
      <c r="U1190" s="29">
        <v>28.765499999999999</v>
      </c>
    </row>
    <row r="1191" spans="1:21">
      <c r="A1191" s="29">
        <v>36</v>
      </c>
      <c r="B1191" s="111">
        <v>4</v>
      </c>
      <c r="C1191" s="111">
        <v>31322</v>
      </c>
      <c r="D1191" s="111" t="s">
        <v>758</v>
      </c>
      <c r="E1191" s="111" t="s">
        <v>448</v>
      </c>
      <c r="F1191" s="265">
        <v>42178</v>
      </c>
      <c r="G1191" s="265">
        <v>42222</v>
      </c>
      <c r="H1191" s="266">
        <f t="shared" si="89"/>
        <v>5347.16</v>
      </c>
      <c r="I1191" s="266">
        <f t="shared" si="90"/>
        <v>0</v>
      </c>
      <c r="J1191" s="295">
        <v>1</v>
      </c>
      <c r="K1191" s="266">
        <f t="shared" si="91"/>
        <v>53.471600000000002</v>
      </c>
      <c r="L1191" s="312">
        <f t="shared" si="92"/>
        <v>44</v>
      </c>
      <c r="M1191" s="263"/>
      <c r="N1191" s="263"/>
      <c r="O1191" s="29">
        <v>5347.16</v>
      </c>
      <c r="P1191" s="29">
        <v>0</v>
      </c>
      <c r="Q1191" s="29">
        <v>962.49</v>
      </c>
      <c r="R1191" s="29">
        <v>6309.65</v>
      </c>
      <c r="S1191" s="29">
        <v>0</v>
      </c>
      <c r="T1191" s="29">
        <v>1</v>
      </c>
      <c r="U1191" s="29">
        <v>63.096499999999999</v>
      </c>
    </row>
    <row r="1192" spans="1:21">
      <c r="A1192" s="29">
        <v>37</v>
      </c>
      <c r="B1192" s="111">
        <v>4</v>
      </c>
      <c r="C1192" s="111">
        <v>31326</v>
      </c>
      <c r="D1192" s="111" t="s">
        <v>758</v>
      </c>
      <c r="E1192" s="111" t="s">
        <v>448</v>
      </c>
      <c r="F1192" s="265">
        <v>42178</v>
      </c>
      <c r="G1192" s="265">
        <v>42222</v>
      </c>
      <c r="H1192" s="266">
        <f t="shared" si="89"/>
        <v>3013.89</v>
      </c>
      <c r="I1192" s="266">
        <f t="shared" si="90"/>
        <v>0</v>
      </c>
      <c r="J1192" s="295">
        <v>1</v>
      </c>
      <c r="K1192" s="266">
        <f t="shared" si="91"/>
        <v>30.1389</v>
      </c>
      <c r="L1192" s="312">
        <f t="shared" si="92"/>
        <v>44</v>
      </c>
      <c r="M1192" s="263"/>
      <c r="N1192" s="263"/>
      <c r="O1192" s="29">
        <v>3013.89</v>
      </c>
      <c r="P1192" s="29">
        <v>0</v>
      </c>
      <c r="Q1192" s="29">
        <v>542.5</v>
      </c>
      <c r="R1192" s="29">
        <v>3556.39</v>
      </c>
      <c r="S1192" s="29">
        <v>0</v>
      </c>
      <c r="T1192" s="29">
        <v>1</v>
      </c>
      <c r="U1192" s="29">
        <v>35.563899999999997</v>
      </c>
    </row>
    <row r="1193" spans="1:21">
      <c r="A1193" s="29">
        <v>38</v>
      </c>
      <c r="B1193" s="111">
        <v>4</v>
      </c>
      <c r="C1193" s="111">
        <v>31324</v>
      </c>
      <c r="D1193" s="111" t="s">
        <v>758</v>
      </c>
      <c r="E1193" s="111" t="s">
        <v>448</v>
      </c>
      <c r="F1193" s="265">
        <v>42178</v>
      </c>
      <c r="G1193" s="265">
        <v>42222</v>
      </c>
      <c r="H1193" s="266">
        <f t="shared" si="89"/>
        <v>2417.7800000000002</v>
      </c>
      <c r="I1193" s="266">
        <f t="shared" si="90"/>
        <v>0</v>
      </c>
      <c r="J1193" s="295">
        <v>1</v>
      </c>
      <c r="K1193" s="266">
        <f t="shared" si="91"/>
        <v>24.177800000000001</v>
      </c>
      <c r="L1193" s="312">
        <f t="shared" si="92"/>
        <v>44</v>
      </c>
      <c r="M1193" s="263"/>
      <c r="N1193" s="263"/>
      <c r="O1193" s="29">
        <v>2417.7800000000002</v>
      </c>
      <c r="P1193" s="29">
        <v>0</v>
      </c>
      <c r="Q1193" s="29">
        <v>435.2</v>
      </c>
      <c r="R1193" s="29">
        <v>2852.98</v>
      </c>
      <c r="S1193" s="29">
        <v>0</v>
      </c>
      <c r="T1193" s="29">
        <v>1</v>
      </c>
      <c r="U1193" s="29">
        <v>28.529800000000002</v>
      </c>
    </row>
    <row r="1194" spans="1:21">
      <c r="A1194" s="29">
        <v>39</v>
      </c>
      <c r="B1194" s="111">
        <v>4</v>
      </c>
      <c r="C1194" s="111">
        <v>31325</v>
      </c>
      <c r="D1194" s="111" t="s">
        <v>758</v>
      </c>
      <c r="E1194" s="111" t="s">
        <v>448</v>
      </c>
      <c r="F1194" s="265">
        <v>42178</v>
      </c>
      <c r="G1194" s="265">
        <v>42222</v>
      </c>
      <c r="H1194" s="266">
        <f t="shared" si="89"/>
        <v>536.03</v>
      </c>
      <c r="I1194" s="266">
        <f t="shared" si="90"/>
        <v>0</v>
      </c>
      <c r="J1194" s="295">
        <v>1</v>
      </c>
      <c r="K1194" s="266">
        <f t="shared" si="91"/>
        <v>5.3602999999999996</v>
      </c>
      <c r="L1194" s="312">
        <f t="shared" si="92"/>
        <v>44</v>
      </c>
      <c r="M1194" s="263"/>
      <c r="N1194" s="263"/>
      <c r="O1194" s="29">
        <v>536.03</v>
      </c>
      <c r="P1194" s="29">
        <v>0</v>
      </c>
      <c r="Q1194" s="29">
        <v>96.49</v>
      </c>
      <c r="R1194" s="29">
        <v>632.52</v>
      </c>
      <c r="S1194" s="29">
        <v>0</v>
      </c>
      <c r="T1194" s="29">
        <v>1</v>
      </c>
      <c r="U1194" s="29">
        <v>6.3251999999999997</v>
      </c>
    </row>
    <row r="1195" spans="1:21">
      <c r="A1195" s="29">
        <v>40</v>
      </c>
      <c r="B1195" s="111">
        <v>4</v>
      </c>
      <c r="C1195" s="111">
        <v>31533</v>
      </c>
      <c r="D1195" s="111" t="s">
        <v>759</v>
      </c>
      <c r="E1195" s="111" t="s">
        <v>448</v>
      </c>
      <c r="F1195" s="265">
        <v>42179</v>
      </c>
      <c r="G1195" s="265">
        <v>42247</v>
      </c>
      <c r="H1195" s="266">
        <f t="shared" si="89"/>
        <v>802.24</v>
      </c>
      <c r="I1195" s="266">
        <f t="shared" si="90"/>
        <v>0</v>
      </c>
      <c r="J1195" s="295">
        <v>1</v>
      </c>
      <c r="K1195" s="266">
        <f t="shared" si="91"/>
        <v>8.0224000000000011</v>
      </c>
      <c r="L1195" s="312">
        <f t="shared" si="92"/>
        <v>68</v>
      </c>
      <c r="M1195" s="263"/>
      <c r="N1195" s="263"/>
      <c r="O1195" s="29">
        <v>802.24</v>
      </c>
      <c r="P1195" s="29">
        <v>0</v>
      </c>
      <c r="Q1195" s="29">
        <v>144.4</v>
      </c>
      <c r="R1195" s="29">
        <v>946.64</v>
      </c>
      <c r="S1195" s="29">
        <v>0</v>
      </c>
      <c r="T1195" s="29">
        <v>1</v>
      </c>
      <c r="U1195" s="29">
        <v>9.4664000000000001</v>
      </c>
    </row>
    <row r="1196" spans="1:21">
      <c r="A1196" s="29">
        <v>41</v>
      </c>
      <c r="B1196" s="111">
        <v>4</v>
      </c>
      <c r="C1196" s="111">
        <v>31352</v>
      </c>
      <c r="D1196" s="111" t="s">
        <v>759</v>
      </c>
      <c r="E1196" s="111" t="s">
        <v>448</v>
      </c>
      <c r="F1196" s="265">
        <v>42178</v>
      </c>
      <c r="G1196" s="265">
        <v>42234</v>
      </c>
      <c r="H1196" s="266">
        <f t="shared" si="89"/>
        <v>2050.65</v>
      </c>
      <c r="I1196" s="266">
        <f t="shared" si="90"/>
        <v>0</v>
      </c>
      <c r="J1196" s="295">
        <v>1</v>
      </c>
      <c r="K1196" s="266">
        <f t="shared" si="91"/>
        <v>20.506500000000003</v>
      </c>
      <c r="L1196" s="312">
        <f t="shared" si="92"/>
        <v>56</v>
      </c>
      <c r="M1196" s="263"/>
      <c r="N1196" s="263"/>
      <c r="O1196" s="29">
        <v>2050.65</v>
      </c>
      <c r="P1196" s="29">
        <v>0</v>
      </c>
      <c r="Q1196" s="29">
        <v>369.12</v>
      </c>
      <c r="R1196" s="29">
        <v>2419.77</v>
      </c>
      <c r="S1196" s="29">
        <v>0</v>
      </c>
      <c r="T1196" s="29">
        <v>1</v>
      </c>
      <c r="U1196" s="29">
        <v>24.197700000000001</v>
      </c>
    </row>
    <row r="1197" spans="1:21">
      <c r="A1197" s="29">
        <v>42</v>
      </c>
      <c r="B1197" s="111">
        <v>4</v>
      </c>
      <c r="C1197" s="111">
        <v>31354</v>
      </c>
      <c r="D1197" s="111" t="s">
        <v>757</v>
      </c>
      <c r="E1197" s="111" t="s">
        <v>448</v>
      </c>
      <c r="F1197" s="265">
        <v>42178</v>
      </c>
      <c r="G1197" s="265">
        <v>42223</v>
      </c>
      <c r="H1197" s="266">
        <f t="shared" si="89"/>
        <v>86.05</v>
      </c>
      <c r="I1197" s="266">
        <f t="shared" si="90"/>
        <v>0</v>
      </c>
      <c r="J1197" s="295">
        <v>1</v>
      </c>
      <c r="K1197" s="266">
        <f t="shared" si="91"/>
        <v>0.86050000000000004</v>
      </c>
      <c r="L1197" s="312">
        <f t="shared" si="92"/>
        <v>45</v>
      </c>
      <c r="M1197" s="263"/>
      <c r="N1197" s="263"/>
      <c r="O1197" s="29">
        <v>86.05</v>
      </c>
      <c r="P1197" s="29">
        <v>0</v>
      </c>
      <c r="Q1197" s="29">
        <v>15.49</v>
      </c>
      <c r="R1197" s="29">
        <v>101.54</v>
      </c>
      <c r="S1197" s="29">
        <v>0</v>
      </c>
      <c r="T1197" s="29">
        <v>1</v>
      </c>
      <c r="U1197" s="29">
        <v>1.0154000000000001</v>
      </c>
    </row>
    <row r="1198" spans="1:21">
      <c r="A1198" s="29">
        <v>43</v>
      </c>
      <c r="B1198" s="111">
        <v>4</v>
      </c>
      <c r="C1198" s="111">
        <v>31356</v>
      </c>
      <c r="D1198" s="111" t="s">
        <v>757</v>
      </c>
      <c r="E1198" s="111" t="s">
        <v>448</v>
      </c>
      <c r="F1198" s="265">
        <v>42178</v>
      </c>
      <c r="G1198" s="265">
        <v>42223</v>
      </c>
      <c r="H1198" s="266">
        <f t="shared" si="89"/>
        <v>344.22</v>
      </c>
      <c r="I1198" s="266">
        <f t="shared" si="90"/>
        <v>0</v>
      </c>
      <c r="J1198" s="295">
        <v>1</v>
      </c>
      <c r="K1198" s="266">
        <f t="shared" si="91"/>
        <v>3.4422000000000001</v>
      </c>
      <c r="L1198" s="312">
        <f t="shared" si="92"/>
        <v>45</v>
      </c>
      <c r="M1198" s="263"/>
      <c r="N1198" s="263"/>
      <c r="O1198" s="29">
        <v>344.22</v>
      </c>
      <c r="P1198" s="29">
        <v>0</v>
      </c>
      <c r="Q1198" s="29">
        <v>61.96</v>
      </c>
      <c r="R1198" s="29">
        <v>406.18</v>
      </c>
      <c r="S1198" s="29">
        <v>0</v>
      </c>
      <c r="T1198" s="29">
        <v>1</v>
      </c>
      <c r="U1198" s="29">
        <v>4.0617999999999999</v>
      </c>
    </row>
    <row r="1199" spans="1:21">
      <c r="A1199" s="29">
        <v>44</v>
      </c>
      <c r="B1199" s="111">
        <v>4</v>
      </c>
      <c r="C1199" s="111">
        <v>31416</v>
      </c>
      <c r="D1199" s="111" t="s">
        <v>757</v>
      </c>
      <c r="E1199" s="111" t="s">
        <v>448</v>
      </c>
      <c r="F1199" s="265">
        <v>42178</v>
      </c>
      <c r="G1199" s="265">
        <v>42223</v>
      </c>
      <c r="H1199" s="266">
        <f t="shared" si="89"/>
        <v>654.86</v>
      </c>
      <c r="I1199" s="266">
        <f t="shared" si="90"/>
        <v>0</v>
      </c>
      <c r="J1199" s="295">
        <v>1</v>
      </c>
      <c r="K1199" s="266">
        <f t="shared" si="91"/>
        <v>6.5486000000000004</v>
      </c>
      <c r="L1199" s="312">
        <f t="shared" si="92"/>
        <v>45</v>
      </c>
      <c r="M1199" s="263"/>
      <c r="N1199" s="263"/>
      <c r="O1199" s="29">
        <v>654.86</v>
      </c>
      <c r="P1199" s="29">
        <v>0</v>
      </c>
      <c r="Q1199" s="29">
        <v>117.87</v>
      </c>
      <c r="R1199" s="29">
        <v>772.73</v>
      </c>
      <c r="S1199" s="29">
        <v>0</v>
      </c>
      <c r="T1199" s="29">
        <v>1</v>
      </c>
      <c r="U1199" s="29">
        <v>7.7272999999999996</v>
      </c>
    </row>
    <row r="1200" spans="1:21">
      <c r="A1200" s="29">
        <v>45</v>
      </c>
      <c r="B1200" s="111">
        <v>4</v>
      </c>
      <c r="C1200" s="111">
        <v>31438</v>
      </c>
      <c r="D1200" s="111" t="s">
        <v>758</v>
      </c>
      <c r="E1200" s="111" t="s">
        <v>448</v>
      </c>
      <c r="F1200" s="265">
        <v>42179</v>
      </c>
      <c r="G1200" s="265">
        <v>42222</v>
      </c>
      <c r="H1200" s="266">
        <f t="shared" si="89"/>
        <v>1731.31</v>
      </c>
      <c r="I1200" s="266">
        <f t="shared" si="90"/>
        <v>0</v>
      </c>
      <c r="J1200" s="295">
        <v>1</v>
      </c>
      <c r="K1200" s="266">
        <f t="shared" si="91"/>
        <v>17.313099999999999</v>
      </c>
      <c r="L1200" s="312">
        <f t="shared" si="92"/>
        <v>43</v>
      </c>
      <c r="M1200" s="263"/>
      <c r="N1200" s="263"/>
      <c r="O1200" s="29">
        <v>1731.31</v>
      </c>
      <c r="P1200" s="29">
        <v>0</v>
      </c>
      <c r="Q1200" s="29">
        <v>311.64</v>
      </c>
      <c r="R1200" s="29">
        <v>2042.95</v>
      </c>
      <c r="S1200" s="29">
        <v>0</v>
      </c>
      <c r="T1200" s="29">
        <v>1</v>
      </c>
      <c r="U1200" s="29">
        <v>20.429500000000001</v>
      </c>
    </row>
    <row r="1201" spans="1:21">
      <c r="A1201" s="29">
        <v>46</v>
      </c>
      <c r="B1201" s="111">
        <v>4</v>
      </c>
      <c r="C1201" s="111">
        <v>31455</v>
      </c>
      <c r="D1201" s="111" t="s">
        <v>757</v>
      </c>
      <c r="E1201" s="111" t="s">
        <v>448</v>
      </c>
      <c r="F1201" s="265">
        <v>42179</v>
      </c>
      <c r="G1201" s="265">
        <v>42223</v>
      </c>
      <c r="H1201" s="266">
        <f t="shared" si="89"/>
        <v>503.42</v>
      </c>
      <c r="I1201" s="266">
        <f t="shared" si="90"/>
        <v>0</v>
      </c>
      <c r="J1201" s="295">
        <v>1</v>
      </c>
      <c r="K1201" s="266">
        <f t="shared" si="91"/>
        <v>5.0342000000000002</v>
      </c>
      <c r="L1201" s="312">
        <f t="shared" si="92"/>
        <v>44</v>
      </c>
      <c r="M1201" s="263"/>
      <c r="N1201" s="263"/>
      <c r="O1201" s="29">
        <v>503.42</v>
      </c>
      <c r="P1201" s="29">
        <v>0</v>
      </c>
      <c r="Q1201" s="29">
        <v>90.62</v>
      </c>
      <c r="R1201" s="29">
        <v>594.04</v>
      </c>
      <c r="S1201" s="29">
        <v>0</v>
      </c>
      <c r="T1201" s="29">
        <v>1</v>
      </c>
      <c r="U1201" s="29">
        <v>5.9404000000000003</v>
      </c>
    </row>
    <row r="1202" spans="1:21">
      <c r="A1202" s="29">
        <v>47</v>
      </c>
      <c r="B1202" s="111">
        <v>4</v>
      </c>
      <c r="C1202" s="111">
        <v>31481</v>
      </c>
      <c r="D1202" s="111" t="s">
        <v>759</v>
      </c>
      <c r="E1202" s="111" t="s">
        <v>448</v>
      </c>
      <c r="F1202" s="265">
        <v>42179</v>
      </c>
      <c r="G1202" s="265">
        <v>42247</v>
      </c>
      <c r="H1202" s="266">
        <f t="shared" si="89"/>
        <v>4701.8</v>
      </c>
      <c r="I1202" s="266">
        <f t="shared" si="90"/>
        <v>0</v>
      </c>
      <c r="J1202" s="295">
        <v>1</v>
      </c>
      <c r="K1202" s="266">
        <f t="shared" si="91"/>
        <v>47.018000000000001</v>
      </c>
      <c r="L1202" s="312">
        <f t="shared" si="92"/>
        <v>68</v>
      </c>
      <c r="M1202" s="263"/>
      <c r="N1202" s="263"/>
      <c r="O1202" s="29">
        <v>4701.8</v>
      </c>
      <c r="P1202" s="29">
        <v>0</v>
      </c>
      <c r="Q1202" s="29">
        <v>846.32</v>
      </c>
      <c r="R1202" s="29">
        <v>5548.12</v>
      </c>
      <c r="S1202" s="29">
        <v>0</v>
      </c>
      <c r="T1202" s="29">
        <v>1</v>
      </c>
      <c r="U1202" s="29">
        <v>55.481200000000001</v>
      </c>
    </row>
    <row r="1203" spans="1:21">
      <c r="A1203" s="29">
        <v>48</v>
      </c>
      <c r="B1203" s="111">
        <v>4</v>
      </c>
      <c r="C1203" s="111">
        <v>31454</v>
      </c>
      <c r="D1203" s="111" t="s">
        <v>759</v>
      </c>
      <c r="E1203" s="111" t="s">
        <v>448</v>
      </c>
      <c r="F1203" s="265">
        <v>42179</v>
      </c>
      <c r="G1203" s="265">
        <v>42244</v>
      </c>
      <c r="H1203" s="266">
        <f t="shared" si="89"/>
        <v>17084.580000000002</v>
      </c>
      <c r="I1203" s="266">
        <f t="shared" si="90"/>
        <v>0</v>
      </c>
      <c r="J1203" s="295">
        <v>1</v>
      </c>
      <c r="K1203" s="266">
        <f t="shared" si="91"/>
        <v>170.84580000000003</v>
      </c>
      <c r="L1203" s="312">
        <f t="shared" si="92"/>
        <v>65</v>
      </c>
      <c r="M1203" s="263"/>
      <c r="N1203" s="263"/>
      <c r="O1203" s="29">
        <v>17084.580000000002</v>
      </c>
      <c r="P1203" s="29">
        <v>0</v>
      </c>
      <c r="Q1203" s="29">
        <v>3075.22</v>
      </c>
      <c r="R1203" s="29">
        <v>20159.8</v>
      </c>
      <c r="S1203" s="29">
        <v>0</v>
      </c>
      <c r="T1203" s="29">
        <v>1</v>
      </c>
      <c r="U1203" s="29">
        <v>201.59800000000001</v>
      </c>
    </row>
    <row r="1204" spans="1:21">
      <c r="A1204" s="29">
        <v>49</v>
      </c>
      <c r="B1204" s="111">
        <v>4</v>
      </c>
      <c r="C1204" s="111">
        <v>31534</v>
      </c>
      <c r="D1204" s="111" t="s">
        <v>759</v>
      </c>
      <c r="E1204" s="111" t="s">
        <v>448</v>
      </c>
      <c r="F1204" s="265">
        <v>42179</v>
      </c>
      <c r="G1204" s="265">
        <v>42247</v>
      </c>
      <c r="H1204" s="266">
        <f t="shared" si="89"/>
        <v>1665.01</v>
      </c>
      <c r="I1204" s="266">
        <f t="shared" si="90"/>
        <v>0</v>
      </c>
      <c r="J1204" s="295">
        <v>1</v>
      </c>
      <c r="K1204" s="266">
        <f t="shared" si="91"/>
        <v>16.650100000000002</v>
      </c>
      <c r="L1204" s="312">
        <f t="shared" si="92"/>
        <v>68</v>
      </c>
      <c r="M1204" s="263"/>
      <c r="N1204" s="263"/>
      <c r="O1204" s="29">
        <v>1665.01</v>
      </c>
      <c r="P1204" s="29">
        <v>0</v>
      </c>
      <c r="Q1204" s="29">
        <v>299.7</v>
      </c>
      <c r="R1204" s="29">
        <v>1964.71</v>
      </c>
      <c r="S1204" s="29">
        <v>0</v>
      </c>
      <c r="T1204" s="29">
        <v>1</v>
      </c>
      <c r="U1204" s="29">
        <v>19.647099999999998</v>
      </c>
    </row>
    <row r="1205" spans="1:21">
      <c r="A1205" s="29">
        <v>50</v>
      </c>
      <c r="B1205" s="111">
        <v>4</v>
      </c>
      <c r="C1205" s="111">
        <v>31555</v>
      </c>
      <c r="D1205" s="111" t="s">
        <v>759</v>
      </c>
      <c r="E1205" s="111" t="s">
        <v>448</v>
      </c>
      <c r="F1205" s="265">
        <v>42179</v>
      </c>
      <c r="G1205" s="265">
        <v>42247</v>
      </c>
      <c r="H1205" s="266">
        <f t="shared" si="89"/>
        <v>1412.58</v>
      </c>
      <c r="I1205" s="266">
        <f t="shared" si="90"/>
        <v>0</v>
      </c>
      <c r="J1205" s="295">
        <v>1</v>
      </c>
      <c r="K1205" s="266">
        <f t="shared" si="91"/>
        <v>14.1258</v>
      </c>
      <c r="L1205" s="312">
        <f t="shared" si="92"/>
        <v>68</v>
      </c>
      <c r="M1205" s="263"/>
      <c r="N1205" s="263"/>
      <c r="O1205" s="29">
        <v>1412.58</v>
      </c>
      <c r="P1205" s="29">
        <v>0</v>
      </c>
      <c r="Q1205" s="29">
        <v>254.26</v>
      </c>
      <c r="R1205" s="29">
        <v>1666.84</v>
      </c>
      <c r="S1205" s="29">
        <v>0</v>
      </c>
      <c r="T1205" s="29">
        <v>1</v>
      </c>
      <c r="U1205" s="29">
        <v>16.668399999999998</v>
      </c>
    </row>
    <row r="1206" spans="1:21">
      <c r="A1206" s="29">
        <v>51</v>
      </c>
      <c r="B1206" s="111">
        <v>4</v>
      </c>
      <c r="C1206" s="111">
        <v>31535</v>
      </c>
      <c r="D1206" s="111" t="s">
        <v>758</v>
      </c>
      <c r="E1206" s="111" t="s">
        <v>448</v>
      </c>
      <c r="F1206" s="265">
        <v>42179</v>
      </c>
      <c r="G1206" s="265">
        <v>42222</v>
      </c>
      <c r="H1206" s="266">
        <f t="shared" si="89"/>
        <v>186</v>
      </c>
      <c r="I1206" s="266">
        <f t="shared" si="90"/>
        <v>0</v>
      </c>
      <c r="J1206" s="295">
        <v>1</v>
      </c>
      <c r="K1206" s="266">
        <f t="shared" si="91"/>
        <v>1.86</v>
      </c>
      <c r="L1206" s="312">
        <f t="shared" si="92"/>
        <v>43</v>
      </c>
      <c r="M1206" s="263"/>
      <c r="N1206" s="263"/>
      <c r="O1206" s="29">
        <v>186</v>
      </c>
      <c r="P1206" s="29">
        <v>0</v>
      </c>
      <c r="Q1206" s="29">
        <v>33.479999999999997</v>
      </c>
      <c r="R1206" s="29">
        <v>219.48</v>
      </c>
      <c r="S1206" s="29">
        <v>0</v>
      </c>
      <c r="T1206" s="29">
        <v>1</v>
      </c>
      <c r="U1206" s="29">
        <v>2.1947999999999999</v>
      </c>
    </row>
    <row r="1207" spans="1:21">
      <c r="A1207" s="29">
        <v>52</v>
      </c>
      <c r="B1207" s="111">
        <v>4</v>
      </c>
      <c r="C1207" s="111">
        <v>31586</v>
      </c>
      <c r="D1207" s="111" t="s">
        <v>758</v>
      </c>
      <c r="E1207" s="111" t="s">
        <v>448</v>
      </c>
      <c r="F1207" s="265">
        <v>42180</v>
      </c>
      <c r="G1207" s="265">
        <v>42222</v>
      </c>
      <c r="H1207" s="266">
        <f t="shared" si="89"/>
        <v>1699.5</v>
      </c>
      <c r="I1207" s="266">
        <f t="shared" si="90"/>
        <v>0</v>
      </c>
      <c r="J1207" s="295">
        <v>1</v>
      </c>
      <c r="K1207" s="266">
        <f t="shared" si="91"/>
        <v>16.995000000000001</v>
      </c>
      <c r="L1207" s="312">
        <f t="shared" si="92"/>
        <v>42</v>
      </c>
      <c r="M1207" s="263"/>
      <c r="N1207" s="263"/>
      <c r="O1207" s="29">
        <v>1699.5</v>
      </c>
      <c r="P1207" s="29">
        <v>0</v>
      </c>
      <c r="Q1207" s="29">
        <v>305.91000000000003</v>
      </c>
      <c r="R1207" s="29">
        <v>2005.41</v>
      </c>
      <c r="S1207" s="29">
        <v>0</v>
      </c>
      <c r="T1207" s="29">
        <v>1</v>
      </c>
      <c r="U1207" s="29">
        <v>20.054099999999998</v>
      </c>
    </row>
    <row r="1208" spans="1:21">
      <c r="A1208" s="29">
        <v>53</v>
      </c>
      <c r="B1208" s="111">
        <v>4</v>
      </c>
      <c r="C1208" s="111">
        <v>31583</v>
      </c>
      <c r="D1208" s="111" t="s">
        <v>758</v>
      </c>
      <c r="E1208" s="111" t="s">
        <v>448</v>
      </c>
      <c r="F1208" s="265">
        <v>42180</v>
      </c>
      <c r="G1208" s="265">
        <v>42222</v>
      </c>
      <c r="H1208" s="266">
        <f t="shared" si="89"/>
        <v>3520.37</v>
      </c>
      <c r="I1208" s="266">
        <f t="shared" si="90"/>
        <v>0</v>
      </c>
      <c r="J1208" s="295">
        <v>1</v>
      </c>
      <c r="K1208" s="266">
        <f t="shared" si="91"/>
        <v>35.203699999999998</v>
      </c>
      <c r="L1208" s="312">
        <f t="shared" si="92"/>
        <v>42</v>
      </c>
      <c r="M1208" s="263"/>
      <c r="N1208" s="263"/>
      <c r="O1208" s="29">
        <v>3520.37</v>
      </c>
      <c r="P1208" s="29">
        <v>0</v>
      </c>
      <c r="Q1208" s="29">
        <v>633.66999999999996</v>
      </c>
      <c r="R1208" s="29">
        <v>4154.04</v>
      </c>
      <c r="S1208" s="29">
        <v>0</v>
      </c>
      <c r="T1208" s="29">
        <v>1</v>
      </c>
      <c r="U1208" s="29">
        <v>41.540399999999998</v>
      </c>
    </row>
    <row r="1209" spans="1:21">
      <c r="A1209" s="29">
        <v>54</v>
      </c>
      <c r="B1209" s="111">
        <v>4</v>
      </c>
      <c r="C1209" s="111">
        <v>31651</v>
      </c>
      <c r="D1209" s="111" t="s">
        <v>758</v>
      </c>
      <c r="E1209" s="111" t="s">
        <v>448</v>
      </c>
      <c r="F1209" s="265">
        <v>42181</v>
      </c>
      <c r="G1209" s="265">
        <v>42222</v>
      </c>
      <c r="H1209" s="266">
        <f t="shared" si="89"/>
        <v>242.88</v>
      </c>
      <c r="I1209" s="266">
        <f t="shared" si="90"/>
        <v>0</v>
      </c>
      <c r="J1209" s="295">
        <v>1</v>
      </c>
      <c r="K1209" s="266">
        <f t="shared" si="91"/>
        <v>2.4287999999999998</v>
      </c>
      <c r="L1209" s="312">
        <f t="shared" si="92"/>
        <v>41</v>
      </c>
      <c r="M1209" s="263"/>
      <c r="N1209" s="263"/>
      <c r="O1209" s="29">
        <v>242.88</v>
      </c>
      <c r="P1209" s="29">
        <v>0</v>
      </c>
      <c r="Q1209" s="29">
        <v>43.72</v>
      </c>
      <c r="R1209" s="29">
        <v>286.60000000000002</v>
      </c>
      <c r="S1209" s="29">
        <v>0</v>
      </c>
      <c r="T1209" s="29">
        <v>1</v>
      </c>
      <c r="U1209" s="29">
        <v>2.8660000000000001</v>
      </c>
    </row>
    <row r="1210" spans="1:21">
      <c r="A1210" s="29">
        <v>55</v>
      </c>
      <c r="B1210" s="111">
        <v>4</v>
      </c>
      <c r="C1210" s="111">
        <v>31655</v>
      </c>
      <c r="D1210" s="111" t="s">
        <v>758</v>
      </c>
      <c r="E1210" s="111" t="s">
        <v>448</v>
      </c>
      <c r="F1210" s="265">
        <v>42181</v>
      </c>
      <c r="G1210" s="265">
        <v>42222</v>
      </c>
      <c r="H1210" s="266">
        <f t="shared" si="89"/>
        <v>1525.47</v>
      </c>
      <c r="I1210" s="266">
        <f t="shared" si="90"/>
        <v>0</v>
      </c>
      <c r="J1210" s="295">
        <v>1</v>
      </c>
      <c r="K1210" s="266">
        <f t="shared" si="91"/>
        <v>15.2547</v>
      </c>
      <c r="L1210" s="312">
        <f t="shared" si="92"/>
        <v>41</v>
      </c>
      <c r="M1210" s="263"/>
      <c r="N1210" s="263"/>
      <c r="O1210" s="29">
        <v>1525.47</v>
      </c>
      <c r="P1210" s="29">
        <v>0</v>
      </c>
      <c r="Q1210" s="29">
        <v>274.58</v>
      </c>
      <c r="R1210" s="29">
        <v>1800.05</v>
      </c>
      <c r="S1210" s="29">
        <v>0</v>
      </c>
      <c r="T1210" s="29">
        <v>1</v>
      </c>
      <c r="U1210" s="29">
        <v>18.000499999999999</v>
      </c>
    </row>
    <row r="1211" spans="1:21">
      <c r="A1211" s="29">
        <v>56</v>
      </c>
      <c r="B1211" s="111">
        <v>4</v>
      </c>
      <c r="C1211" s="111">
        <v>31646</v>
      </c>
      <c r="D1211" s="111" t="s">
        <v>758</v>
      </c>
      <c r="E1211" s="111" t="s">
        <v>448</v>
      </c>
      <c r="F1211" s="265">
        <v>42181</v>
      </c>
      <c r="G1211" s="265">
        <v>42237</v>
      </c>
      <c r="H1211" s="266">
        <f t="shared" si="89"/>
        <v>2766.32</v>
      </c>
      <c r="I1211" s="266">
        <f t="shared" si="90"/>
        <v>0</v>
      </c>
      <c r="J1211" s="295">
        <v>1</v>
      </c>
      <c r="K1211" s="266">
        <f t="shared" si="91"/>
        <v>27.663200000000003</v>
      </c>
      <c r="L1211" s="312">
        <f t="shared" si="92"/>
        <v>56</v>
      </c>
      <c r="M1211" s="263"/>
      <c r="N1211" s="263"/>
      <c r="O1211" s="29">
        <v>2766.32</v>
      </c>
      <c r="P1211" s="29">
        <v>0</v>
      </c>
      <c r="Q1211" s="29">
        <v>497.94</v>
      </c>
      <c r="R1211" s="29">
        <v>3264.26</v>
      </c>
      <c r="S1211" s="29">
        <v>0</v>
      </c>
      <c r="T1211" s="29">
        <v>1</v>
      </c>
      <c r="U1211" s="29">
        <v>32.642600000000002</v>
      </c>
    </row>
    <row r="1212" spans="1:21">
      <c r="A1212" s="29">
        <v>57</v>
      </c>
      <c r="B1212" s="111">
        <v>4</v>
      </c>
      <c r="C1212" s="111">
        <v>31727</v>
      </c>
      <c r="D1212" s="111" t="s">
        <v>758</v>
      </c>
      <c r="E1212" s="111" t="s">
        <v>448</v>
      </c>
      <c r="F1212" s="265">
        <v>42181</v>
      </c>
      <c r="G1212" s="265">
        <v>42222</v>
      </c>
      <c r="H1212" s="266">
        <f t="shared" si="89"/>
        <v>237.58</v>
      </c>
      <c r="I1212" s="266">
        <f t="shared" si="90"/>
        <v>0</v>
      </c>
      <c r="J1212" s="295">
        <v>1</v>
      </c>
      <c r="K1212" s="266">
        <f t="shared" si="91"/>
        <v>2.3758000000000004</v>
      </c>
      <c r="L1212" s="312">
        <f t="shared" si="92"/>
        <v>41</v>
      </c>
      <c r="M1212" s="263"/>
      <c r="N1212" s="263"/>
      <c r="O1212" s="29">
        <v>237.58</v>
      </c>
      <c r="P1212" s="29">
        <v>0</v>
      </c>
      <c r="Q1212" s="29">
        <v>42.76</v>
      </c>
      <c r="R1212" s="29">
        <v>280.33999999999997</v>
      </c>
      <c r="S1212" s="29">
        <v>0</v>
      </c>
      <c r="T1212" s="29">
        <v>1</v>
      </c>
      <c r="U1212" s="29">
        <v>2.8033999999999999</v>
      </c>
    </row>
    <row r="1213" spans="1:21">
      <c r="A1213" s="29">
        <v>58</v>
      </c>
      <c r="B1213" s="111">
        <v>4</v>
      </c>
      <c r="C1213" s="111">
        <v>31752</v>
      </c>
      <c r="D1213" s="111" t="s">
        <v>757</v>
      </c>
      <c r="E1213" s="111" t="s">
        <v>448</v>
      </c>
      <c r="F1213" s="265">
        <v>42182</v>
      </c>
      <c r="G1213" s="265">
        <v>42223</v>
      </c>
      <c r="H1213" s="266">
        <f t="shared" si="89"/>
        <v>279.75</v>
      </c>
      <c r="I1213" s="266">
        <f t="shared" si="90"/>
        <v>0</v>
      </c>
      <c r="J1213" s="295">
        <v>1</v>
      </c>
      <c r="K1213" s="266">
        <f t="shared" si="91"/>
        <v>2.7974999999999999</v>
      </c>
      <c r="L1213" s="312">
        <f t="shared" si="92"/>
        <v>41</v>
      </c>
      <c r="M1213" s="263"/>
      <c r="N1213" s="263"/>
      <c r="O1213" s="29">
        <v>240.94</v>
      </c>
      <c r="P1213" s="29">
        <v>38.81</v>
      </c>
      <c r="Q1213" s="29">
        <v>43.37</v>
      </c>
      <c r="R1213" s="29">
        <v>323.12</v>
      </c>
      <c r="S1213" s="29">
        <v>0</v>
      </c>
      <c r="T1213" s="29">
        <v>1</v>
      </c>
      <c r="U1213" s="29">
        <v>3.2311999999999999</v>
      </c>
    </row>
    <row r="1214" spans="1:21">
      <c r="A1214" s="29">
        <v>59</v>
      </c>
      <c r="B1214" s="111">
        <v>4</v>
      </c>
      <c r="C1214" s="111">
        <v>31753</v>
      </c>
      <c r="D1214" s="111" t="s">
        <v>758</v>
      </c>
      <c r="E1214" s="111" t="s">
        <v>448</v>
      </c>
      <c r="F1214" s="265">
        <v>42182</v>
      </c>
      <c r="G1214" s="265">
        <v>42237</v>
      </c>
      <c r="H1214" s="266">
        <f t="shared" si="89"/>
        <v>1593.26</v>
      </c>
      <c r="I1214" s="266">
        <f t="shared" si="90"/>
        <v>0</v>
      </c>
      <c r="J1214" s="295">
        <v>1</v>
      </c>
      <c r="K1214" s="266">
        <f t="shared" si="91"/>
        <v>15.932600000000001</v>
      </c>
      <c r="L1214" s="312">
        <f t="shared" si="92"/>
        <v>55</v>
      </c>
      <c r="M1214" s="263"/>
      <c r="N1214" s="263"/>
      <c r="O1214" s="29">
        <v>1593.26</v>
      </c>
      <c r="P1214" s="29">
        <v>0</v>
      </c>
      <c r="Q1214" s="29">
        <v>286.79000000000002</v>
      </c>
      <c r="R1214" s="29">
        <v>1880.05</v>
      </c>
      <c r="S1214" s="29">
        <v>0</v>
      </c>
      <c r="T1214" s="29">
        <v>1</v>
      </c>
      <c r="U1214" s="29">
        <v>18.8005</v>
      </c>
    </row>
    <row r="1215" spans="1:21">
      <c r="A1215" s="29">
        <v>60</v>
      </c>
      <c r="B1215" s="111">
        <v>4</v>
      </c>
      <c r="C1215" s="111">
        <v>31781</v>
      </c>
      <c r="D1215" s="111" t="s">
        <v>757</v>
      </c>
      <c r="E1215" s="111" t="s">
        <v>448</v>
      </c>
      <c r="F1215" s="265">
        <v>42182</v>
      </c>
      <c r="G1215" s="265">
        <v>42223</v>
      </c>
      <c r="H1215" s="266">
        <f t="shared" si="89"/>
        <v>167.62</v>
      </c>
      <c r="I1215" s="266">
        <f t="shared" si="90"/>
        <v>0</v>
      </c>
      <c r="J1215" s="295">
        <v>1</v>
      </c>
      <c r="K1215" s="266">
        <f t="shared" si="91"/>
        <v>1.6762000000000001</v>
      </c>
      <c r="L1215" s="312">
        <f t="shared" si="92"/>
        <v>41</v>
      </c>
      <c r="M1215" s="263"/>
      <c r="N1215" s="263"/>
      <c r="O1215" s="29">
        <v>167.62</v>
      </c>
      <c r="P1215" s="29">
        <v>0</v>
      </c>
      <c r="Q1215" s="29">
        <v>30.17</v>
      </c>
      <c r="R1215" s="29">
        <v>197.79</v>
      </c>
      <c r="S1215" s="29">
        <v>0</v>
      </c>
      <c r="T1215" s="29">
        <v>1</v>
      </c>
      <c r="U1215" s="29">
        <v>1.9779</v>
      </c>
    </row>
    <row r="1216" spans="1:21">
      <c r="A1216" s="29">
        <v>61</v>
      </c>
      <c r="B1216" s="111">
        <v>4</v>
      </c>
      <c r="C1216" s="111">
        <v>31836</v>
      </c>
      <c r="D1216" s="111" t="s">
        <v>758</v>
      </c>
      <c r="E1216" s="111" t="s">
        <v>448</v>
      </c>
      <c r="F1216" s="265">
        <v>42185</v>
      </c>
      <c r="G1216" s="265">
        <v>42222</v>
      </c>
      <c r="H1216" s="266">
        <f t="shared" si="89"/>
        <v>316.77</v>
      </c>
      <c r="I1216" s="266">
        <f t="shared" si="90"/>
        <v>0</v>
      </c>
      <c r="J1216" s="295">
        <v>1</v>
      </c>
      <c r="K1216" s="266">
        <f t="shared" si="91"/>
        <v>3.1677</v>
      </c>
      <c r="L1216" s="312">
        <f t="shared" si="92"/>
        <v>37</v>
      </c>
      <c r="M1216" s="263"/>
      <c r="N1216" s="263"/>
      <c r="O1216" s="29">
        <v>316.77</v>
      </c>
      <c r="P1216" s="29">
        <v>0</v>
      </c>
      <c r="Q1216" s="29">
        <v>57.02</v>
      </c>
      <c r="R1216" s="29">
        <v>373.79</v>
      </c>
      <c r="S1216" s="29">
        <v>0</v>
      </c>
      <c r="T1216" s="29">
        <v>1</v>
      </c>
      <c r="U1216" s="29">
        <v>3.7378999999999998</v>
      </c>
    </row>
    <row r="1217" spans="1:21">
      <c r="A1217" s="29">
        <v>62</v>
      </c>
      <c r="B1217" s="111">
        <v>4</v>
      </c>
      <c r="C1217" s="111">
        <v>31852</v>
      </c>
      <c r="D1217" s="111" t="s">
        <v>759</v>
      </c>
      <c r="E1217" s="111" t="s">
        <v>448</v>
      </c>
      <c r="F1217" s="265">
        <v>42185</v>
      </c>
      <c r="G1217" s="265">
        <v>42247</v>
      </c>
      <c r="H1217" s="266">
        <f t="shared" si="89"/>
        <v>423.15</v>
      </c>
      <c r="I1217" s="266">
        <f t="shared" si="90"/>
        <v>0</v>
      </c>
      <c r="J1217" s="295">
        <v>1</v>
      </c>
      <c r="K1217" s="266">
        <f t="shared" si="91"/>
        <v>4.2314999999999996</v>
      </c>
      <c r="L1217" s="312">
        <f t="shared" si="92"/>
        <v>62</v>
      </c>
      <c r="M1217" s="263"/>
      <c r="N1217" s="263"/>
      <c r="O1217" s="29">
        <v>423.15</v>
      </c>
      <c r="P1217" s="29">
        <v>0</v>
      </c>
      <c r="Q1217" s="29">
        <v>76.17</v>
      </c>
      <c r="R1217" s="29">
        <v>499.32</v>
      </c>
      <c r="S1217" s="29">
        <v>0</v>
      </c>
      <c r="T1217" s="29">
        <v>1</v>
      </c>
      <c r="U1217" s="29">
        <v>4.9931999999999999</v>
      </c>
    </row>
    <row r="1218" spans="1:21">
      <c r="A1218" s="29">
        <v>63</v>
      </c>
      <c r="B1218" s="111">
        <v>4</v>
      </c>
      <c r="C1218" s="111">
        <v>31829</v>
      </c>
      <c r="D1218" s="111" t="s">
        <v>758</v>
      </c>
      <c r="E1218" s="111" t="s">
        <v>448</v>
      </c>
      <c r="F1218" s="265">
        <v>42185</v>
      </c>
      <c r="G1218" s="265">
        <v>42237</v>
      </c>
      <c r="H1218" s="266">
        <f t="shared" si="89"/>
        <v>2603.1</v>
      </c>
      <c r="I1218" s="266">
        <f t="shared" si="90"/>
        <v>0</v>
      </c>
      <c r="J1218" s="295">
        <v>1</v>
      </c>
      <c r="K1218" s="266">
        <f t="shared" si="91"/>
        <v>26.030999999999999</v>
      </c>
      <c r="L1218" s="312">
        <f t="shared" si="92"/>
        <v>52</v>
      </c>
      <c r="M1218" s="263"/>
      <c r="N1218" s="263"/>
      <c r="O1218" s="29">
        <v>2603.1</v>
      </c>
      <c r="P1218" s="29">
        <v>0</v>
      </c>
      <c r="Q1218" s="29">
        <v>468.56</v>
      </c>
      <c r="R1218" s="29">
        <v>3071.66</v>
      </c>
      <c r="S1218" s="29">
        <v>0</v>
      </c>
      <c r="T1218" s="29">
        <v>1</v>
      </c>
      <c r="U1218" s="29">
        <v>30.7166</v>
      </c>
    </row>
    <row r="1219" spans="1:21">
      <c r="A1219" s="29">
        <v>64</v>
      </c>
      <c r="B1219" s="111">
        <v>4</v>
      </c>
      <c r="C1219" s="111">
        <v>31924</v>
      </c>
      <c r="D1219" s="111" t="s">
        <v>758</v>
      </c>
      <c r="E1219" s="111" t="s">
        <v>448</v>
      </c>
      <c r="F1219" s="265">
        <v>42185</v>
      </c>
      <c r="G1219" s="265">
        <v>42222</v>
      </c>
      <c r="H1219" s="266">
        <f t="shared" si="89"/>
        <v>387.69</v>
      </c>
      <c r="I1219" s="266">
        <f t="shared" si="90"/>
        <v>0</v>
      </c>
      <c r="J1219" s="295">
        <v>1</v>
      </c>
      <c r="K1219" s="266">
        <f t="shared" si="91"/>
        <v>3.8769</v>
      </c>
      <c r="L1219" s="312">
        <f t="shared" si="92"/>
        <v>37</v>
      </c>
      <c r="M1219" s="263"/>
      <c r="N1219" s="263"/>
      <c r="O1219" s="29">
        <v>387.69</v>
      </c>
      <c r="P1219" s="29">
        <v>0</v>
      </c>
      <c r="Q1219" s="29">
        <v>69.78</v>
      </c>
      <c r="R1219" s="29">
        <v>457.47</v>
      </c>
      <c r="S1219" s="29">
        <v>0</v>
      </c>
      <c r="T1219" s="29">
        <v>1</v>
      </c>
      <c r="U1219" s="29">
        <v>4.5747</v>
      </c>
    </row>
    <row r="1220" spans="1:21">
      <c r="A1220" s="29">
        <v>65</v>
      </c>
      <c r="B1220" s="111">
        <v>4</v>
      </c>
      <c r="C1220" s="111">
        <v>32132</v>
      </c>
      <c r="D1220" s="111" t="s">
        <v>757</v>
      </c>
      <c r="E1220" s="111" t="s">
        <v>448</v>
      </c>
      <c r="F1220" s="265">
        <v>42186</v>
      </c>
      <c r="G1220" s="265">
        <v>42223</v>
      </c>
      <c r="H1220" s="266">
        <f t="shared" ref="H1220:H1251" si="93">O1220+P1220</f>
        <v>233.68</v>
      </c>
      <c r="I1220" s="266">
        <f t="shared" ref="I1220:I1251" si="94">S1220/1.18</f>
        <v>0</v>
      </c>
      <c r="J1220" s="295">
        <v>1</v>
      </c>
      <c r="K1220" s="266">
        <f t="shared" ref="K1220:K1251" si="95">H1220*J1220%</f>
        <v>2.3368000000000002</v>
      </c>
      <c r="L1220" s="312">
        <f t="shared" ref="L1220:L1251" si="96">G1220-F1220</f>
        <v>37</v>
      </c>
      <c r="M1220" s="263"/>
      <c r="N1220" s="263"/>
      <c r="O1220" s="29">
        <v>233.68</v>
      </c>
      <c r="P1220" s="29">
        <v>0</v>
      </c>
      <c r="Q1220" s="29">
        <v>42.06</v>
      </c>
      <c r="R1220" s="29">
        <v>275.74</v>
      </c>
      <c r="S1220" s="29">
        <v>0</v>
      </c>
      <c r="T1220" s="29">
        <v>1</v>
      </c>
      <c r="U1220" s="29">
        <v>2.7574000000000001</v>
      </c>
    </row>
    <row r="1221" spans="1:21">
      <c r="A1221" s="29">
        <v>66</v>
      </c>
      <c r="B1221" s="111">
        <v>4</v>
      </c>
      <c r="C1221" s="111">
        <v>32202</v>
      </c>
      <c r="D1221" s="111" t="s">
        <v>758</v>
      </c>
      <c r="E1221" s="111" t="s">
        <v>448</v>
      </c>
      <c r="F1221" s="265">
        <v>42187</v>
      </c>
      <c r="G1221" s="265">
        <v>42237</v>
      </c>
      <c r="H1221" s="266">
        <f t="shared" si="93"/>
        <v>4038.65</v>
      </c>
      <c r="I1221" s="266">
        <f t="shared" si="94"/>
        <v>0</v>
      </c>
      <c r="J1221" s="295">
        <v>1</v>
      </c>
      <c r="K1221" s="266">
        <f t="shared" si="95"/>
        <v>40.386500000000005</v>
      </c>
      <c r="L1221" s="312">
        <f t="shared" si="96"/>
        <v>50</v>
      </c>
      <c r="M1221" s="263"/>
      <c r="N1221" s="263"/>
      <c r="O1221" s="29">
        <v>4038.65</v>
      </c>
      <c r="P1221" s="29">
        <v>0</v>
      </c>
      <c r="Q1221" s="29">
        <v>726.96</v>
      </c>
      <c r="R1221" s="29">
        <v>4765.6099999999997</v>
      </c>
      <c r="S1221" s="29">
        <v>0</v>
      </c>
      <c r="T1221" s="29">
        <v>1</v>
      </c>
      <c r="U1221" s="29">
        <v>47.656100000000002</v>
      </c>
    </row>
    <row r="1222" spans="1:21">
      <c r="A1222" s="29">
        <v>67</v>
      </c>
      <c r="B1222" s="111">
        <v>4</v>
      </c>
      <c r="C1222" s="111">
        <v>32207</v>
      </c>
      <c r="D1222" s="111" t="s">
        <v>758</v>
      </c>
      <c r="E1222" s="111" t="s">
        <v>448</v>
      </c>
      <c r="F1222" s="265">
        <v>42187</v>
      </c>
      <c r="G1222" s="265">
        <v>42237</v>
      </c>
      <c r="H1222" s="266">
        <f t="shared" si="93"/>
        <v>1560.38</v>
      </c>
      <c r="I1222" s="266">
        <f t="shared" si="94"/>
        <v>0</v>
      </c>
      <c r="J1222" s="295">
        <v>1</v>
      </c>
      <c r="K1222" s="266">
        <f t="shared" si="95"/>
        <v>15.603800000000001</v>
      </c>
      <c r="L1222" s="312">
        <f t="shared" si="96"/>
        <v>50</v>
      </c>
      <c r="M1222" s="263"/>
      <c r="N1222" s="263"/>
      <c r="O1222" s="29">
        <v>1560.38</v>
      </c>
      <c r="P1222" s="29">
        <v>0</v>
      </c>
      <c r="Q1222" s="29">
        <v>280.87</v>
      </c>
      <c r="R1222" s="29">
        <v>1841.25</v>
      </c>
      <c r="S1222" s="29">
        <v>0</v>
      </c>
      <c r="T1222" s="29">
        <v>1</v>
      </c>
      <c r="U1222" s="29">
        <v>18.412500000000001</v>
      </c>
    </row>
    <row r="1223" spans="1:21">
      <c r="A1223" s="29">
        <v>68</v>
      </c>
      <c r="B1223" s="111">
        <v>4</v>
      </c>
      <c r="C1223" s="111">
        <v>32201</v>
      </c>
      <c r="D1223" s="111" t="s">
        <v>758</v>
      </c>
      <c r="E1223" s="111" t="s">
        <v>448</v>
      </c>
      <c r="F1223" s="265">
        <v>42187</v>
      </c>
      <c r="G1223" s="265">
        <v>42237</v>
      </c>
      <c r="H1223" s="266">
        <f t="shared" si="93"/>
        <v>6718.94</v>
      </c>
      <c r="I1223" s="266">
        <f t="shared" si="94"/>
        <v>0</v>
      </c>
      <c r="J1223" s="295">
        <v>1</v>
      </c>
      <c r="K1223" s="266">
        <f t="shared" si="95"/>
        <v>67.189399999999992</v>
      </c>
      <c r="L1223" s="312">
        <f t="shared" si="96"/>
        <v>50</v>
      </c>
      <c r="M1223" s="263"/>
      <c r="N1223" s="263"/>
      <c r="O1223" s="29">
        <v>6718.94</v>
      </c>
      <c r="P1223" s="29">
        <v>0</v>
      </c>
      <c r="Q1223" s="29">
        <v>1209.4100000000001</v>
      </c>
      <c r="R1223" s="29">
        <v>7928.35</v>
      </c>
      <c r="S1223" s="29">
        <v>0</v>
      </c>
      <c r="T1223" s="29">
        <v>1</v>
      </c>
      <c r="U1223" s="29">
        <v>79.283500000000004</v>
      </c>
    </row>
    <row r="1224" spans="1:21">
      <c r="A1224" s="29">
        <v>69</v>
      </c>
      <c r="B1224" s="111">
        <v>4</v>
      </c>
      <c r="C1224" s="111">
        <v>32203</v>
      </c>
      <c r="D1224" s="111" t="s">
        <v>758</v>
      </c>
      <c r="E1224" s="111" t="s">
        <v>448</v>
      </c>
      <c r="F1224" s="265">
        <v>42187</v>
      </c>
      <c r="G1224" s="265">
        <v>42237</v>
      </c>
      <c r="H1224" s="266">
        <f t="shared" si="93"/>
        <v>890.3</v>
      </c>
      <c r="I1224" s="266">
        <f t="shared" si="94"/>
        <v>0</v>
      </c>
      <c r="J1224" s="295">
        <v>1</v>
      </c>
      <c r="K1224" s="266">
        <f t="shared" si="95"/>
        <v>8.9030000000000005</v>
      </c>
      <c r="L1224" s="312">
        <f t="shared" si="96"/>
        <v>50</v>
      </c>
      <c r="M1224" s="263"/>
      <c r="N1224" s="263"/>
      <c r="O1224" s="29">
        <v>890.3</v>
      </c>
      <c r="P1224" s="29">
        <v>0</v>
      </c>
      <c r="Q1224" s="29">
        <v>160.25</v>
      </c>
      <c r="R1224" s="29">
        <v>1050.55</v>
      </c>
      <c r="S1224" s="29">
        <v>0</v>
      </c>
      <c r="T1224" s="29">
        <v>1</v>
      </c>
      <c r="U1224" s="29">
        <v>10.5055</v>
      </c>
    </row>
    <row r="1225" spans="1:21">
      <c r="A1225" s="29">
        <v>70</v>
      </c>
      <c r="B1225" s="111">
        <v>4</v>
      </c>
      <c r="C1225" s="111">
        <v>32335</v>
      </c>
      <c r="D1225" s="111" t="s">
        <v>759</v>
      </c>
      <c r="E1225" s="111" t="s">
        <v>448</v>
      </c>
      <c r="F1225" s="265">
        <v>42189</v>
      </c>
      <c r="G1225" s="265">
        <v>42247</v>
      </c>
      <c r="H1225" s="266">
        <f t="shared" si="93"/>
        <v>44.33</v>
      </c>
      <c r="I1225" s="266">
        <f t="shared" si="94"/>
        <v>0</v>
      </c>
      <c r="J1225" s="295">
        <v>1</v>
      </c>
      <c r="K1225" s="266">
        <f t="shared" si="95"/>
        <v>0.44329999999999997</v>
      </c>
      <c r="L1225" s="312">
        <f t="shared" si="96"/>
        <v>58</v>
      </c>
      <c r="M1225" s="263"/>
      <c r="N1225" s="263"/>
      <c r="O1225" s="29">
        <v>44.33</v>
      </c>
      <c r="P1225" s="29">
        <v>0</v>
      </c>
      <c r="Q1225" s="29">
        <v>7.98</v>
      </c>
      <c r="R1225" s="29">
        <v>52.31</v>
      </c>
      <c r="S1225" s="29">
        <v>0</v>
      </c>
      <c r="T1225" s="29">
        <v>1</v>
      </c>
      <c r="U1225" s="29">
        <v>0.52310000000000001</v>
      </c>
    </row>
    <row r="1226" spans="1:21">
      <c r="A1226" s="29">
        <v>71</v>
      </c>
      <c r="B1226" s="111">
        <v>4</v>
      </c>
      <c r="C1226" s="111">
        <v>32331</v>
      </c>
      <c r="D1226" s="111" t="s">
        <v>758</v>
      </c>
      <c r="E1226" s="111" t="s">
        <v>448</v>
      </c>
      <c r="F1226" s="265">
        <v>42189</v>
      </c>
      <c r="G1226" s="265">
        <v>42237</v>
      </c>
      <c r="H1226" s="266">
        <f t="shared" si="93"/>
        <v>2968.58</v>
      </c>
      <c r="I1226" s="266">
        <f t="shared" si="94"/>
        <v>0</v>
      </c>
      <c r="J1226" s="295">
        <v>1</v>
      </c>
      <c r="K1226" s="266">
        <f t="shared" si="95"/>
        <v>29.6858</v>
      </c>
      <c r="L1226" s="312">
        <f t="shared" si="96"/>
        <v>48</v>
      </c>
      <c r="M1226" s="263"/>
      <c r="N1226" s="263"/>
      <c r="O1226" s="29">
        <v>2968.58</v>
      </c>
      <c r="P1226" s="29">
        <v>0</v>
      </c>
      <c r="Q1226" s="29">
        <v>534.34</v>
      </c>
      <c r="R1226" s="29">
        <v>3502.92</v>
      </c>
      <c r="S1226" s="29">
        <v>0</v>
      </c>
      <c r="T1226" s="29">
        <v>1</v>
      </c>
      <c r="U1226" s="29">
        <v>35.029200000000003</v>
      </c>
    </row>
    <row r="1227" spans="1:21">
      <c r="A1227" s="29">
        <v>72</v>
      </c>
      <c r="B1227" s="111">
        <v>4</v>
      </c>
      <c r="C1227" s="111">
        <v>32334</v>
      </c>
      <c r="D1227" s="111" t="s">
        <v>759</v>
      </c>
      <c r="E1227" s="111" t="s">
        <v>448</v>
      </c>
      <c r="F1227" s="265">
        <v>42189</v>
      </c>
      <c r="G1227" s="265">
        <v>42247</v>
      </c>
      <c r="H1227" s="266">
        <f t="shared" si="93"/>
        <v>172.06</v>
      </c>
      <c r="I1227" s="266">
        <f t="shared" si="94"/>
        <v>0</v>
      </c>
      <c r="J1227" s="295">
        <v>1</v>
      </c>
      <c r="K1227" s="266">
        <f t="shared" si="95"/>
        <v>1.7206000000000001</v>
      </c>
      <c r="L1227" s="312">
        <f t="shared" si="96"/>
        <v>58</v>
      </c>
      <c r="M1227" s="263"/>
      <c r="N1227" s="263"/>
      <c r="O1227" s="29">
        <v>172.06</v>
      </c>
      <c r="P1227" s="29">
        <v>0</v>
      </c>
      <c r="Q1227" s="29">
        <v>30.97</v>
      </c>
      <c r="R1227" s="29">
        <v>203.03</v>
      </c>
      <c r="S1227" s="29">
        <v>0</v>
      </c>
      <c r="T1227" s="29">
        <v>1</v>
      </c>
      <c r="U1227" s="29">
        <v>2.0303</v>
      </c>
    </row>
    <row r="1228" spans="1:21">
      <c r="A1228" s="29">
        <v>73</v>
      </c>
      <c r="B1228" s="111">
        <v>4</v>
      </c>
      <c r="C1228" s="111">
        <v>32324</v>
      </c>
      <c r="D1228" s="111" t="s">
        <v>758</v>
      </c>
      <c r="E1228" s="111" t="s">
        <v>448</v>
      </c>
      <c r="F1228" s="265">
        <v>42189</v>
      </c>
      <c r="G1228" s="265">
        <v>42237</v>
      </c>
      <c r="H1228" s="266">
        <f t="shared" si="93"/>
        <v>271.52999999999997</v>
      </c>
      <c r="I1228" s="266">
        <f t="shared" si="94"/>
        <v>0</v>
      </c>
      <c r="J1228" s="295">
        <v>1</v>
      </c>
      <c r="K1228" s="266">
        <f t="shared" si="95"/>
        <v>2.7152999999999996</v>
      </c>
      <c r="L1228" s="312">
        <f t="shared" si="96"/>
        <v>48</v>
      </c>
      <c r="M1228" s="263"/>
      <c r="N1228" s="263"/>
      <c r="O1228" s="29">
        <v>271.52999999999997</v>
      </c>
      <c r="P1228" s="29">
        <v>0</v>
      </c>
      <c r="Q1228" s="29">
        <v>48.88</v>
      </c>
      <c r="R1228" s="29">
        <v>320.41000000000003</v>
      </c>
      <c r="S1228" s="29">
        <v>0</v>
      </c>
      <c r="T1228" s="29">
        <v>1</v>
      </c>
      <c r="U1228" s="29">
        <v>3.2040999999999999</v>
      </c>
    </row>
    <row r="1229" spans="1:21">
      <c r="A1229" s="29">
        <v>74</v>
      </c>
      <c r="B1229" s="111">
        <v>4</v>
      </c>
      <c r="C1229" s="111">
        <v>32354</v>
      </c>
      <c r="D1229" s="111" t="s">
        <v>759</v>
      </c>
      <c r="E1229" s="111" t="s">
        <v>448</v>
      </c>
      <c r="F1229" s="265">
        <v>42189</v>
      </c>
      <c r="G1229" s="265">
        <v>42247</v>
      </c>
      <c r="H1229" s="266">
        <f t="shared" si="93"/>
        <v>1212.53</v>
      </c>
      <c r="I1229" s="266">
        <f t="shared" si="94"/>
        <v>0</v>
      </c>
      <c r="J1229" s="295">
        <v>1</v>
      </c>
      <c r="K1229" s="266">
        <f t="shared" si="95"/>
        <v>12.125299999999999</v>
      </c>
      <c r="L1229" s="312">
        <f t="shared" si="96"/>
        <v>58</v>
      </c>
      <c r="M1229" s="263"/>
      <c r="N1229" s="263"/>
      <c r="O1229" s="29">
        <v>1212.53</v>
      </c>
      <c r="P1229" s="29">
        <v>0</v>
      </c>
      <c r="Q1229" s="29">
        <v>218.26</v>
      </c>
      <c r="R1229" s="29">
        <v>1430.79</v>
      </c>
      <c r="S1229" s="29">
        <v>0</v>
      </c>
      <c r="T1229" s="29">
        <v>1</v>
      </c>
      <c r="U1229" s="29">
        <v>14.3079</v>
      </c>
    </row>
    <row r="1230" spans="1:21">
      <c r="A1230" s="29">
        <v>75</v>
      </c>
      <c r="B1230" s="111">
        <v>4</v>
      </c>
      <c r="C1230" s="111">
        <v>32386</v>
      </c>
      <c r="D1230" s="111" t="s">
        <v>758</v>
      </c>
      <c r="E1230" s="111" t="s">
        <v>448</v>
      </c>
      <c r="F1230" s="265">
        <v>42191</v>
      </c>
      <c r="G1230" s="265">
        <v>42237</v>
      </c>
      <c r="H1230" s="266">
        <f t="shared" si="93"/>
        <v>4195.59</v>
      </c>
      <c r="I1230" s="266">
        <f t="shared" si="94"/>
        <v>0</v>
      </c>
      <c r="J1230" s="295">
        <v>1</v>
      </c>
      <c r="K1230" s="266">
        <f t="shared" si="95"/>
        <v>41.9559</v>
      </c>
      <c r="L1230" s="312">
        <f t="shared" si="96"/>
        <v>46</v>
      </c>
      <c r="M1230" s="263"/>
      <c r="N1230" s="263"/>
      <c r="O1230" s="29">
        <v>4195.59</v>
      </c>
      <c r="P1230" s="29">
        <v>0</v>
      </c>
      <c r="Q1230" s="29">
        <v>755.21</v>
      </c>
      <c r="R1230" s="29">
        <v>4950.8</v>
      </c>
      <c r="S1230" s="29">
        <v>0</v>
      </c>
      <c r="T1230" s="29">
        <v>1</v>
      </c>
      <c r="U1230" s="29">
        <v>49.508000000000003</v>
      </c>
    </row>
    <row r="1231" spans="1:21">
      <c r="A1231" s="29">
        <v>76</v>
      </c>
      <c r="B1231" s="111">
        <v>4</v>
      </c>
      <c r="C1231" s="111">
        <v>32385</v>
      </c>
      <c r="D1231" s="111" t="s">
        <v>758</v>
      </c>
      <c r="E1231" s="111" t="s">
        <v>448</v>
      </c>
      <c r="F1231" s="265">
        <v>42191</v>
      </c>
      <c r="G1231" s="265">
        <v>42237</v>
      </c>
      <c r="H1231" s="266">
        <f t="shared" si="93"/>
        <v>890.53</v>
      </c>
      <c r="I1231" s="266">
        <f t="shared" si="94"/>
        <v>0</v>
      </c>
      <c r="J1231" s="295">
        <v>1</v>
      </c>
      <c r="K1231" s="266">
        <f t="shared" si="95"/>
        <v>8.9053000000000004</v>
      </c>
      <c r="L1231" s="312">
        <f t="shared" si="96"/>
        <v>46</v>
      </c>
      <c r="M1231" s="263"/>
      <c r="N1231" s="263"/>
      <c r="O1231" s="29">
        <v>890.53</v>
      </c>
      <c r="P1231" s="29">
        <v>0</v>
      </c>
      <c r="Q1231" s="29">
        <v>160.30000000000001</v>
      </c>
      <c r="R1231" s="29">
        <v>1050.83</v>
      </c>
      <c r="S1231" s="29">
        <v>0</v>
      </c>
      <c r="T1231" s="29">
        <v>1</v>
      </c>
      <c r="U1231" s="29">
        <v>10.5083</v>
      </c>
    </row>
    <row r="1232" spans="1:21">
      <c r="A1232" s="29">
        <v>77</v>
      </c>
      <c r="B1232" s="111">
        <v>4</v>
      </c>
      <c r="C1232" s="111">
        <v>32414</v>
      </c>
      <c r="D1232" s="111" t="s">
        <v>757</v>
      </c>
      <c r="E1232" s="111" t="s">
        <v>448</v>
      </c>
      <c r="F1232" s="265">
        <v>42191</v>
      </c>
      <c r="G1232" s="265">
        <v>42237</v>
      </c>
      <c r="H1232" s="266">
        <f t="shared" si="93"/>
        <v>584.86</v>
      </c>
      <c r="I1232" s="266">
        <f t="shared" si="94"/>
        <v>0</v>
      </c>
      <c r="J1232" s="295">
        <v>1</v>
      </c>
      <c r="K1232" s="266">
        <f t="shared" si="95"/>
        <v>5.8486000000000002</v>
      </c>
      <c r="L1232" s="312">
        <f t="shared" si="96"/>
        <v>46</v>
      </c>
      <c r="M1232" s="263"/>
      <c r="N1232" s="263"/>
      <c r="O1232" s="29">
        <v>584.86</v>
      </c>
      <c r="P1232" s="29">
        <v>0</v>
      </c>
      <c r="Q1232" s="29">
        <v>105.27</v>
      </c>
      <c r="R1232" s="29">
        <v>690.13</v>
      </c>
      <c r="S1232" s="29">
        <v>0</v>
      </c>
      <c r="T1232" s="29">
        <v>1</v>
      </c>
      <c r="U1232" s="29">
        <v>6.9013</v>
      </c>
    </row>
    <row r="1233" spans="1:21">
      <c r="A1233" s="29">
        <v>78</v>
      </c>
      <c r="B1233" s="111">
        <v>4</v>
      </c>
      <c r="C1233" s="111">
        <v>32405</v>
      </c>
      <c r="D1233" s="111" t="s">
        <v>759</v>
      </c>
      <c r="E1233" s="111" t="s">
        <v>448</v>
      </c>
      <c r="F1233" s="265">
        <v>42191</v>
      </c>
      <c r="G1233" s="265">
        <v>42247</v>
      </c>
      <c r="H1233" s="266">
        <f t="shared" si="93"/>
        <v>488.25</v>
      </c>
      <c r="I1233" s="266">
        <f t="shared" si="94"/>
        <v>0</v>
      </c>
      <c r="J1233" s="295">
        <v>1</v>
      </c>
      <c r="K1233" s="266">
        <f t="shared" si="95"/>
        <v>4.8825000000000003</v>
      </c>
      <c r="L1233" s="312">
        <f t="shared" si="96"/>
        <v>56</v>
      </c>
      <c r="M1233" s="263"/>
      <c r="N1233" s="263"/>
      <c r="O1233" s="29">
        <v>488.25</v>
      </c>
      <c r="P1233" s="29">
        <v>0</v>
      </c>
      <c r="Q1233" s="29">
        <v>87.89</v>
      </c>
      <c r="R1233" s="29">
        <v>576.14</v>
      </c>
      <c r="S1233" s="29">
        <v>0</v>
      </c>
      <c r="T1233" s="29">
        <v>1</v>
      </c>
      <c r="U1233" s="29">
        <v>5.7614000000000001</v>
      </c>
    </row>
    <row r="1234" spans="1:21">
      <c r="A1234" s="29">
        <v>79</v>
      </c>
      <c r="B1234" s="111">
        <v>4</v>
      </c>
      <c r="C1234" s="111">
        <v>32448</v>
      </c>
      <c r="D1234" s="111" t="s">
        <v>758</v>
      </c>
      <c r="E1234" s="111" t="s">
        <v>448</v>
      </c>
      <c r="F1234" s="265">
        <v>42192</v>
      </c>
      <c r="G1234" s="265">
        <v>42237</v>
      </c>
      <c r="H1234" s="266">
        <f t="shared" si="93"/>
        <v>3842.65</v>
      </c>
      <c r="I1234" s="266">
        <f t="shared" si="94"/>
        <v>0</v>
      </c>
      <c r="J1234" s="295">
        <v>1</v>
      </c>
      <c r="K1234" s="266">
        <f t="shared" si="95"/>
        <v>38.426500000000004</v>
      </c>
      <c r="L1234" s="312">
        <f t="shared" si="96"/>
        <v>45</v>
      </c>
      <c r="M1234" s="263"/>
      <c r="N1234" s="263"/>
      <c r="O1234" s="29">
        <v>3842.65</v>
      </c>
      <c r="P1234" s="29">
        <v>0</v>
      </c>
      <c r="Q1234" s="29">
        <v>691.68</v>
      </c>
      <c r="R1234" s="29">
        <v>4534.33</v>
      </c>
      <c r="S1234" s="29">
        <v>0</v>
      </c>
      <c r="T1234" s="29">
        <v>1</v>
      </c>
      <c r="U1234" s="29">
        <v>45.343299999999999</v>
      </c>
    </row>
    <row r="1235" spans="1:21">
      <c r="A1235" s="29">
        <v>80</v>
      </c>
      <c r="B1235" s="111">
        <v>4</v>
      </c>
      <c r="C1235" s="111">
        <v>32473</v>
      </c>
      <c r="D1235" s="111" t="s">
        <v>758</v>
      </c>
      <c r="E1235" s="111" t="s">
        <v>448</v>
      </c>
      <c r="F1235" s="265">
        <v>42192</v>
      </c>
      <c r="G1235" s="265">
        <v>42237</v>
      </c>
      <c r="H1235" s="266">
        <f t="shared" si="93"/>
        <v>399.98</v>
      </c>
      <c r="I1235" s="266">
        <f t="shared" si="94"/>
        <v>0</v>
      </c>
      <c r="J1235" s="295">
        <v>1</v>
      </c>
      <c r="K1235" s="266">
        <f t="shared" si="95"/>
        <v>3.9998000000000005</v>
      </c>
      <c r="L1235" s="312">
        <f t="shared" si="96"/>
        <v>45</v>
      </c>
      <c r="M1235" s="263"/>
      <c r="N1235" s="263"/>
      <c r="O1235" s="29">
        <v>399.98</v>
      </c>
      <c r="P1235" s="29">
        <v>0</v>
      </c>
      <c r="Q1235" s="29">
        <v>72</v>
      </c>
      <c r="R1235" s="29">
        <v>471.98</v>
      </c>
      <c r="S1235" s="29">
        <v>0</v>
      </c>
      <c r="T1235" s="29">
        <v>1</v>
      </c>
      <c r="U1235" s="29">
        <v>4.7198000000000002</v>
      </c>
    </row>
    <row r="1236" spans="1:21">
      <c r="A1236" s="29">
        <v>81</v>
      </c>
      <c r="B1236" s="111">
        <v>4</v>
      </c>
      <c r="C1236" s="111">
        <v>32491</v>
      </c>
      <c r="D1236" s="111" t="s">
        <v>759</v>
      </c>
      <c r="E1236" s="111" t="s">
        <v>448</v>
      </c>
      <c r="F1236" s="265">
        <v>42192</v>
      </c>
      <c r="G1236" s="265">
        <v>42247</v>
      </c>
      <c r="H1236" s="266">
        <f t="shared" si="93"/>
        <v>488.34</v>
      </c>
      <c r="I1236" s="266">
        <f t="shared" si="94"/>
        <v>0</v>
      </c>
      <c r="J1236" s="295">
        <v>1</v>
      </c>
      <c r="K1236" s="266">
        <f t="shared" si="95"/>
        <v>4.8834</v>
      </c>
      <c r="L1236" s="312">
        <f t="shared" si="96"/>
        <v>55</v>
      </c>
      <c r="M1236" s="263"/>
      <c r="N1236" s="263"/>
      <c r="O1236" s="29">
        <v>488.34</v>
      </c>
      <c r="P1236" s="29">
        <v>0</v>
      </c>
      <c r="Q1236" s="29">
        <v>87.9</v>
      </c>
      <c r="R1236" s="29">
        <v>576.24</v>
      </c>
      <c r="S1236" s="29">
        <v>0</v>
      </c>
      <c r="T1236" s="29">
        <v>1</v>
      </c>
      <c r="U1236" s="29">
        <v>5.7624000000000004</v>
      </c>
    </row>
    <row r="1237" spans="1:21">
      <c r="A1237" s="29">
        <v>82</v>
      </c>
      <c r="B1237" s="111">
        <v>4</v>
      </c>
      <c r="C1237" s="111">
        <v>32546</v>
      </c>
      <c r="D1237" s="111" t="s">
        <v>757</v>
      </c>
      <c r="E1237" s="111" t="s">
        <v>448</v>
      </c>
      <c r="F1237" s="265">
        <v>42192</v>
      </c>
      <c r="G1237" s="265">
        <v>42237</v>
      </c>
      <c r="H1237" s="266">
        <f t="shared" si="93"/>
        <v>358.92</v>
      </c>
      <c r="I1237" s="266">
        <f t="shared" si="94"/>
        <v>0</v>
      </c>
      <c r="J1237" s="295">
        <v>1</v>
      </c>
      <c r="K1237" s="266">
        <f t="shared" si="95"/>
        <v>3.5892000000000004</v>
      </c>
      <c r="L1237" s="312">
        <f t="shared" si="96"/>
        <v>45</v>
      </c>
      <c r="M1237" s="263"/>
      <c r="N1237" s="263"/>
      <c r="O1237" s="29">
        <v>358.92</v>
      </c>
      <c r="P1237" s="29">
        <v>0</v>
      </c>
      <c r="Q1237" s="29">
        <v>64.61</v>
      </c>
      <c r="R1237" s="29">
        <v>423.53</v>
      </c>
      <c r="S1237" s="29">
        <v>0</v>
      </c>
      <c r="T1237" s="29">
        <v>1</v>
      </c>
      <c r="U1237" s="29">
        <v>4.2352999999999996</v>
      </c>
    </row>
    <row r="1238" spans="1:21">
      <c r="A1238" s="29">
        <v>83</v>
      </c>
      <c r="B1238" s="111">
        <v>6</v>
      </c>
      <c r="C1238" s="111">
        <v>995</v>
      </c>
      <c r="D1238" s="111" t="s">
        <v>381</v>
      </c>
      <c r="E1238" s="111" t="s">
        <v>382</v>
      </c>
      <c r="F1238" s="265">
        <v>42193</v>
      </c>
      <c r="G1238" s="265">
        <v>42223</v>
      </c>
      <c r="H1238" s="266">
        <f t="shared" si="93"/>
        <v>9766.7800000000007</v>
      </c>
      <c r="I1238" s="266">
        <f t="shared" si="94"/>
        <v>0</v>
      </c>
      <c r="J1238" s="295">
        <v>1</v>
      </c>
      <c r="K1238" s="266">
        <f t="shared" si="95"/>
        <v>97.667800000000014</v>
      </c>
      <c r="L1238" s="312">
        <f t="shared" si="96"/>
        <v>30</v>
      </c>
      <c r="M1238" s="263"/>
      <c r="N1238" s="263"/>
      <c r="O1238" s="29">
        <v>9766.7800000000007</v>
      </c>
      <c r="P1238" s="29">
        <v>0</v>
      </c>
      <c r="Q1238" s="29">
        <v>1758.02</v>
      </c>
      <c r="R1238" s="29">
        <v>11524.8</v>
      </c>
      <c r="S1238" s="29">
        <v>0</v>
      </c>
      <c r="T1238" s="29">
        <v>1</v>
      </c>
      <c r="U1238" s="29">
        <v>115.248</v>
      </c>
    </row>
    <row r="1239" spans="1:21">
      <c r="A1239" s="29">
        <v>84</v>
      </c>
      <c r="B1239" s="111">
        <v>6</v>
      </c>
      <c r="C1239" s="111">
        <v>994</v>
      </c>
      <c r="D1239" s="111" t="s">
        <v>381</v>
      </c>
      <c r="E1239" s="111" t="s">
        <v>382</v>
      </c>
      <c r="F1239" s="265">
        <v>42193</v>
      </c>
      <c r="G1239" s="265">
        <v>42223</v>
      </c>
      <c r="H1239" s="266">
        <f t="shared" si="93"/>
        <v>1728.81</v>
      </c>
      <c r="I1239" s="266">
        <f t="shared" si="94"/>
        <v>0</v>
      </c>
      <c r="J1239" s="295">
        <v>1</v>
      </c>
      <c r="K1239" s="266">
        <f t="shared" si="95"/>
        <v>17.2881</v>
      </c>
      <c r="L1239" s="312">
        <f t="shared" si="96"/>
        <v>30</v>
      </c>
      <c r="M1239" s="263"/>
      <c r="N1239" s="263"/>
      <c r="O1239" s="29">
        <v>1728.81</v>
      </c>
      <c r="P1239" s="29">
        <v>0</v>
      </c>
      <c r="Q1239" s="29">
        <v>311.19</v>
      </c>
      <c r="R1239" s="29">
        <v>2040</v>
      </c>
      <c r="S1239" s="29">
        <v>0</v>
      </c>
      <c r="T1239" s="29">
        <v>1</v>
      </c>
      <c r="U1239" s="29">
        <v>20.399999999999999</v>
      </c>
    </row>
    <row r="1240" spans="1:21">
      <c r="A1240" s="29">
        <v>85</v>
      </c>
      <c r="B1240" s="111">
        <v>4</v>
      </c>
      <c r="C1240" s="111">
        <v>32623</v>
      </c>
      <c r="D1240" s="111" t="s">
        <v>759</v>
      </c>
      <c r="E1240" s="111" t="s">
        <v>448</v>
      </c>
      <c r="F1240" s="265">
        <v>42193</v>
      </c>
      <c r="G1240" s="265">
        <v>42247</v>
      </c>
      <c r="H1240" s="266">
        <f t="shared" si="93"/>
        <v>2050.66</v>
      </c>
      <c r="I1240" s="266">
        <f t="shared" si="94"/>
        <v>0</v>
      </c>
      <c r="J1240" s="295">
        <v>1</v>
      </c>
      <c r="K1240" s="266">
        <f t="shared" si="95"/>
        <v>20.506599999999999</v>
      </c>
      <c r="L1240" s="312">
        <f t="shared" si="96"/>
        <v>54</v>
      </c>
      <c r="M1240" s="263"/>
      <c r="N1240" s="263"/>
      <c r="O1240" s="29">
        <v>2050.66</v>
      </c>
      <c r="P1240" s="29">
        <v>0</v>
      </c>
      <c r="Q1240" s="29">
        <v>369.12</v>
      </c>
      <c r="R1240" s="29">
        <v>2419.7800000000002</v>
      </c>
      <c r="S1240" s="29">
        <v>0</v>
      </c>
      <c r="T1240" s="29">
        <v>1</v>
      </c>
      <c r="U1240" s="29">
        <v>24.197800000000001</v>
      </c>
    </row>
    <row r="1241" spans="1:21">
      <c r="A1241" s="29">
        <v>86</v>
      </c>
      <c r="B1241" s="111">
        <v>4</v>
      </c>
      <c r="C1241" s="111">
        <v>32571</v>
      </c>
      <c r="D1241" s="111" t="s">
        <v>767</v>
      </c>
      <c r="E1241" s="111" t="s">
        <v>448</v>
      </c>
      <c r="F1241" s="265">
        <v>42193</v>
      </c>
      <c r="G1241" s="265">
        <v>42244</v>
      </c>
      <c r="H1241" s="266">
        <f t="shared" si="93"/>
        <v>95.59</v>
      </c>
      <c r="I1241" s="266">
        <f t="shared" si="94"/>
        <v>0</v>
      </c>
      <c r="J1241" s="295">
        <v>1</v>
      </c>
      <c r="K1241" s="266">
        <f t="shared" si="95"/>
        <v>0.95590000000000008</v>
      </c>
      <c r="L1241" s="312">
        <f t="shared" si="96"/>
        <v>51</v>
      </c>
      <c r="M1241" s="263"/>
      <c r="N1241" s="263"/>
      <c r="O1241" s="29">
        <v>95.59</v>
      </c>
      <c r="P1241" s="29">
        <v>0</v>
      </c>
      <c r="Q1241" s="29">
        <v>17.21</v>
      </c>
      <c r="R1241" s="29">
        <v>112.8</v>
      </c>
      <c r="S1241" s="29">
        <v>0</v>
      </c>
      <c r="T1241" s="29">
        <v>1</v>
      </c>
      <c r="U1241" s="29">
        <v>1.1279999999999999</v>
      </c>
    </row>
    <row r="1242" spans="1:21">
      <c r="A1242" s="29">
        <v>87</v>
      </c>
      <c r="B1242" s="111">
        <v>4</v>
      </c>
      <c r="C1242" s="111">
        <v>32565</v>
      </c>
      <c r="D1242" s="111" t="s">
        <v>757</v>
      </c>
      <c r="E1242" s="111" t="s">
        <v>448</v>
      </c>
      <c r="F1242" s="265">
        <v>42193</v>
      </c>
      <c r="G1242" s="265">
        <v>42237</v>
      </c>
      <c r="H1242" s="266">
        <f t="shared" si="93"/>
        <v>630.89</v>
      </c>
      <c r="I1242" s="266">
        <f t="shared" si="94"/>
        <v>0</v>
      </c>
      <c r="J1242" s="295">
        <v>1</v>
      </c>
      <c r="K1242" s="266">
        <f t="shared" si="95"/>
        <v>6.3089000000000004</v>
      </c>
      <c r="L1242" s="312">
        <f t="shared" si="96"/>
        <v>44</v>
      </c>
      <c r="M1242" s="263"/>
      <c r="N1242" s="263"/>
      <c r="O1242" s="29">
        <v>630.89</v>
      </c>
      <c r="P1242" s="29">
        <v>0</v>
      </c>
      <c r="Q1242" s="29">
        <v>113.56</v>
      </c>
      <c r="R1242" s="29">
        <v>744.45</v>
      </c>
      <c r="S1242" s="29">
        <v>0</v>
      </c>
      <c r="T1242" s="29">
        <v>1</v>
      </c>
      <c r="U1242" s="29">
        <v>7.4444999999999997</v>
      </c>
    </row>
    <row r="1243" spans="1:21">
      <c r="A1243" s="29">
        <v>88</v>
      </c>
      <c r="B1243" s="111">
        <v>4</v>
      </c>
      <c r="C1243" s="111">
        <v>32564</v>
      </c>
      <c r="D1243" s="111" t="s">
        <v>759</v>
      </c>
      <c r="E1243" s="111" t="s">
        <v>448</v>
      </c>
      <c r="F1243" s="265">
        <v>42193</v>
      </c>
      <c r="G1243" s="265">
        <v>42247</v>
      </c>
      <c r="H1243" s="266">
        <f t="shared" si="93"/>
        <v>1262.28</v>
      </c>
      <c r="I1243" s="266">
        <f t="shared" si="94"/>
        <v>0</v>
      </c>
      <c r="J1243" s="295">
        <v>1</v>
      </c>
      <c r="K1243" s="266">
        <f t="shared" si="95"/>
        <v>12.6228</v>
      </c>
      <c r="L1243" s="312">
        <f t="shared" si="96"/>
        <v>54</v>
      </c>
      <c r="M1243" s="263"/>
      <c r="N1243" s="263"/>
      <c r="O1243" s="29">
        <v>1262.28</v>
      </c>
      <c r="P1243" s="29">
        <v>0</v>
      </c>
      <c r="Q1243" s="29">
        <v>227.21</v>
      </c>
      <c r="R1243" s="29">
        <v>1489.49</v>
      </c>
      <c r="S1243" s="29">
        <v>0</v>
      </c>
      <c r="T1243" s="29">
        <v>1</v>
      </c>
      <c r="U1243" s="29">
        <v>14.8949</v>
      </c>
    </row>
    <row r="1244" spans="1:21">
      <c r="A1244" s="29">
        <v>89</v>
      </c>
      <c r="B1244" s="111">
        <v>4</v>
      </c>
      <c r="C1244" s="111">
        <v>32624</v>
      </c>
      <c r="D1244" s="111" t="s">
        <v>758</v>
      </c>
      <c r="E1244" s="111" t="s">
        <v>448</v>
      </c>
      <c r="F1244" s="265">
        <v>42193</v>
      </c>
      <c r="G1244" s="265">
        <v>42237</v>
      </c>
      <c r="H1244" s="266">
        <f t="shared" si="93"/>
        <v>3181.86</v>
      </c>
      <c r="I1244" s="266">
        <f t="shared" si="94"/>
        <v>0</v>
      </c>
      <c r="J1244" s="295">
        <v>1</v>
      </c>
      <c r="K1244" s="266">
        <f t="shared" si="95"/>
        <v>31.818600000000004</v>
      </c>
      <c r="L1244" s="312">
        <f t="shared" si="96"/>
        <v>44</v>
      </c>
      <c r="M1244" s="263"/>
      <c r="N1244" s="263"/>
      <c r="O1244" s="29">
        <v>3181.86</v>
      </c>
      <c r="P1244" s="29">
        <v>0</v>
      </c>
      <c r="Q1244" s="29">
        <v>572.73</v>
      </c>
      <c r="R1244" s="29">
        <v>3754.59</v>
      </c>
      <c r="S1244" s="29">
        <v>0</v>
      </c>
      <c r="T1244" s="29">
        <v>1</v>
      </c>
      <c r="U1244" s="29">
        <v>37.545900000000003</v>
      </c>
    </row>
    <row r="1245" spans="1:21">
      <c r="A1245" s="29">
        <v>90</v>
      </c>
      <c r="B1245" s="111">
        <v>4</v>
      </c>
      <c r="C1245" s="111">
        <v>32678</v>
      </c>
      <c r="D1245" s="111" t="s">
        <v>767</v>
      </c>
      <c r="E1245" s="111" t="s">
        <v>448</v>
      </c>
      <c r="F1245" s="265">
        <v>42194</v>
      </c>
      <c r="G1245" s="265">
        <v>42244</v>
      </c>
      <c r="H1245" s="266">
        <f t="shared" si="93"/>
        <v>281.8</v>
      </c>
      <c r="I1245" s="266">
        <f t="shared" si="94"/>
        <v>0</v>
      </c>
      <c r="J1245" s="295">
        <v>1</v>
      </c>
      <c r="K1245" s="266">
        <f t="shared" si="95"/>
        <v>2.8180000000000001</v>
      </c>
      <c r="L1245" s="312">
        <f t="shared" si="96"/>
        <v>50</v>
      </c>
      <c r="M1245" s="263"/>
      <c r="N1245" s="263"/>
      <c r="O1245" s="29">
        <v>281.8</v>
      </c>
      <c r="P1245" s="29">
        <v>0</v>
      </c>
      <c r="Q1245" s="29">
        <v>50.72</v>
      </c>
      <c r="R1245" s="29">
        <v>332.52</v>
      </c>
      <c r="S1245" s="29">
        <v>0</v>
      </c>
      <c r="T1245" s="29">
        <v>1</v>
      </c>
      <c r="U1245" s="29">
        <v>3.3252000000000002</v>
      </c>
    </row>
    <row r="1246" spans="1:21">
      <c r="A1246" s="29">
        <v>91</v>
      </c>
      <c r="B1246" s="111">
        <v>4</v>
      </c>
      <c r="C1246" s="111">
        <v>32677</v>
      </c>
      <c r="D1246" s="111" t="s">
        <v>758</v>
      </c>
      <c r="E1246" s="111" t="s">
        <v>448</v>
      </c>
      <c r="F1246" s="265">
        <v>42194</v>
      </c>
      <c r="G1246" s="265">
        <v>42237</v>
      </c>
      <c r="H1246" s="266">
        <f t="shared" si="93"/>
        <v>3477.78</v>
      </c>
      <c r="I1246" s="266">
        <f t="shared" si="94"/>
        <v>0</v>
      </c>
      <c r="J1246" s="295">
        <v>1</v>
      </c>
      <c r="K1246" s="266">
        <f t="shared" si="95"/>
        <v>34.777800000000006</v>
      </c>
      <c r="L1246" s="312">
        <f t="shared" si="96"/>
        <v>43</v>
      </c>
      <c r="M1246" s="263"/>
      <c r="N1246" s="263"/>
      <c r="O1246" s="29">
        <v>3477.78</v>
      </c>
      <c r="P1246" s="29">
        <v>0</v>
      </c>
      <c r="Q1246" s="29">
        <v>626</v>
      </c>
      <c r="R1246" s="29">
        <v>4103.78</v>
      </c>
      <c r="S1246" s="29">
        <v>0</v>
      </c>
      <c r="T1246" s="29">
        <v>1</v>
      </c>
      <c r="U1246" s="29">
        <v>41.037799999999997</v>
      </c>
    </row>
    <row r="1247" spans="1:21">
      <c r="A1247" s="29">
        <v>92</v>
      </c>
      <c r="B1247" s="111">
        <v>4</v>
      </c>
      <c r="C1247" s="111">
        <v>32717</v>
      </c>
      <c r="D1247" s="111" t="s">
        <v>758</v>
      </c>
      <c r="E1247" s="111" t="s">
        <v>448</v>
      </c>
      <c r="F1247" s="265">
        <v>42194</v>
      </c>
      <c r="G1247" s="265">
        <v>42237</v>
      </c>
      <c r="H1247" s="266">
        <f t="shared" si="93"/>
        <v>4430.58</v>
      </c>
      <c r="I1247" s="266">
        <f t="shared" si="94"/>
        <v>0</v>
      </c>
      <c r="J1247" s="295">
        <v>1</v>
      </c>
      <c r="K1247" s="266">
        <f t="shared" si="95"/>
        <v>44.305799999999998</v>
      </c>
      <c r="L1247" s="312">
        <f t="shared" si="96"/>
        <v>43</v>
      </c>
      <c r="M1247" s="263"/>
      <c r="N1247" s="263"/>
      <c r="O1247" s="29">
        <v>4430.58</v>
      </c>
      <c r="P1247" s="29">
        <v>0</v>
      </c>
      <c r="Q1247" s="29">
        <v>797.5</v>
      </c>
      <c r="R1247" s="29">
        <v>5228.08</v>
      </c>
      <c r="S1247" s="29">
        <v>0</v>
      </c>
      <c r="T1247" s="29">
        <v>1</v>
      </c>
      <c r="U1247" s="29">
        <v>52.280799999999999</v>
      </c>
    </row>
    <row r="1248" spans="1:21">
      <c r="A1248" s="29">
        <v>93</v>
      </c>
      <c r="B1248" s="111">
        <v>4</v>
      </c>
      <c r="C1248" s="111">
        <v>32729</v>
      </c>
      <c r="D1248" s="111" t="s">
        <v>761</v>
      </c>
      <c r="E1248" s="111" t="s">
        <v>448</v>
      </c>
      <c r="F1248" s="265">
        <v>42194</v>
      </c>
      <c r="G1248" s="265">
        <v>42228</v>
      </c>
      <c r="H1248" s="266">
        <f t="shared" si="93"/>
        <v>2151.36</v>
      </c>
      <c r="I1248" s="266">
        <f t="shared" si="94"/>
        <v>0</v>
      </c>
      <c r="J1248" s="295">
        <v>1</v>
      </c>
      <c r="K1248" s="266">
        <f t="shared" si="95"/>
        <v>21.5136</v>
      </c>
      <c r="L1248" s="312">
        <f t="shared" si="96"/>
        <v>34</v>
      </c>
      <c r="M1248" s="263"/>
      <c r="N1248" s="263"/>
      <c r="O1248" s="29">
        <v>2151.36</v>
      </c>
      <c r="P1248" s="29">
        <v>0</v>
      </c>
      <c r="Q1248" s="29">
        <v>387.24</v>
      </c>
      <c r="R1248" s="29">
        <v>2538.6</v>
      </c>
      <c r="S1248" s="29">
        <v>0</v>
      </c>
      <c r="T1248" s="29">
        <v>1</v>
      </c>
      <c r="U1248" s="29">
        <v>25.385999999999999</v>
      </c>
    </row>
    <row r="1249" spans="1:21">
      <c r="A1249" s="29">
        <v>94</v>
      </c>
      <c r="B1249" s="111">
        <v>4</v>
      </c>
      <c r="C1249" s="111">
        <v>32791</v>
      </c>
      <c r="D1249" s="111" t="s">
        <v>758</v>
      </c>
      <c r="E1249" s="111" t="s">
        <v>448</v>
      </c>
      <c r="F1249" s="265">
        <v>42195</v>
      </c>
      <c r="G1249" s="265">
        <v>42237</v>
      </c>
      <c r="H1249" s="266">
        <f t="shared" si="93"/>
        <v>7409</v>
      </c>
      <c r="I1249" s="266">
        <f t="shared" si="94"/>
        <v>0</v>
      </c>
      <c r="J1249" s="295">
        <v>1</v>
      </c>
      <c r="K1249" s="266">
        <f t="shared" si="95"/>
        <v>74.09</v>
      </c>
      <c r="L1249" s="312">
        <f t="shared" si="96"/>
        <v>42</v>
      </c>
      <c r="M1249" s="263"/>
      <c r="N1249" s="263"/>
      <c r="O1249" s="29">
        <v>7409</v>
      </c>
      <c r="P1249" s="29">
        <v>0</v>
      </c>
      <c r="Q1249" s="29">
        <v>1333.62</v>
      </c>
      <c r="R1249" s="29">
        <v>8742.6200000000008</v>
      </c>
      <c r="S1249" s="29">
        <v>0</v>
      </c>
      <c r="T1249" s="29">
        <v>1</v>
      </c>
      <c r="U1249" s="29">
        <v>87.426199999999994</v>
      </c>
    </row>
    <row r="1250" spans="1:21">
      <c r="A1250" s="29">
        <v>95</v>
      </c>
      <c r="B1250" s="111">
        <v>4</v>
      </c>
      <c r="C1250" s="111">
        <v>32833</v>
      </c>
      <c r="D1250" s="111" t="s">
        <v>759</v>
      </c>
      <c r="E1250" s="111" t="s">
        <v>448</v>
      </c>
      <c r="F1250" s="265">
        <v>42195</v>
      </c>
      <c r="G1250" s="265">
        <v>42247</v>
      </c>
      <c r="H1250" s="266">
        <f t="shared" si="93"/>
        <v>940.04</v>
      </c>
      <c r="I1250" s="266">
        <f t="shared" si="94"/>
        <v>0</v>
      </c>
      <c r="J1250" s="295">
        <v>1</v>
      </c>
      <c r="K1250" s="266">
        <f t="shared" si="95"/>
        <v>9.4003999999999994</v>
      </c>
      <c r="L1250" s="312">
        <f t="shared" si="96"/>
        <v>52</v>
      </c>
      <c r="M1250" s="263"/>
      <c r="N1250" s="263"/>
      <c r="O1250" s="29">
        <v>940.04</v>
      </c>
      <c r="P1250" s="29">
        <v>0</v>
      </c>
      <c r="Q1250" s="29">
        <v>169.21</v>
      </c>
      <c r="R1250" s="29">
        <v>1109.25</v>
      </c>
      <c r="S1250" s="29">
        <v>0</v>
      </c>
      <c r="T1250" s="29">
        <v>1</v>
      </c>
      <c r="U1250" s="29">
        <v>11.092499999999999</v>
      </c>
    </row>
    <row r="1251" spans="1:21">
      <c r="A1251" s="29">
        <v>96</v>
      </c>
      <c r="B1251" s="111">
        <v>4</v>
      </c>
      <c r="C1251" s="111">
        <v>32836</v>
      </c>
      <c r="D1251" s="111" t="s">
        <v>759</v>
      </c>
      <c r="E1251" s="111" t="s">
        <v>448</v>
      </c>
      <c r="F1251" s="265">
        <v>42195</v>
      </c>
      <c r="G1251" s="265">
        <v>42247</v>
      </c>
      <c r="H1251" s="266">
        <f t="shared" si="93"/>
        <v>3442.83</v>
      </c>
      <c r="I1251" s="266">
        <f t="shared" si="94"/>
        <v>0</v>
      </c>
      <c r="J1251" s="295">
        <v>1</v>
      </c>
      <c r="K1251" s="266">
        <f t="shared" si="95"/>
        <v>34.4283</v>
      </c>
      <c r="L1251" s="312">
        <f t="shared" si="96"/>
        <v>52</v>
      </c>
      <c r="M1251" s="263"/>
      <c r="N1251" s="263"/>
      <c r="O1251" s="29">
        <v>3442.83</v>
      </c>
      <c r="P1251" s="29">
        <v>0</v>
      </c>
      <c r="Q1251" s="29">
        <v>619.71</v>
      </c>
      <c r="R1251" s="29">
        <v>4062.54</v>
      </c>
      <c r="S1251" s="29">
        <v>0</v>
      </c>
      <c r="T1251" s="29">
        <v>1</v>
      </c>
      <c r="U1251" s="29">
        <v>40.625399999999999</v>
      </c>
    </row>
    <row r="1252" spans="1:21">
      <c r="A1252" s="29">
        <v>97</v>
      </c>
      <c r="B1252" s="111">
        <v>4</v>
      </c>
      <c r="C1252" s="111">
        <v>32936</v>
      </c>
      <c r="D1252" s="111" t="s">
        <v>758</v>
      </c>
      <c r="E1252" s="111" t="s">
        <v>448</v>
      </c>
      <c r="F1252" s="265">
        <v>42196</v>
      </c>
      <c r="G1252" s="265">
        <v>42237</v>
      </c>
      <c r="H1252" s="266">
        <f t="shared" ref="H1252:H1285" si="97">O1252+P1252</f>
        <v>3712.17</v>
      </c>
      <c r="I1252" s="266">
        <f t="shared" ref="I1252:I1285" si="98">S1252/1.18</f>
        <v>0</v>
      </c>
      <c r="J1252" s="295">
        <v>1</v>
      </c>
      <c r="K1252" s="266">
        <f t="shared" ref="K1252:K1283" si="99">H1252*J1252%</f>
        <v>37.121700000000004</v>
      </c>
      <c r="L1252" s="312">
        <f t="shared" ref="L1252:L1285" si="100">G1252-F1252</f>
        <v>41</v>
      </c>
      <c r="M1252" s="263"/>
      <c r="N1252" s="263"/>
      <c r="O1252" s="29">
        <v>3712.17</v>
      </c>
      <c r="P1252" s="29">
        <v>0</v>
      </c>
      <c r="Q1252" s="29">
        <v>668.19</v>
      </c>
      <c r="R1252" s="29">
        <v>4380.3599999999997</v>
      </c>
      <c r="S1252" s="29">
        <v>0</v>
      </c>
      <c r="T1252" s="29">
        <v>1</v>
      </c>
      <c r="U1252" s="29">
        <v>43.803600000000003</v>
      </c>
    </row>
    <row r="1253" spans="1:21">
      <c r="A1253" s="29">
        <v>98</v>
      </c>
      <c r="B1253" s="111">
        <v>4</v>
      </c>
      <c r="C1253" s="111">
        <v>32937</v>
      </c>
      <c r="D1253" s="111" t="s">
        <v>758</v>
      </c>
      <c r="E1253" s="111" t="s">
        <v>448</v>
      </c>
      <c r="F1253" s="265">
        <v>42196</v>
      </c>
      <c r="G1253" s="265">
        <v>42237</v>
      </c>
      <c r="H1253" s="266">
        <f t="shared" si="97"/>
        <v>2708.99</v>
      </c>
      <c r="I1253" s="266">
        <f t="shared" si="98"/>
        <v>0</v>
      </c>
      <c r="J1253" s="295">
        <v>1</v>
      </c>
      <c r="K1253" s="266">
        <f t="shared" si="99"/>
        <v>27.0899</v>
      </c>
      <c r="L1253" s="312">
        <f t="shared" si="100"/>
        <v>41</v>
      </c>
      <c r="M1253" s="263"/>
      <c r="N1253" s="263"/>
      <c r="O1253" s="29">
        <v>2708.99</v>
      </c>
      <c r="P1253" s="29">
        <v>0</v>
      </c>
      <c r="Q1253" s="29">
        <v>487.62</v>
      </c>
      <c r="R1253" s="29">
        <v>3196.61</v>
      </c>
      <c r="S1253" s="29">
        <v>0</v>
      </c>
      <c r="T1253" s="29">
        <v>1</v>
      </c>
      <c r="U1253" s="29">
        <v>31.966100000000001</v>
      </c>
    </row>
    <row r="1254" spans="1:21">
      <c r="A1254" s="29">
        <v>99</v>
      </c>
      <c r="B1254" s="111">
        <v>4</v>
      </c>
      <c r="C1254" s="111">
        <v>32939</v>
      </c>
      <c r="D1254" s="111" t="s">
        <v>758</v>
      </c>
      <c r="E1254" s="111" t="s">
        <v>448</v>
      </c>
      <c r="F1254" s="265">
        <v>42196</v>
      </c>
      <c r="G1254" s="265">
        <v>42237</v>
      </c>
      <c r="H1254" s="266">
        <f t="shared" si="97"/>
        <v>6899.61</v>
      </c>
      <c r="I1254" s="266">
        <f t="shared" si="98"/>
        <v>0</v>
      </c>
      <c r="J1254" s="295">
        <v>1</v>
      </c>
      <c r="K1254" s="266">
        <f t="shared" si="99"/>
        <v>68.996099999999998</v>
      </c>
      <c r="L1254" s="312">
        <f t="shared" si="100"/>
        <v>41</v>
      </c>
      <c r="M1254" s="263"/>
      <c r="N1254" s="263"/>
      <c r="O1254" s="29">
        <v>6899.61</v>
      </c>
      <c r="P1254" s="29">
        <v>0</v>
      </c>
      <c r="Q1254" s="29">
        <v>1241.93</v>
      </c>
      <c r="R1254" s="29">
        <v>8141.54</v>
      </c>
      <c r="S1254" s="29">
        <v>0</v>
      </c>
      <c r="T1254" s="29">
        <v>1</v>
      </c>
      <c r="U1254" s="29">
        <v>81.415400000000005</v>
      </c>
    </row>
    <row r="1255" spans="1:21">
      <c r="A1255" s="29">
        <v>100</v>
      </c>
      <c r="B1255" s="111">
        <v>4</v>
      </c>
      <c r="C1255" s="111">
        <v>33003</v>
      </c>
      <c r="D1255" s="111" t="s">
        <v>760</v>
      </c>
      <c r="E1255" s="111" t="s">
        <v>448</v>
      </c>
      <c r="F1255" s="265">
        <v>42198</v>
      </c>
      <c r="G1255" s="265">
        <v>42237</v>
      </c>
      <c r="H1255" s="266">
        <f t="shared" si="97"/>
        <v>158.76</v>
      </c>
      <c r="I1255" s="266">
        <f t="shared" si="98"/>
        <v>0</v>
      </c>
      <c r="J1255" s="295">
        <v>1</v>
      </c>
      <c r="K1255" s="266">
        <f t="shared" si="99"/>
        <v>1.5875999999999999</v>
      </c>
      <c r="L1255" s="312">
        <f t="shared" si="100"/>
        <v>39</v>
      </c>
      <c r="M1255" s="263"/>
      <c r="N1255" s="263"/>
      <c r="O1255" s="29">
        <v>158.76</v>
      </c>
      <c r="P1255" s="29">
        <v>0</v>
      </c>
      <c r="Q1255" s="29">
        <v>28.58</v>
      </c>
      <c r="R1255" s="29">
        <v>187.34</v>
      </c>
      <c r="S1255" s="29">
        <v>0</v>
      </c>
      <c r="T1255" s="29">
        <v>1</v>
      </c>
      <c r="U1255" s="29">
        <v>1.8734</v>
      </c>
    </row>
    <row r="1256" spans="1:21">
      <c r="A1256" s="29">
        <v>101</v>
      </c>
      <c r="B1256" s="111">
        <v>4</v>
      </c>
      <c r="C1256" s="111">
        <v>33033</v>
      </c>
      <c r="D1256" s="111" t="s">
        <v>757</v>
      </c>
      <c r="E1256" s="111" t="s">
        <v>448</v>
      </c>
      <c r="F1256" s="265">
        <v>42198</v>
      </c>
      <c r="G1256" s="265">
        <v>42237</v>
      </c>
      <c r="H1256" s="266">
        <f t="shared" si="97"/>
        <v>520.36</v>
      </c>
      <c r="I1256" s="266">
        <f t="shared" si="98"/>
        <v>0</v>
      </c>
      <c r="J1256" s="295">
        <v>1</v>
      </c>
      <c r="K1256" s="266">
        <f t="shared" si="99"/>
        <v>5.2036000000000007</v>
      </c>
      <c r="L1256" s="312">
        <f t="shared" si="100"/>
        <v>39</v>
      </c>
      <c r="M1256" s="263"/>
      <c r="N1256" s="263"/>
      <c r="O1256" s="29">
        <v>520.36</v>
      </c>
      <c r="P1256" s="29">
        <v>0</v>
      </c>
      <c r="Q1256" s="29">
        <v>93.66</v>
      </c>
      <c r="R1256" s="29">
        <v>614.02</v>
      </c>
      <c r="S1256" s="29">
        <v>0</v>
      </c>
      <c r="T1256" s="29">
        <v>1</v>
      </c>
      <c r="U1256" s="29">
        <v>6.1402000000000001</v>
      </c>
    </row>
    <row r="1257" spans="1:21">
      <c r="A1257" s="29">
        <v>102</v>
      </c>
      <c r="B1257" s="111">
        <v>4</v>
      </c>
      <c r="C1257" s="111">
        <v>33004</v>
      </c>
      <c r="D1257" s="111" t="s">
        <v>760</v>
      </c>
      <c r="E1257" s="111" t="s">
        <v>448</v>
      </c>
      <c r="F1257" s="265">
        <v>42198</v>
      </c>
      <c r="G1257" s="265">
        <v>42237</v>
      </c>
      <c r="H1257" s="266">
        <f t="shared" si="97"/>
        <v>874.22</v>
      </c>
      <c r="I1257" s="266">
        <f t="shared" si="98"/>
        <v>0</v>
      </c>
      <c r="J1257" s="295">
        <v>1</v>
      </c>
      <c r="K1257" s="266">
        <f t="shared" si="99"/>
        <v>8.7422000000000004</v>
      </c>
      <c r="L1257" s="312">
        <f t="shared" si="100"/>
        <v>39</v>
      </c>
      <c r="M1257" s="263"/>
      <c r="N1257" s="263"/>
      <c r="O1257" s="29">
        <v>874.22</v>
      </c>
      <c r="P1257" s="29">
        <v>0</v>
      </c>
      <c r="Q1257" s="29">
        <v>157.36000000000001</v>
      </c>
      <c r="R1257" s="29">
        <v>1031.58</v>
      </c>
      <c r="S1257" s="29">
        <v>0</v>
      </c>
      <c r="T1257" s="29">
        <v>1</v>
      </c>
      <c r="U1257" s="29">
        <v>10.315799999999999</v>
      </c>
    </row>
    <row r="1258" spans="1:21">
      <c r="A1258" s="29">
        <v>103</v>
      </c>
      <c r="B1258" s="111">
        <v>4</v>
      </c>
      <c r="C1258" s="111">
        <v>33067</v>
      </c>
      <c r="D1258" s="111" t="s">
        <v>758</v>
      </c>
      <c r="E1258" s="111" t="s">
        <v>448</v>
      </c>
      <c r="F1258" s="265">
        <v>42199</v>
      </c>
      <c r="G1258" s="265">
        <v>42237</v>
      </c>
      <c r="H1258" s="266">
        <f t="shared" si="97"/>
        <v>615.28</v>
      </c>
      <c r="I1258" s="266">
        <f t="shared" si="98"/>
        <v>0</v>
      </c>
      <c r="J1258" s="295">
        <v>1</v>
      </c>
      <c r="K1258" s="266">
        <f t="shared" si="99"/>
        <v>6.1528</v>
      </c>
      <c r="L1258" s="312">
        <f t="shared" si="100"/>
        <v>38</v>
      </c>
      <c r="M1258" s="263"/>
      <c r="N1258" s="263"/>
      <c r="O1258" s="29">
        <v>615.28</v>
      </c>
      <c r="P1258" s="29">
        <v>0</v>
      </c>
      <c r="Q1258" s="29">
        <v>110.75</v>
      </c>
      <c r="R1258" s="29">
        <v>726.03</v>
      </c>
      <c r="S1258" s="29">
        <v>0</v>
      </c>
      <c r="T1258" s="29">
        <v>1</v>
      </c>
      <c r="U1258" s="29">
        <v>7.2603</v>
      </c>
    </row>
    <row r="1259" spans="1:21">
      <c r="A1259" s="29">
        <v>104</v>
      </c>
      <c r="B1259" s="111">
        <v>4</v>
      </c>
      <c r="C1259" s="111">
        <v>33045</v>
      </c>
      <c r="D1259" s="111" t="s">
        <v>758</v>
      </c>
      <c r="E1259" s="111" t="s">
        <v>448</v>
      </c>
      <c r="F1259" s="265">
        <v>42199</v>
      </c>
      <c r="G1259" s="265">
        <v>42237</v>
      </c>
      <c r="H1259" s="266">
        <f t="shared" si="97"/>
        <v>1285.8900000000001</v>
      </c>
      <c r="I1259" s="266">
        <f t="shared" si="98"/>
        <v>0</v>
      </c>
      <c r="J1259" s="295">
        <v>1</v>
      </c>
      <c r="K1259" s="266">
        <f t="shared" si="99"/>
        <v>12.858900000000002</v>
      </c>
      <c r="L1259" s="312">
        <f t="shared" si="100"/>
        <v>38</v>
      </c>
      <c r="M1259" s="263"/>
      <c r="N1259" s="263"/>
      <c r="O1259" s="29">
        <v>1285.8900000000001</v>
      </c>
      <c r="P1259" s="29">
        <v>0</v>
      </c>
      <c r="Q1259" s="29">
        <v>231.46</v>
      </c>
      <c r="R1259" s="29">
        <v>1517.35</v>
      </c>
      <c r="S1259" s="29">
        <v>0</v>
      </c>
      <c r="T1259" s="29">
        <v>1</v>
      </c>
      <c r="U1259" s="29">
        <v>15.173500000000001</v>
      </c>
    </row>
    <row r="1260" spans="1:21">
      <c r="A1260" s="29">
        <v>105</v>
      </c>
      <c r="B1260" s="111">
        <v>4</v>
      </c>
      <c r="C1260" s="111">
        <v>33178</v>
      </c>
      <c r="D1260" s="111" t="s">
        <v>758</v>
      </c>
      <c r="E1260" s="111" t="s">
        <v>448</v>
      </c>
      <c r="F1260" s="265">
        <v>42200</v>
      </c>
      <c r="G1260" s="265">
        <v>42237</v>
      </c>
      <c r="H1260" s="266">
        <f t="shared" si="97"/>
        <v>549.01</v>
      </c>
      <c r="I1260" s="266">
        <f t="shared" si="98"/>
        <v>0</v>
      </c>
      <c r="J1260" s="295">
        <v>1</v>
      </c>
      <c r="K1260" s="266">
        <f t="shared" si="99"/>
        <v>5.4901</v>
      </c>
      <c r="L1260" s="312">
        <f t="shared" si="100"/>
        <v>37</v>
      </c>
      <c r="M1260" s="263"/>
      <c r="N1260" s="263"/>
      <c r="O1260" s="29">
        <v>549.01</v>
      </c>
      <c r="P1260" s="29">
        <v>0</v>
      </c>
      <c r="Q1260" s="29">
        <v>98.82</v>
      </c>
      <c r="R1260" s="29">
        <v>647.83000000000004</v>
      </c>
      <c r="S1260" s="29">
        <v>0</v>
      </c>
      <c r="T1260" s="29">
        <v>1</v>
      </c>
      <c r="U1260" s="29">
        <v>6.4782999999999999</v>
      </c>
    </row>
    <row r="1261" spans="1:21">
      <c r="A1261" s="29">
        <v>106</v>
      </c>
      <c r="B1261" s="111">
        <v>6</v>
      </c>
      <c r="C1261" s="111">
        <v>1009</v>
      </c>
      <c r="D1261" s="111" t="s">
        <v>458</v>
      </c>
      <c r="E1261" s="111" t="s">
        <v>448</v>
      </c>
      <c r="F1261" s="265">
        <v>42200</v>
      </c>
      <c r="G1261" s="265">
        <v>42220</v>
      </c>
      <c r="H1261" s="266">
        <f t="shared" si="97"/>
        <v>3283.9</v>
      </c>
      <c r="I1261" s="266">
        <f t="shared" si="98"/>
        <v>0</v>
      </c>
      <c r="J1261" s="295">
        <v>1</v>
      </c>
      <c r="K1261" s="266">
        <f t="shared" si="99"/>
        <v>32.838999999999999</v>
      </c>
      <c r="L1261" s="312">
        <f t="shared" si="100"/>
        <v>20</v>
      </c>
      <c r="M1261" s="263"/>
      <c r="N1261" s="263"/>
      <c r="O1261" s="29">
        <v>3283.9</v>
      </c>
      <c r="P1261" s="29">
        <v>0</v>
      </c>
      <c r="Q1261" s="29">
        <v>591.1</v>
      </c>
      <c r="R1261" s="29">
        <v>3875</v>
      </c>
      <c r="S1261" s="29">
        <v>0</v>
      </c>
      <c r="T1261" s="29">
        <v>1</v>
      </c>
      <c r="U1261" s="29">
        <v>38.75</v>
      </c>
    </row>
    <row r="1262" spans="1:21">
      <c r="A1262" s="29">
        <v>107</v>
      </c>
      <c r="B1262" s="111">
        <v>6</v>
      </c>
      <c r="C1262" s="111">
        <v>1011</v>
      </c>
      <c r="D1262" s="111" t="s">
        <v>458</v>
      </c>
      <c r="E1262" s="111" t="s">
        <v>448</v>
      </c>
      <c r="F1262" s="265">
        <v>42201</v>
      </c>
      <c r="G1262" s="265">
        <v>42220</v>
      </c>
      <c r="H1262" s="266">
        <f t="shared" si="97"/>
        <v>9776.9500000000007</v>
      </c>
      <c r="I1262" s="266">
        <f t="shared" si="98"/>
        <v>0</v>
      </c>
      <c r="J1262" s="295">
        <v>1</v>
      </c>
      <c r="K1262" s="266">
        <f t="shared" si="99"/>
        <v>97.769500000000008</v>
      </c>
      <c r="L1262" s="312">
        <f t="shared" si="100"/>
        <v>19</v>
      </c>
      <c r="M1262" s="263"/>
      <c r="N1262" s="263"/>
      <c r="O1262" s="29">
        <v>9776.9500000000007</v>
      </c>
      <c r="P1262" s="29">
        <v>0</v>
      </c>
      <c r="Q1262" s="29">
        <v>1759.85</v>
      </c>
      <c r="R1262" s="29">
        <v>11536.8</v>
      </c>
      <c r="S1262" s="29">
        <v>0</v>
      </c>
      <c r="T1262" s="29">
        <v>1</v>
      </c>
      <c r="U1262" s="29">
        <v>115.36799999999999</v>
      </c>
    </row>
    <row r="1263" spans="1:21">
      <c r="A1263" s="29">
        <v>108</v>
      </c>
      <c r="B1263" s="111">
        <v>4</v>
      </c>
      <c r="C1263" s="111">
        <v>33287</v>
      </c>
      <c r="D1263" s="111" t="s">
        <v>758</v>
      </c>
      <c r="E1263" s="111" t="s">
        <v>448</v>
      </c>
      <c r="F1263" s="265">
        <v>42201</v>
      </c>
      <c r="G1263" s="265">
        <v>42237</v>
      </c>
      <c r="H1263" s="266">
        <f t="shared" si="97"/>
        <v>7931.62</v>
      </c>
      <c r="I1263" s="266">
        <f t="shared" si="98"/>
        <v>0</v>
      </c>
      <c r="J1263" s="295">
        <v>1</v>
      </c>
      <c r="K1263" s="266">
        <f t="shared" si="99"/>
        <v>79.316199999999995</v>
      </c>
      <c r="L1263" s="312">
        <f t="shared" si="100"/>
        <v>36</v>
      </c>
      <c r="M1263" s="263"/>
      <c r="N1263" s="263"/>
      <c r="O1263" s="29">
        <v>7931.62</v>
      </c>
      <c r="P1263" s="29">
        <v>0</v>
      </c>
      <c r="Q1263" s="29">
        <v>1427.69</v>
      </c>
      <c r="R1263" s="29">
        <v>9359.31</v>
      </c>
      <c r="S1263" s="29">
        <v>0</v>
      </c>
      <c r="T1263" s="29">
        <v>1</v>
      </c>
      <c r="U1263" s="29">
        <v>93.593100000000007</v>
      </c>
    </row>
    <row r="1264" spans="1:21">
      <c r="A1264" s="29">
        <v>109</v>
      </c>
      <c r="B1264" s="111">
        <v>4</v>
      </c>
      <c r="C1264" s="111">
        <v>33265</v>
      </c>
      <c r="D1264" s="111" t="s">
        <v>758</v>
      </c>
      <c r="E1264" s="111" t="s">
        <v>448</v>
      </c>
      <c r="F1264" s="265">
        <v>42201</v>
      </c>
      <c r="G1264" s="265">
        <v>42237</v>
      </c>
      <c r="H1264" s="266">
        <f t="shared" si="97"/>
        <v>1369.79</v>
      </c>
      <c r="I1264" s="266">
        <f t="shared" si="98"/>
        <v>0</v>
      </c>
      <c r="J1264" s="295">
        <v>1</v>
      </c>
      <c r="K1264" s="266">
        <f t="shared" si="99"/>
        <v>13.697900000000001</v>
      </c>
      <c r="L1264" s="312">
        <f t="shared" si="100"/>
        <v>36</v>
      </c>
      <c r="M1264" s="263"/>
      <c r="N1264" s="263"/>
      <c r="O1264" s="29">
        <v>1369.79</v>
      </c>
      <c r="P1264" s="29">
        <v>0</v>
      </c>
      <c r="Q1264" s="29">
        <v>246.56</v>
      </c>
      <c r="R1264" s="29">
        <v>1616.35</v>
      </c>
      <c r="S1264" s="29">
        <v>0</v>
      </c>
      <c r="T1264" s="29">
        <v>1</v>
      </c>
      <c r="U1264" s="29">
        <v>16.163499999999999</v>
      </c>
    </row>
    <row r="1265" spans="1:21">
      <c r="A1265" s="29">
        <v>110</v>
      </c>
      <c r="B1265" s="111">
        <v>4</v>
      </c>
      <c r="C1265" s="111">
        <v>33288</v>
      </c>
      <c r="D1265" s="111" t="s">
        <v>758</v>
      </c>
      <c r="E1265" s="111" t="s">
        <v>448</v>
      </c>
      <c r="F1265" s="265">
        <v>42201</v>
      </c>
      <c r="G1265" s="265">
        <v>42237</v>
      </c>
      <c r="H1265" s="266">
        <f t="shared" si="97"/>
        <v>5935.34</v>
      </c>
      <c r="I1265" s="266">
        <f t="shared" si="98"/>
        <v>0</v>
      </c>
      <c r="J1265" s="295">
        <v>1</v>
      </c>
      <c r="K1265" s="266">
        <f t="shared" si="99"/>
        <v>59.353400000000001</v>
      </c>
      <c r="L1265" s="312">
        <f t="shared" si="100"/>
        <v>36</v>
      </c>
      <c r="M1265" s="263"/>
      <c r="N1265" s="263"/>
      <c r="O1265" s="29">
        <v>5935.34</v>
      </c>
      <c r="P1265" s="29">
        <v>0</v>
      </c>
      <c r="Q1265" s="29">
        <v>1068.3599999999999</v>
      </c>
      <c r="R1265" s="29">
        <v>7003.7</v>
      </c>
      <c r="S1265" s="29">
        <v>0</v>
      </c>
      <c r="T1265" s="29">
        <v>1</v>
      </c>
      <c r="U1265" s="29">
        <v>70.037000000000006</v>
      </c>
    </row>
    <row r="1266" spans="1:21">
      <c r="A1266" s="29">
        <v>111</v>
      </c>
      <c r="B1266" s="111">
        <v>4</v>
      </c>
      <c r="C1266" s="111">
        <v>33286</v>
      </c>
      <c r="D1266" s="111" t="s">
        <v>758</v>
      </c>
      <c r="E1266" s="111" t="s">
        <v>448</v>
      </c>
      <c r="F1266" s="265">
        <v>42201</v>
      </c>
      <c r="G1266" s="265">
        <v>42237</v>
      </c>
      <c r="H1266" s="266">
        <f t="shared" si="97"/>
        <v>1069.3900000000001</v>
      </c>
      <c r="I1266" s="266">
        <f t="shared" si="98"/>
        <v>0</v>
      </c>
      <c r="J1266" s="295">
        <v>1</v>
      </c>
      <c r="K1266" s="266">
        <f t="shared" si="99"/>
        <v>10.693900000000001</v>
      </c>
      <c r="L1266" s="312">
        <f t="shared" si="100"/>
        <v>36</v>
      </c>
      <c r="M1266" s="263"/>
      <c r="N1266" s="263"/>
      <c r="O1266" s="29">
        <v>1069.3900000000001</v>
      </c>
      <c r="P1266" s="29">
        <v>0</v>
      </c>
      <c r="Q1266" s="29">
        <v>192.49</v>
      </c>
      <c r="R1266" s="29">
        <v>1261.8800000000001</v>
      </c>
      <c r="S1266" s="29">
        <v>0</v>
      </c>
      <c r="T1266" s="29">
        <v>1</v>
      </c>
      <c r="U1266" s="29">
        <v>12.6188</v>
      </c>
    </row>
    <row r="1267" spans="1:21">
      <c r="A1267" s="29">
        <v>112</v>
      </c>
      <c r="B1267" s="111">
        <v>4</v>
      </c>
      <c r="C1267" s="111">
        <v>33867</v>
      </c>
      <c r="D1267" s="111" t="s">
        <v>767</v>
      </c>
      <c r="E1267" s="111" t="s">
        <v>448</v>
      </c>
      <c r="F1267" s="265">
        <v>42208</v>
      </c>
      <c r="G1267" s="265">
        <v>42244</v>
      </c>
      <c r="H1267" s="266">
        <f t="shared" si="97"/>
        <v>135.38999999999999</v>
      </c>
      <c r="I1267" s="266">
        <f t="shared" si="98"/>
        <v>0</v>
      </c>
      <c r="J1267" s="295">
        <v>1</v>
      </c>
      <c r="K1267" s="266">
        <f t="shared" si="99"/>
        <v>1.3538999999999999</v>
      </c>
      <c r="L1267" s="312">
        <f t="shared" si="100"/>
        <v>36</v>
      </c>
      <c r="M1267" s="263"/>
      <c r="N1267" s="263"/>
      <c r="O1267" s="29">
        <v>135.38999999999999</v>
      </c>
      <c r="P1267" s="29">
        <v>0</v>
      </c>
      <c r="Q1267" s="29">
        <v>24.37</v>
      </c>
      <c r="R1267" s="29">
        <v>159.76</v>
      </c>
      <c r="S1267" s="29">
        <v>0</v>
      </c>
      <c r="T1267" s="29">
        <v>1</v>
      </c>
      <c r="U1267" s="29">
        <v>1.5975999999999999</v>
      </c>
    </row>
    <row r="1268" spans="1:21">
      <c r="A1268" s="29">
        <v>113</v>
      </c>
      <c r="B1268" s="111">
        <v>4</v>
      </c>
      <c r="C1268" s="111">
        <v>34004</v>
      </c>
      <c r="D1268" s="111" t="s">
        <v>760</v>
      </c>
      <c r="E1268" s="111" t="s">
        <v>448</v>
      </c>
      <c r="F1268" s="265">
        <v>42210</v>
      </c>
      <c r="G1268" s="265">
        <v>42237</v>
      </c>
      <c r="H1268" s="266">
        <f t="shared" si="97"/>
        <v>170.5</v>
      </c>
      <c r="I1268" s="266">
        <f t="shared" si="98"/>
        <v>0</v>
      </c>
      <c r="J1268" s="295">
        <v>1</v>
      </c>
      <c r="K1268" s="266">
        <f t="shared" si="99"/>
        <v>1.7050000000000001</v>
      </c>
      <c r="L1268" s="312">
        <f t="shared" si="100"/>
        <v>27</v>
      </c>
      <c r="M1268" s="263"/>
      <c r="N1268" s="263"/>
      <c r="O1268" s="29">
        <v>170.5</v>
      </c>
      <c r="P1268" s="29">
        <v>0</v>
      </c>
      <c r="Q1268" s="29">
        <v>30.69</v>
      </c>
      <c r="R1268" s="29">
        <v>201.19</v>
      </c>
      <c r="S1268" s="29">
        <v>0</v>
      </c>
      <c r="T1268" s="29">
        <v>1</v>
      </c>
      <c r="U1268" s="29">
        <v>2.0118999999999998</v>
      </c>
    </row>
    <row r="1269" spans="1:21">
      <c r="A1269" s="29">
        <v>114</v>
      </c>
      <c r="B1269" s="111">
        <v>6</v>
      </c>
      <c r="C1269" s="111">
        <v>1026</v>
      </c>
      <c r="D1269" s="111" t="s">
        <v>381</v>
      </c>
      <c r="E1269" s="111" t="s">
        <v>382</v>
      </c>
      <c r="F1269" s="265">
        <v>42209</v>
      </c>
      <c r="G1269" s="265">
        <v>42240</v>
      </c>
      <c r="H1269" s="266">
        <f t="shared" si="97"/>
        <v>2120.34</v>
      </c>
      <c r="I1269" s="266">
        <f t="shared" si="98"/>
        <v>0</v>
      </c>
      <c r="J1269" s="295">
        <v>1</v>
      </c>
      <c r="K1269" s="266">
        <f t="shared" si="99"/>
        <v>21.203400000000002</v>
      </c>
      <c r="L1269" s="312">
        <f t="shared" si="100"/>
        <v>31</v>
      </c>
      <c r="M1269" s="263"/>
      <c r="N1269" s="263"/>
      <c r="O1269" s="29">
        <v>2120.34</v>
      </c>
      <c r="P1269" s="29">
        <v>0</v>
      </c>
      <c r="Q1269" s="29">
        <v>381.66</v>
      </c>
      <c r="R1269" s="29">
        <v>2502</v>
      </c>
      <c r="S1269" s="29">
        <v>0</v>
      </c>
      <c r="T1269" s="29">
        <v>1</v>
      </c>
      <c r="U1269" s="29">
        <v>25.02</v>
      </c>
    </row>
    <row r="1270" spans="1:21">
      <c r="A1270" s="29">
        <v>115</v>
      </c>
      <c r="B1270" s="111">
        <v>4</v>
      </c>
      <c r="C1270" s="111">
        <v>34452</v>
      </c>
      <c r="D1270" s="111" t="s">
        <v>764</v>
      </c>
      <c r="E1270" s="111" t="s">
        <v>448</v>
      </c>
      <c r="F1270" s="265">
        <v>42216</v>
      </c>
      <c r="G1270" s="265">
        <v>42228</v>
      </c>
      <c r="H1270" s="266">
        <f t="shared" si="97"/>
        <v>4068</v>
      </c>
      <c r="I1270" s="266">
        <f t="shared" si="98"/>
        <v>0</v>
      </c>
      <c r="J1270" s="295">
        <v>0.5</v>
      </c>
      <c r="K1270" s="266">
        <f t="shared" si="99"/>
        <v>20.34</v>
      </c>
      <c r="L1270" s="312">
        <f t="shared" si="100"/>
        <v>12</v>
      </c>
      <c r="M1270" s="263"/>
      <c r="N1270" s="263"/>
      <c r="O1270" s="29">
        <v>4068</v>
      </c>
      <c r="P1270" s="29">
        <v>0</v>
      </c>
      <c r="Q1270" s="29">
        <v>732.24</v>
      </c>
      <c r="R1270" s="29">
        <v>4800.24</v>
      </c>
      <c r="S1270" s="29">
        <v>0</v>
      </c>
      <c r="T1270" s="29">
        <v>1</v>
      </c>
      <c r="U1270" s="29">
        <v>48.002400000000002</v>
      </c>
    </row>
    <row r="1271" spans="1:21">
      <c r="A1271" s="29">
        <v>116</v>
      </c>
      <c r="B1271" s="111">
        <v>4</v>
      </c>
      <c r="C1271" s="111">
        <v>34583</v>
      </c>
      <c r="D1271" s="111" t="s">
        <v>761</v>
      </c>
      <c r="E1271" s="111" t="s">
        <v>448</v>
      </c>
      <c r="F1271" s="265">
        <v>42216</v>
      </c>
      <c r="G1271" s="265">
        <v>42228</v>
      </c>
      <c r="H1271" s="266">
        <f t="shared" si="97"/>
        <v>2712</v>
      </c>
      <c r="I1271" s="266">
        <f t="shared" si="98"/>
        <v>0</v>
      </c>
      <c r="J1271" s="295">
        <v>0.5</v>
      </c>
      <c r="K1271" s="266">
        <f t="shared" si="99"/>
        <v>13.56</v>
      </c>
      <c r="L1271" s="312">
        <f t="shared" si="100"/>
        <v>12</v>
      </c>
      <c r="M1271" s="263"/>
      <c r="N1271" s="263"/>
      <c r="O1271" s="29">
        <v>2712</v>
      </c>
      <c r="P1271" s="29">
        <v>0</v>
      </c>
      <c r="Q1271" s="29">
        <v>488.16</v>
      </c>
      <c r="R1271" s="29">
        <v>3200.16</v>
      </c>
      <c r="S1271" s="29">
        <v>0</v>
      </c>
      <c r="T1271" s="29">
        <v>1</v>
      </c>
      <c r="U1271" s="29">
        <v>32.001600000000003</v>
      </c>
    </row>
    <row r="1272" spans="1:21">
      <c r="A1272" s="29">
        <v>117</v>
      </c>
      <c r="B1272" s="111">
        <v>4</v>
      </c>
      <c r="C1272" s="111">
        <v>34582</v>
      </c>
      <c r="D1272" s="111" t="s">
        <v>772</v>
      </c>
      <c r="E1272" s="111" t="s">
        <v>448</v>
      </c>
      <c r="F1272" s="265">
        <v>42216</v>
      </c>
      <c r="G1272" s="265">
        <v>42228</v>
      </c>
      <c r="H1272" s="266">
        <f t="shared" si="97"/>
        <v>6780</v>
      </c>
      <c r="I1272" s="266">
        <f t="shared" si="98"/>
        <v>0</v>
      </c>
      <c r="J1272" s="295">
        <v>0.5</v>
      </c>
      <c r="K1272" s="266">
        <f t="shared" si="99"/>
        <v>33.9</v>
      </c>
      <c r="L1272" s="312">
        <f t="shared" si="100"/>
        <v>12</v>
      </c>
      <c r="M1272" s="263"/>
      <c r="N1272" s="263"/>
      <c r="O1272" s="29">
        <v>6780</v>
      </c>
      <c r="P1272" s="29">
        <v>0</v>
      </c>
      <c r="Q1272" s="29">
        <v>1220.4000000000001</v>
      </c>
      <c r="R1272" s="29">
        <v>8000.4</v>
      </c>
      <c r="S1272" s="29">
        <v>0</v>
      </c>
      <c r="T1272" s="29">
        <v>1</v>
      </c>
      <c r="U1272" s="29">
        <v>80.004000000000005</v>
      </c>
    </row>
    <row r="1273" spans="1:21">
      <c r="A1273" s="29">
        <v>118</v>
      </c>
      <c r="B1273" s="111">
        <v>4</v>
      </c>
      <c r="C1273" s="111">
        <v>34716</v>
      </c>
      <c r="D1273" s="111" t="s">
        <v>761</v>
      </c>
      <c r="E1273" s="111" t="s">
        <v>448</v>
      </c>
      <c r="F1273" s="265">
        <v>42220</v>
      </c>
      <c r="G1273" s="265">
        <v>42228</v>
      </c>
      <c r="H1273" s="266">
        <f t="shared" si="97"/>
        <v>16950</v>
      </c>
      <c r="I1273" s="266">
        <f t="shared" si="98"/>
        <v>0</v>
      </c>
      <c r="J1273" s="295">
        <v>0.5</v>
      </c>
      <c r="K1273" s="266">
        <f t="shared" si="99"/>
        <v>84.75</v>
      </c>
      <c r="L1273" s="312">
        <f t="shared" si="100"/>
        <v>8</v>
      </c>
      <c r="M1273" s="263"/>
      <c r="N1273" s="263"/>
      <c r="O1273" s="29">
        <v>16950</v>
      </c>
      <c r="P1273" s="29">
        <v>0</v>
      </c>
      <c r="Q1273" s="29">
        <v>3051</v>
      </c>
      <c r="R1273" s="29">
        <v>20001</v>
      </c>
      <c r="S1273" s="29">
        <v>0</v>
      </c>
      <c r="T1273" s="29">
        <v>1</v>
      </c>
      <c r="U1273" s="29">
        <v>200.01</v>
      </c>
    </row>
    <row r="1274" spans="1:21">
      <c r="A1274" s="29">
        <v>119</v>
      </c>
      <c r="B1274" s="111">
        <v>6</v>
      </c>
      <c r="C1274" s="111">
        <v>1033</v>
      </c>
      <c r="D1274" s="111" t="s">
        <v>381</v>
      </c>
      <c r="E1274" s="111" t="s">
        <v>382</v>
      </c>
      <c r="F1274" s="265">
        <v>42220</v>
      </c>
      <c r="G1274" s="265">
        <v>42240</v>
      </c>
      <c r="H1274" s="266">
        <f t="shared" si="97"/>
        <v>7810.17</v>
      </c>
      <c r="I1274" s="266">
        <f t="shared" si="98"/>
        <v>0</v>
      </c>
      <c r="J1274" s="295">
        <v>1</v>
      </c>
      <c r="K1274" s="266">
        <f t="shared" si="99"/>
        <v>78.101700000000008</v>
      </c>
      <c r="L1274" s="312">
        <f t="shared" si="100"/>
        <v>20</v>
      </c>
      <c r="M1274" s="263"/>
      <c r="N1274" s="263"/>
      <c r="O1274" s="29">
        <v>7810.17</v>
      </c>
      <c r="P1274" s="29">
        <v>0</v>
      </c>
      <c r="Q1274" s="29">
        <v>1405.83</v>
      </c>
      <c r="R1274" s="29">
        <v>9216</v>
      </c>
      <c r="S1274" s="29">
        <v>0</v>
      </c>
      <c r="T1274" s="29">
        <v>1</v>
      </c>
      <c r="U1274" s="29">
        <v>92.16</v>
      </c>
    </row>
    <row r="1275" spans="1:21">
      <c r="A1275" s="29">
        <v>120</v>
      </c>
      <c r="B1275" s="111">
        <v>4</v>
      </c>
      <c r="C1275" s="111">
        <v>35000</v>
      </c>
      <c r="D1275" s="111" t="s">
        <v>761</v>
      </c>
      <c r="E1275" s="111" t="s">
        <v>448</v>
      </c>
      <c r="F1275" s="265">
        <v>42223</v>
      </c>
      <c r="G1275" s="265">
        <v>42228</v>
      </c>
      <c r="H1275" s="266">
        <f t="shared" si="97"/>
        <v>4746</v>
      </c>
      <c r="I1275" s="266">
        <f t="shared" si="98"/>
        <v>0</v>
      </c>
      <c r="J1275" s="295">
        <v>0.5</v>
      </c>
      <c r="K1275" s="266">
        <f t="shared" si="99"/>
        <v>23.73</v>
      </c>
      <c r="L1275" s="312">
        <f t="shared" si="100"/>
        <v>5</v>
      </c>
      <c r="M1275" s="263"/>
      <c r="N1275" s="263"/>
      <c r="O1275" s="29">
        <v>4746</v>
      </c>
      <c r="P1275" s="29">
        <v>0</v>
      </c>
      <c r="Q1275" s="29">
        <v>854.28</v>
      </c>
      <c r="R1275" s="29">
        <v>5600.28</v>
      </c>
      <c r="S1275" s="29">
        <v>0</v>
      </c>
      <c r="T1275" s="29">
        <v>1</v>
      </c>
      <c r="U1275" s="29">
        <v>56.002800000000001</v>
      </c>
    </row>
    <row r="1276" spans="1:21">
      <c r="A1276" s="29">
        <v>121</v>
      </c>
      <c r="B1276" s="111">
        <v>1</v>
      </c>
      <c r="C1276" s="111">
        <v>307562</v>
      </c>
      <c r="D1276" s="111" t="s">
        <v>772</v>
      </c>
      <c r="E1276" s="111" t="s">
        <v>448</v>
      </c>
      <c r="F1276" s="265">
        <v>42227</v>
      </c>
      <c r="G1276" s="265">
        <v>42228</v>
      </c>
      <c r="H1276" s="266">
        <f t="shared" si="97"/>
        <v>14238</v>
      </c>
      <c r="I1276" s="266">
        <f t="shared" si="98"/>
        <v>0</v>
      </c>
      <c r="J1276" s="295">
        <v>0.5</v>
      </c>
      <c r="K1276" s="266">
        <f t="shared" si="99"/>
        <v>71.19</v>
      </c>
      <c r="L1276" s="312">
        <f t="shared" si="100"/>
        <v>1</v>
      </c>
      <c r="M1276" s="263"/>
      <c r="N1276" s="263"/>
      <c r="O1276" s="29">
        <v>14238</v>
      </c>
      <c r="P1276" s="29">
        <v>0</v>
      </c>
      <c r="Q1276" s="29">
        <v>2562.84</v>
      </c>
      <c r="R1276" s="29">
        <v>16800.84</v>
      </c>
      <c r="S1276" s="29">
        <v>0</v>
      </c>
      <c r="T1276" s="29">
        <v>1</v>
      </c>
      <c r="U1276" s="29">
        <v>168.00839999999999</v>
      </c>
    </row>
    <row r="1277" spans="1:21">
      <c r="A1277" s="29">
        <v>122</v>
      </c>
      <c r="B1277" s="111">
        <v>4</v>
      </c>
      <c r="C1277" s="111">
        <v>34349</v>
      </c>
      <c r="D1277" s="111" t="s">
        <v>764</v>
      </c>
      <c r="E1277" s="111" t="s">
        <v>448</v>
      </c>
      <c r="F1277" s="265">
        <v>42216</v>
      </c>
      <c r="G1277" s="265">
        <v>42228</v>
      </c>
      <c r="H1277" s="266">
        <f t="shared" si="97"/>
        <v>2712</v>
      </c>
      <c r="I1277" s="266">
        <f t="shared" si="98"/>
        <v>0</v>
      </c>
      <c r="J1277" s="295">
        <v>0.5</v>
      </c>
      <c r="K1277" s="266">
        <f t="shared" si="99"/>
        <v>13.56</v>
      </c>
      <c r="L1277" s="312">
        <f t="shared" si="100"/>
        <v>12</v>
      </c>
      <c r="M1277" s="263"/>
      <c r="N1277" s="263"/>
      <c r="O1277" s="29">
        <v>2712</v>
      </c>
      <c r="P1277" s="29">
        <v>0</v>
      </c>
      <c r="Q1277" s="29">
        <v>488.16</v>
      </c>
      <c r="R1277" s="29">
        <v>3200.16</v>
      </c>
      <c r="S1277" s="29">
        <v>0</v>
      </c>
      <c r="T1277" s="29">
        <v>1</v>
      </c>
      <c r="U1277" s="29">
        <v>32.001600000000003</v>
      </c>
    </row>
    <row r="1278" spans="1:21">
      <c r="A1278" s="29">
        <v>123</v>
      </c>
      <c r="B1278" s="111">
        <v>4</v>
      </c>
      <c r="C1278" s="111">
        <v>34067</v>
      </c>
      <c r="D1278" s="111" t="s">
        <v>764</v>
      </c>
      <c r="E1278" s="111" t="s">
        <v>448</v>
      </c>
      <c r="F1278" s="265">
        <v>42212</v>
      </c>
      <c r="G1278" s="265">
        <v>42228</v>
      </c>
      <c r="H1278" s="266">
        <f t="shared" si="97"/>
        <v>13560</v>
      </c>
      <c r="I1278" s="266">
        <f t="shared" si="98"/>
        <v>0</v>
      </c>
      <c r="J1278" s="295">
        <v>0.5</v>
      </c>
      <c r="K1278" s="266">
        <f t="shared" si="99"/>
        <v>67.8</v>
      </c>
      <c r="L1278" s="312">
        <f t="shared" si="100"/>
        <v>16</v>
      </c>
      <c r="M1278" s="263"/>
      <c r="N1278" s="263"/>
      <c r="O1278" s="29">
        <v>13560</v>
      </c>
      <c r="P1278" s="29">
        <v>0</v>
      </c>
      <c r="Q1278" s="29">
        <v>2440.8000000000002</v>
      </c>
      <c r="R1278" s="29">
        <v>16000.8</v>
      </c>
      <c r="S1278" s="29">
        <v>0</v>
      </c>
      <c r="T1278" s="29">
        <v>1</v>
      </c>
      <c r="U1278" s="29">
        <v>160.00800000000001</v>
      </c>
    </row>
    <row r="1279" spans="1:21">
      <c r="A1279" s="29">
        <v>124</v>
      </c>
      <c r="B1279" s="111">
        <v>1</v>
      </c>
      <c r="C1279" s="111">
        <v>307839</v>
      </c>
      <c r="D1279" s="111" t="s">
        <v>772</v>
      </c>
      <c r="E1279" s="111" t="s">
        <v>448</v>
      </c>
      <c r="F1279" s="265">
        <v>42229</v>
      </c>
      <c r="G1279" s="265">
        <v>42244</v>
      </c>
      <c r="H1279" s="266">
        <f t="shared" si="97"/>
        <v>2034</v>
      </c>
      <c r="I1279" s="266">
        <f t="shared" si="98"/>
        <v>0</v>
      </c>
      <c r="J1279" s="295">
        <v>0.5</v>
      </c>
      <c r="K1279" s="266">
        <f t="shared" si="99"/>
        <v>10.17</v>
      </c>
      <c r="L1279" s="312">
        <f t="shared" si="100"/>
        <v>15</v>
      </c>
      <c r="M1279" s="263"/>
      <c r="N1279" s="263"/>
      <c r="O1279" s="29">
        <v>2034</v>
      </c>
      <c r="P1279" s="29">
        <v>0</v>
      </c>
      <c r="Q1279" s="29">
        <v>366.12</v>
      </c>
      <c r="R1279" s="29">
        <v>2400.12</v>
      </c>
      <c r="S1279" s="29">
        <v>0</v>
      </c>
      <c r="T1279" s="29">
        <v>1</v>
      </c>
      <c r="U1279" s="29">
        <v>24.001200000000001</v>
      </c>
    </row>
    <row r="1280" spans="1:21">
      <c r="A1280" s="29">
        <v>125</v>
      </c>
      <c r="B1280" s="111">
        <v>1</v>
      </c>
      <c r="C1280" s="111">
        <v>308015</v>
      </c>
      <c r="D1280" s="111" t="s">
        <v>772</v>
      </c>
      <c r="E1280" s="111" t="s">
        <v>448</v>
      </c>
      <c r="F1280" s="265">
        <v>42233</v>
      </c>
      <c r="G1280" s="265">
        <v>42244</v>
      </c>
      <c r="H1280" s="266">
        <f t="shared" si="97"/>
        <v>17628</v>
      </c>
      <c r="I1280" s="266">
        <f t="shared" si="98"/>
        <v>0</v>
      </c>
      <c r="J1280" s="295">
        <v>0.5</v>
      </c>
      <c r="K1280" s="266">
        <f t="shared" si="99"/>
        <v>88.14</v>
      </c>
      <c r="L1280" s="312">
        <f t="shared" si="100"/>
        <v>11</v>
      </c>
      <c r="M1280" s="263"/>
      <c r="N1280" s="263"/>
      <c r="O1280" s="29">
        <v>17628</v>
      </c>
      <c r="P1280" s="29">
        <v>0</v>
      </c>
      <c r="Q1280" s="29">
        <v>3173.04</v>
      </c>
      <c r="R1280" s="29">
        <v>20801.04</v>
      </c>
      <c r="S1280" s="29">
        <v>0</v>
      </c>
      <c r="T1280" s="29">
        <v>1</v>
      </c>
      <c r="U1280" s="29">
        <v>208.0104</v>
      </c>
    </row>
    <row r="1281" spans="1:21">
      <c r="A1281" s="29">
        <v>126</v>
      </c>
      <c r="B1281" s="111">
        <v>1</v>
      </c>
      <c r="C1281" s="111">
        <v>308421</v>
      </c>
      <c r="D1281" s="111" t="s">
        <v>772</v>
      </c>
      <c r="E1281" s="111" t="s">
        <v>448</v>
      </c>
      <c r="F1281" s="265">
        <v>42236</v>
      </c>
      <c r="G1281" s="265">
        <v>42244</v>
      </c>
      <c r="H1281" s="266">
        <f t="shared" si="97"/>
        <v>4068</v>
      </c>
      <c r="I1281" s="266">
        <f t="shared" si="98"/>
        <v>0</v>
      </c>
      <c r="J1281" s="295">
        <v>0.5</v>
      </c>
      <c r="K1281" s="266">
        <f t="shared" si="99"/>
        <v>20.34</v>
      </c>
      <c r="L1281" s="312">
        <f t="shared" si="100"/>
        <v>8</v>
      </c>
      <c r="M1281" s="263"/>
      <c r="N1281" s="263"/>
      <c r="O1281" s="29">
        <v>4068</v>
      </c>
      <c r="P1281" s="29">
        <v>0</v>
      </c>
      <c r="Q1281" s="29">
        <v>732.24</v>
      </c>
      <c r="R1281" s="29">
        <v>4800.24</v>
      </c>
      <c r="S1281" s="29">
        <v>0</v>
      </c>
      <c r="T1281" s="29">
        <v>1</v>
      </c>
      <c r="U1281" s="29">
        <v>48.002400000000002</v>
      </c>
    </row>
    <row r="1282" spans="1:21">
      <c r="A1282" s="29">
        <v>127</v>
      </c>
      <c r="B1282" s="111">
        <v>1</v>
      </c>
      <c r="C1282" s="111">
        <v>308590</v>
      </c>
      <c r="D1282" s="111" t="s">
        <v>767</v>
      </c>
      <c r="E1282" s="111" t="s">
        <v>448</v>
      </c>
      <c r="F1282" s="265">
        <v>42240</v>
      </c>
      <c r="G1282" s="265">
        <v>42244</v>
      </c>
      <c r="H1282" s="266">
        <f t="shared" si="97"/>
        <v>268.38</v>
      </c>
      <c r="I1282" s="266">
        <f t="shared" si="98"/>
        <v>0</v>
      </c>
      <c r="J1282" s="295">
        <v>1</v>
      </c>
      <c r="K1282" s="266">
        <f t="shared" si="99"/>
        <v>2.6838000000000002</v>
      </c>
      <c r="L1282" s="312">
        <f t="shared" si="100"/>
        <v>4</v>
      </c>
      <c r="M1282" s="263"/>
      <c r="N1282" s="263"/>
      <c r="O1282" s="29">
        <v>268.38</v>
      </c>
      <c r="P1282" s="29">
        <v>0</v>
      </c>
      <c r="Q1282" s="29">
        <v>48.31</v>
      </c>
      <c r="R1282" s="29">
        <v>316.69</v>
      </c>
      <c r="S1282" s="29">
        <v>0</v>
      </c>
      <c r="T1282" s="29">
        <v>1</v>
      </c>
      <c r="U1282" s="29">
        <v>3.1669</v>
      </c>
    </row>
    <row r="1283" spans="1:21">
      <c r="A1283" s="29">
        <v>128</v>
      </c>
      <c r="B1283" s="111">
        <v>1</v>
      </c>
      <c r="C1283" s="111">
        <v>308583</v>
      </c>
      <c r="D1283" s="111" t="s">
        <v>772</v>
      </c>
      <c r="E1283" s="111" t="s">
        <v>448</v>
      </c>
      <c r="F1283" s="265">
        <v>42240</v>
      </c>
      <c r="G1283" s="265">
        <v>42244</v>
      </c>
      <c r="H1283" s="266">
        <f t="shared" si="97"/>
        <v>12204</v>
      </c>
      <c r="I1283" s="266">
        <f t="shared" si="98"/>
        <v>0</v>
      </c>
      <c r="J1283" s="295">
        <v>1</v>
      </c>
      <c r="K1283" s="266">
        <f t="shared" si="99"/>
        <v>122.04</v>
      </c>
      <c r="L1283" s="312">
        <f t="shared" si="100"/>
        <v>4</v>
      </c>
      <c r="M1283" s="263"/>
      <c r="N1283" s="263"/>
      <c r="O1283" s="29">
        <v>12204</v>
      </c>
      <c r="P1283" s="29">
        <v>0</v>
      </c>
      <c r="Q1283" s="29">
        <v>2196.7199999999998</v>
      </c>
      <c r="R1283" s="29">
        <v>14400.72</v>
      </c>
      <c r="S1283" s="29">
        <v>0</v>
      </c>
      <c r="T1283" s="29">
        <v>1</v>
      </c>
      <c r="U1283" s="29">
        <v>144.00720000000001</v>
      </c>
    </row>
    <row r="1284" spans="1:21">
      <c r="A1284" s="29">
        <v>129</v>
      </c>
      <c r="B1284" s="111">
        <v>1</v>
      </c>
      <c r="C1284" s="111">
        <v>308836</v>
      </c>
      <c r="D1284" s="111" t="s">
        <v>767</v>
      </c>
      <c r="E1284" s="111" t="s">
        <v>448</v>
      </c>
      <c r="F1284" s="265">
        <v>42242</v>
      </c>
      <c r="G1284" s="265">
        <v>42244</v>
      </c>
      <c r="H1284" s="266">
        <f t="shared" si="97"/>
        <v>435.68</v>
      </c>
      <c r="I1284" s="266">
        <f t="shared" si="98"/>
        <v>0</v>
      </c>
      <c r="J1284" s="295">
        <v>1</v>
      </c>
      <c r="K1284" s="266">
        <f t="shared" ref="K1284:K1285" si="101">H1284*J1284%</f>
        <v>4.3567999999999998</v>
      </c>
      <c r="L1284" s="312">
        <f t="shared" si="100"/>
        <v>2</v>
      </c>
      <c r="M1284" s="263"/>
      <c r="N1284" s="263"/>
      <c r="O1284" s="29">
        <v>435.68</v>
      </c>
      <c r="P1284" s="29">
        <v>0</v>
      </c>
      <c r="Q1284" s="29">
        <v>78.42</v>
      </c>
      <c r="R1284" s="29">
        <v>514.1</v>
      </c>
      <c r="S1284" s="29">
        <v>0</v>
      </c>
      <c r="T1284" s="29">
        <v>1</v>
      </c>
      <c r="U1284" s="29">
        <v>5.141</v>
      </c>
    </row>
    <row r="1285" spans="1:21">
      <c r="A1285" s="29">
        <v>130</v>
      </c>
      <c r="B1285" s="111">
        <v>1</v>
      </c>
      <c r="C1285" s="111">
        <v>308529</v>
      </c>
      <c r="D1285" s="111" t="s">
        <v>767</v>
      </c>
      <c r="E1285" s="111" t="s">
        <v>448</v>
      </c>
      <c r="F1285" s="265">
        <v>42238</v>
      </c>
      <c r="G1285" s="265">
        <v>42244</v>
      </c>
      <c r="H1285" s="266">
        <f t="shared" si="97"/>
        <v>305.7</v>
      </c>
      <c r="I1285" s="266">
        <f t="shared" si="98"/>
        <v>0</v>
      </c>
      <c r="J1285" s="295">
        <v>1</v>
      </c>
      <c r="K1285" s="266">
        <f t="shared" si="101"/>
        <v>3.0569999999999999</v>
      </c>
      <c r="L1285" s="312">
        <f t="shared" si="100"/>
        <v>6</v>
      </c>
      <c r="M1285" s="263"/>
      <c r="N1285" s="263"/>
      <c r="O1285" s="29">
        <v>305.7</v>
      </c>
      <c r="P1285" s="29">
        <v>0</v>
      </c>
      <c r="Q1285" s="29">
        <v>55.03</v>
      </c>
      <c r="R1285" s="29">
        <v>360.73</v>
      </c>
      <c r="S1285" s="29">
        <v>0</v>
      </c>
      <c r="T1285" s="29">
        <v>1</v>
      </c>
      <c r="U1285" s="29">
        <v>3.6073</v>
      </c>
    </row>
    <row r="1286" spans="1:21">
      <c r="G1286" s="268" t="s">
        <v>765</v>
      </c>
      <c r="H1286" s="310">
        <f>SUM(H1156:H1285)</f>
        <v>366183.16999999993</v>
      </c>
      <c r="I1286" s="59"/>
      <c r="J1286" s="311" t="s">
        <v>383</v>
      </c>
      <c r="K1286" s="267">
        <f>SUM(K1156:K1285)</f>
        <v>3147.6095</v>
      </c>
    </row>
    <row r="1292" spans="1:21">
      <c r="B1292" s="29">
        <v>4</v>
      </c>
      <c r="C1292" s="33">
        <v>34067</v>
      </c>
      <c r="D1292" s="33" t="s">
        <v>764</v>
      </c>
      <c r="E1292" s="33" t="s">
        <v>448</v>
      </c>
      <c r="F1292" s="280">
        <v>42212</v>
      </c>
      <c r="G1292" s="280">
        <v>42228</v>
      </c>
      <c r="H1292" s="33">
        <v>13560</v>
      </c>
      <c r="I1292" s="33">
        <v>0</v>
      </c>
      <c r="J1292" s="301">
        <v>2440.8000000000002</v>
      </c>
      <c r="K1292" s="33">
        <v>16000.8</v>
      </c>
      <c r="L1292" s="33">
        <v>0</v>
      </c>
      <c r="M1292" s="33">
        <v>1</v>
      </c>
      <c r="N1292" s="33">
        <v>160.00800000000001</v>
      </c>
      <c r="O1292" s="33">
        <v>12520</v>
      </c>
      <c r="P1292" s="33">
        <v>973601</v>
      </c>
    </row>
    <row r="1293" spans="1:21">
      <c r="B1293" s="29">
        <v>4</v>
      </c>
      <c r="C1293" s="33">
        <v>34067</v>
      </c>
      <c r="D1293" s="33" t="s">
        <v>764</v>
      </c>
      <c r="E1293" s="33" t="s">
        <v>448</v>
      </c>
      <c r="F1293" s="280">
        <v>42212</v>
      </c>
      <c r="G1293" s="280">
        <v>42228</v>
      </c>
      <c r="H1293" s="33">
        <v>13560</v>
      </c>
      <c r="I1293" s="33">
        <v>0</v>
      </c>
      <c r="J1293" s="301">
        <v>2440.8000000000002</v>
      </c>
      <c r="K1293" s="33">
        <v>16000.8</v>
      </c>
      <c r="L1293" s="33">
        <v>0</v>
      </c>
      <c r="M1293" s="33">
        <v>1</v>
      </c>
      <c r="N1293" s="33">
        <v>160.00800000000001</v>
      </c>
      <c r="O1293" s="33">
        <v>12520</v>
      </c>
      <c r="P1293" s="33">
        <v>973601</v>
      </c>
    </row>
    <row r="1294" spans="1:21">
      <c r="B1294" s="29">
        <v>4</v>
      </c>
      <c r="C1294" s="29">
        <v>34349</v>
      </c>
      <c r="D1294" s="29" t="s">
        <v>764</v>
      </c>
      <c r="E1294" s="29" t="s">
        <v>448</v>
      </c>
      <c r="F1294" s="263">
        <v>42216</v>
      </c>
      <c r="G1294" s="263">
        <v>42228</v>
      </c>
      <c r="H1294" s="29">
        <v>2712</v>
      </c>
      <c r="I1294" s="29">
        <v>0</v>
      </c>
      <c r="J1294" s="292">
        <v>488.16</v>
      </c>
      <c r="K1294" s="29">
        <v>3200.16</v>
      </c>
      <c r="L1294" s="29">
        <v>0</v>
      </c>
      <c r="M1294" s="29">
        <v>1</v>
      </c>
      <c r="N1294" s="29">
        <v>32.001600000000003</v>
      </c>
      <c r="O1294" s="29">
        <v>12519</v>
      </c>
      <c r="P1294" s="29">
        <v>973903</v>
      </c>
    </row>
    <row r="1295" spans="1:21">
      <c r="B1295" s="29">
        <v>4</v>
      </c>
      <c r="C1295" s="33">
        <v>34452</v>
      </c>
      <c r="D1295" s="33" t="s">
        <v>764</v>
      </c>
      <c r="E1295" s="33" t="s">
        <v>448</v>
      </c>
      <c r="F1295" s="280">
        <v>42216</v>
      </c>
      <c r="G1295" s="280">
        <v>42228</v>
      </c>
      <c r="H1295" s="33">
        <v>4068</v>
      </c>
      <c r="I1295" s="33">
        <v>0</v>
      </c>
      <c r="J1295" s="301">
        <v>732.24</v>
      </c>
      <c r="K1295" s="33">
        <v>4800.24</v>
      </c>
      <c r="L1295" s="33">
        <v>0</v>
      </c>
      <c r="M1295" s="33">
        <v>1</v>
      </c>
      <c r="N1295" s="33">
        <v>48.002400000000002</v>
      </c>
      <c r="O1295" s="33">
        <v>12519</v>
      </c>
      <c r="P1295" s="33">
        <v>974149</v>
      </c>
    </row>
    <row r="1296" spans="1:21">
      <c r="B1296" s="29">
        <v>4</v>
      </c>
      <c r="C1296" s="29">
        <v>34582</v>
      </c>
      <c r="D1296" s="29" t="s">
        <v>772</v>
      </c>
      <c r="E1296" s="29" t="s">
        <v>448</v>
      </c>
      <c r="F1296" s="263">
        <v>42216</v>
      </c>
      <c r="G1296" s="263">
        <v>42228</v>
      </c>
      <c r="H1296" s="29">
        <v>6780</v>
      </c>
      <c r="I1296" s="29">
        <v>0</v>
      </c>
      <c r="J1296" s="292">
        <v>1220.4000000000001</v>
      </c>
      <c r="K1296" s="29">
        <v>8000.4</v>
      </c>
      <c r="L1296" s="29">
        <v>0</v>
      </c>
      <c r="M1296" s="29">
        <v>1</v>
      </c>
      <c r="N1296" s="29">
        <v>80.004000000000005</v>
      </c>
      <c r="O1296" s="29">
        <v>12519</v>
      </c>
      <c r="P1296" s="29">
        <v>974279</v>
      </c>
    </row>
    <row r="1297" spans="2:16">
      <c r="B1297" s="29">
        <v>4</v>
      </c>
      <c r="C1297" s="33">
        <v>34583</v>
      </c>
      <c r="D1297" s="33" t="s">
        <v>761</v>
      </c>
      <c r="E1297" s="33" t="s">
        <v>448</v>
      </c>
      <c r="F1297" s="280">
        <v>42216</v>
      </c>
      <c r="G1297" s="280">
        <v>42228</v>
      </c>
      <c r="H1297" s="33">
        <v>2712</v>
      </c>
      <c r="I1297" s="33">
        <v>0</v>
      </c>
      <c r="J1297" s="301">
        <v>488.16</v>
      </c>
      <c r="K1297" s="33">
        <v>3200.16</v>
      </c>
      <c r="L1297" s="33">
        <v>0</v>
      </c>
      <c r="M1297" s="33">
        <v>1</v>
      </c>
      <c r="N1297" s="33">
        <v>32.001600000000003</v>
      </c>
      <c r="O1297" s="33">
        <v>12519</v>
      </c>
      <c r="P1297" s="33">
        <v>974277</v>
      </c>
    </row>
    <row r="1298" spans="2:16">
      <c r="B1298" s="29">
        <v>4</v>
      </c>
      <c r="C1298" s="33">
        <v>34583</v>
      </c>
      <c r="D1298" s="33" t="s">
        <v>761</v>
      </c>
      <c r="E1298" s="33" t="s">
        <v>448</v>
      </c>
      <c r="F1298" s="280">
        <v>42216</v>
      </c>
      <c r="G1298" s="280">
        <v>42228</v>
      </c>
      <c r="H1298" s="33">
        <v>2712</v>
      </c>
      <c r="I1298" s="33">
        <v>0</v>
      </c>
      <c r="J1298" s="301">
        <v>488.16</v>
      </c>
      <c r="K1298" s="33">
        <v>3200.16</v>
      </c>
      <c r="L1298" s="33">
        <v>0</v>
      </c>
      <c r="M1298" s="33">
        <v>1</v>
      </c>
      <c r="N1298" s="33">
        <v>32.001600000000003</v>
      </c>
      <c r="O1298" s="33">
        <v>12519</v>
      </c>
      <c r="P1298" s="33">
        <v>974277</v>
      </c>
    </row>
    <row r="1299" spans="2:16">
      <c r="B1299" s="29">
        <v>4</v>
      </c>
      <c r="C1299" s="29">
        <v>34716</v>
      </c>
      <c r="D1299" s="29" t="s">
        <v>761</v>
      </c>
      <c r="E1299" s="29" t="s">
        <v>448</v>
      </c>
      <c r="F1299" s="263">
        <v>42220</v>
      </c>
      <c r="G1299" s="263">
        <v>42228</v>
      </c>
      <c r="H1299" s="29">
        <v>16950</v>
      </c>
      <c r="I1299" s="29">
        <v>0</v>
      </c>
      <c r="J1299" s="292">
        <v>3051</v>
      </c>
      <c r="K1299" s="29">
        <v>20001</v>
      </c>
      <c r="L1299" s="29">
        <v>0</v>
      </c>
      <c r="M1299" s="29">
        <v>1</v>
      </c>
      <c r="N1299" s="29">
        <v>200.01</v>
      </c>
      <c r="O1299" s="29">
        <v>12520</v>
      </c>
      <c r="P1299" s="29">
        <v>974529</v>
      </c>
    </row>
    <row r="1300" spans="2:16">
      <c r="B1300" s="29">
        <v>4</v>
      </c>
      <c r="C1300" s="29">
        <v>34716</v>
      </c>
      <c r="D1300" s="29" t="s">
        <v>761</v>
      </c>
      <c r="E1300" s="29" t="s">
        <v>448</v>
      </c>
      <c r="F1300" s="263">
        <v>42220</v>
      </c>
      <c r="G1300" s="263">
        <v>42228</v>
      </c>
      <c r="H1300" s="29">
        <v>16950</v>
      </c>
      <c r="I1300" s="29">
        <v>0</v>
      </c>
      <c r="J1300" s="292">
        <v>3051</v>
      </c>
      <c r="K1300" s="29">
        <v>20001</v>
      </c>
      <c r="L1300" s="29">
        <v>0</v>
      </c>
      <c r="M1300" s="29">
        <v>1</v>
      </c>
      <c r="N1300" s="29">
        <v>200.01</v>
      </c>
      <c r="O1300" s="29">
        <v>12520</v>
      </c>
      <c r="P1300" s="29">
        <v>974529</v>
      </c>
    </row>
    <row r="1301" spans="2:16">
      <c r="B1301" s="29">
        <v>4</v>
      </c>
      <c r="C1301" s="29">
        <v>34716</v>
      </c>
      <c r="D1301" s="29" t="s">
        <v>761</v>
      </c>
      <c r="E1301" s="29" t="s">
        <v>448</v>
      </c>
      <c r="F1301" s="263">
        <v>42220</v>
      </c>
      <c r="G1301" s="263">
        <v>42228</v>
      </c>
      <c r="H1301" s="29">
        <v>16950</v>
      </c>
      <c r="I1301" s="29">
        <v>0</v>
      </c>
      <c r="J1301" s="292">
        <v>3051</v>
      </c>
      <c r="K1301" s="29">
        <v>20001</v>
      </c>
      <c r="L1301" s="29">
        <v>0</v>
      </c>
      <c r="M1301" s="29">
        <v>1</v>
      </c>
      <c r="N1301" s="29">
        <v>200.01</v>
      </c>
      <c r="O1301" s="29">
        <v>12520</v>
      </c>
      <c r="P1301" s="29">
        <v>974529</v>
      </c>
    </row>
    <row r="1302" spans="2:16">
      <c r="B1302" s="29">
        <v>4</v>
      </c>
      <c r="C1302" s="29">
        <v>34716</v>
      </c>
      <c r="D1302" s="29" t="s">
        <v>761</v>
      </c>
      <c r="E1302" s="29" t="s">
        <v>448</v>
      </c>
      <c r="F1302" s="263">
        <v>42220</v>
      </c>
      <c r="G1302" s="263">
        <v>42228</v>
      </c>
      <c r="H1302" s="29">
        <v>16950</v>
      </c>
      <c r="I1302" s="29">
        <v>0</v>
      </c>
      <c r="J1302" s="292">
        <v>3051</v>
      </c>
      <c r="K1302" s="29">
        <v>20001</v>
      </c>
      <c r="L1302" s="29">
        <v>0</v>
      </c>
      <c r="M1302" s="29">
        <v>1</v>
      </c>
      <c r="N1302" s="29">
        <v>200.01</v>
      </c>
      <c r="O1302" s="29">
        <v>12520</v>
      </c>
      <c r="P1302" s="29">
        <v>974529</v>
      </c>
    </row>
    <row r="1303" spans="2:16">
      <c r="B1303" s="29">
        <v>4</v>
      </c>
      <c r="C1303" s="29">
        <v>34716</v>
      </c>
      <c r="D1303" s="29" t="s">
        <v>761</v>
      </c>
      <c r="E1303" s="29" t="s">
        <v>448</v>
      </c>
      <c r="F1303" s="263">
        <v>42220</v>
      </c>
      <c r="G1303" s="263">
        <v>42228</v>
      </c>
      <c r="H1303" s="29">
        <v>16950</v>
      </c>
      <c r="I1303" s="29">
        <v>0</v>
      </c>
      <c r="J1303" s="292">
        <v>3051</v>
      </c>
      <c r="K1303" s="29">
        <v>20001</v>
      </c>
      <c r="L1303" s="29">
        <v>0</v>
      </c>
      <c r="M1303" s="29">
        <v>1</v>
      </c>
      <c r="N1303" s="29">
        <v>200.01</v>
      </c>
      <c r="O1303" s="29">
        <v>12520</v>
      </c>
      <c r="P1303" s="29">
        <v>974529</v>
      </c>
    </row>
    <row r="1304" spans="2:16">
      <c r="B1304" s="29">
        <v>4</v>
      </c>
      <c r="C1304" s="29">
        <v>34716</v>
      </c>
      <c r="D1304" s="29" t="s">
        <v>761</v>
      </c>
      <c r="E1304" s="29" t="s">
        <v>448</v>
      </c>
      <c r="F1304" s="263">
        <v>42220</v>
      </c>
      <c r="G1304" s="263">
        <v>42228</v>
      </c>
      <c r="H1304" s="29">
        <v>16950</v>
      </c>
      <c r="I1304" s="29">
        <v>0</v>
      </c>
      <c r="J1304" s="292">
        <v>3051</v>
      </c>
      <c r="K1304" s="29">
        <v>20001</v>
      </c>
      <c r="L1304" s="29">
        <v>0</v>
      </c>
      <c r="M1304" s="29">
        <v>1</v>
      </c>
      <c r="N1304" s="29">
        <v>200.01</v>
      </c>
      <c r="O1304" s="29">
        <v>12519</v>
      </c>
      <c r="P1304" s="29">
        <v>974529</v>
      </c>
    </row>
    <row r="1305" spans="2:16">
      <c r="B1305" s="29">
        <v>4</v>
      </c>
      <c r="C1305" s="29">
        <v>34716</v>
      </c>
      <c r="D1305" s="29" t="s">
        <v>761</v>
      </c>
      <c r="E1305" s="29" t="s">
        <v>448</v>
      </c>
      <c r="F1305" s="263">
        <v>42220</v>
      </c>
      <c r="G1305" s="263">
        <v>42228</v>
      </c>
      <c r="H1305" s="29">
        <v>16950</v>
      </c>
      <c r="I1305" s="29">
        <v>0</v>
      </c>
      <c r="J1305" s="292">
        <v>3051</v>
      </c>
      <c r="K1305" s="29">
        <v>20001</v>
      </c>
      <c r="L1305" s="29">
        <v>0</v>
      </c>
      <c r="M1305" s="29">
        <v>1</v>
      </c>
      <c r="N1305" s="29">
        <v>200.01</v>
      </c>
      <c r="O1305" s="29">
        <v>12519</v>
      </c>
      <c r="P1305" s="29">
        <v>974529</v>
      </c>
    </row>
    <row r="1306" spans="2:16">
      <c r="B1306" s="29">
        <v>4</v>
      </c>
      <c r="C1306" s="33">
        <v>35000</v>
      </c>
      <c r="D1306" s="33" t="s">
        <v>761</v>
      </c>
      <c r="E1306" s="33" t="s">
        <v>448</v>
      </c>
      <c r="F1306" s="280">
        <v>42223</v>
      </c>
      <c r="G1306" s="280">
        <v>42228</v>
      </c>
      <c r="H1306" s="33">
        <v>4746</v>
      </c>
      <c r="I1306" s="33">
        <v>0</v>
      </c>
      <c r="J1306" s="301">
        <v>854.28</v>
      </c>
      <c r="K1306" s="33">
        <v>5600.28</v>
      </c>
      <c r="L1306" s="33">
        <v>0</v>
      </c>
      <c r="M1306" s="33">
        <v>1</v>
      </c>
      <c r="N1306" s="33">
        <v>56.002800000000001</v>
      </c>
      <c r="O1306" s="33">
        <v>12519</v>
      </c>
      <c r="P1306" s="33">
        <v>974970</v>
      </c>
    </row>
    <row r="1307" spans="2:16">
      <c r="B1307" s="29">
        <v>1</v>
      </c>
      <c r="C1307" s="29">
        <v>307562</v>
      </c>
      <c r="D1307" s="29" t="s">
        <v>772</v>
      </c>
      <c r="E1307" s="29" t="s">
        <v>448</v>
      </c>
      <c r="F1307" s="263">
        <v>42227</v>
      </c>
      <c r="G1307" s="263">
        <v>42228</v>
      </c>
      <c r="H1307" s="29">
        <v>14238</v>
      </c>
      <c r="I1307" s="29">
        <v>0</v>
      </c>
      <c r="J1307" s="292">
        <v>2562.84</v>
      </c>
      <c r="K1307" s="29">
        <v>16800.84</v>
      </c>
      <c r="L1307" s="29">
        <v>0</v>
      </c>
      <c r="M1307" s="29">
        <v>1</v>
      </c>
      <c r="N1307" s="29">
        <v>168.00839999999999</v>
      </c>
      <c r="O1307" s="29">
        <v>12520</v>
      </c>
      <c r="P1307" s="29">
        <v>975301</v>
      </c>
    </row>
    <row r="1308" spans="2:16">
      <c r="B1308" s="29">
        <v>1</v>
      </c>
      <c r="C1308" s="29">
        <v>307562</v>
      </c>
      <c r="D1308" s="29" t="s">
        <v>772</v>
      </c>
      <c r="E1308" s="29" t="s">
        <v>448</v>
      </c>
      <c r="F1308" s="263">
        <v>42227</v>
      </c>
      <c r="G1308" s="263">
        <v>42228</v>
      </c>
      <c r="H1308" s="29">
        <v>14238</v>
      </c>
      <c r="I1308" s="29">
        <v>0</v>
      </c>
      <c r="J1308" s="292">
        <v>2562.84</v>
      </c>
      <c r="K1308" s="29">
        <v>16800.84</v>
      </c>
      <c r="L1308" s="29">
        <v>0</v>
      </c>
      <c r="M1308" s="29">
        <v>1</v>
      </c>
      <c r="N1308" s="29">
        <v>168.00839999999999</v>
      </c>
      <c r="O1308" s="29">
        <v>12520</v>
      </c>
      <c r="P1308" s="29">
        <v>975301</v>
      </c>
    </row>
    <row r="1309" spans="2:16">
      <c r="B1309" s="29">
        <v>1</v>
      </c>
      <c r="C1309" s="29">
        <v>307562</v>
      </c>
      <c r="D1309" s="29" t="s">
        <v>772</v>
      </c>
      <c r="E1309" s="29" t="s">
        <v>448</v>
      </c>
      <c r="F1309" s="263">
        <v>42227</v>
      </c>
      <c r="G1309" s="263">
        <v>42228</v>
      </c>
      <c r="H1309" s="29">
        <v>14238</v>
      </c>
      <c r="I1309" s="29">
        <v>0</v>
      </c>
      <c r="J1309" s="292">
        <v>2562.84</v>
      </c>
      <c r="K1309" s="29">
        <v>16800.84</v>
      </c>
      <c r="L1309" s="29">
        <v>0</v>
      </c>
      <c r="M1309" s="29">
        <v>1</v>
      </c>
      <c r="N1309" s="29">
        <v>168.00839999999999</v>
      </c>
      <c r="O1309" s="29">
        <v>12519</v>
      </c>
      <c r="P1309" s="29">
        <v>975301</v>
      </c>
    </row>
    <row r="1310" spans="2:16">
      <c r="B1310" s="29">
        <v>1</v>
      </c>
      <c r="C1310" s="29">
        <v>307562</v>
      </c>
      <c r="D1310" s="29" t="s">
        <v>772</v>
      </c>
      <c r="E1310" s="29" t="s">
        <v>448</v>
      </c>
      <c r="F1310" s="263">
        <v>42227</v>
      </c>
      <c r="G1310" s="263">
        <v>42228</v>
      </c>
      <c r="H1310" s="29">
        <v>14238</v>
      </c>
      <c r="I1310" s="29">
        <v>0</v>
      </c>
      <c r="J1310" s="292">
        <v>2562.84</v>
      </c>
      <c r="K1310" s="29">
        <v>16800.84</v>
      </c>
      <c r="L1310" s="29">
        <v>0</v>
      </c>
      <c r="M1310" s="29">
        <v>1</v>
      </c>
      <c r="N1310" s="29">
        <v>168.00839999999999</v>
      </c>
      <c r="O1310" s="29">
        <v>12519</v>
      </c>
      <c r="P1310" s="29">
        <v>975301</v>
      </c>
    </row>
    <row r="1311" spans="2:16">
      <c r="B1311" s="29">
        <v>1</v>
      </c>
      <c r="C1311" s="33">
        <v>307839</v>
      </c>
      <c r="D1311" s="33" t="s">
        <v>772</v>
      </c>
      <c r="E1311" s="33" t="s">
        <v>448</v>
      </c>
      <c r="F1311" s="280">
        <v>42229</v>
      </c>
      <c r="G1311" s="280">
        <v>42244</v>
      </c>
      <c r="H1311" s="33">
        <v>2034</v>
      </c>
      <c r="I1311" s="33">
        <v>0</v>
      </c>
      <c r="J1311" s="301">
        <v>366.12</v>
      </c>
      <c r="K1311" s="33">
        <v>2400.12</v>
      </c>
      <c r="L1311" s="33">
        <v>0</v>
      </c>
      <c r="M1311" s="33">
        <v>1</v>
      </c>
      <c r="N1311" s="33">
        <v>24.001200000000001</v>
      </c>
      <c r="O1311" s="33">
        <v>12519</v>
      </c>
      <c r="P1311" s="33">
        <v>975681</v>
      </c>
    </row>
    <row r="1312" spans="2:16">
      <c r="B1312" s="29">
        <v>1</v>
      </c>
      <c r="C1312" s="29">
        <v>308015</v>
      </c>
      <c r="D1312" s="29" t="s">
        <v>772</v>
      </c>
      <c r="E1312" s="29" t="s">
        <v>448</v>
      </c>
      <c r="F1312" s="263">
        <v>42233</v>
      </c>
      <c r="G1312" s="263">
        <v>42244</v>
      </c>
      <c r="H1312" s="29">
        <v>17628</v>
      </c>
      <c r="I1312" s="29">
        <v>0</v>
      </c>
      <c r="J1312" s="292">
        <v>3173.04</v>
      </c>
      <c r="K1312" s="29">
        <v>20801.04</v>
      </c>
      <c r="L1312" s="29">
        <v>0</v>
      </c>
      <c r="M1312" s="29">
        <v>1</v>
      </c>
      <c r="N1312" s="29">
        <v>208.0104</v>
      </c>
      <c r="O1312" s="29">
        <v>12520</v>
      </c>
      <c r="P1312" s="29">
        <v>975958</v>
      </c>
    </row>
    <row r="1313" spans="1:24">
      <c r="B1313" s="29">
        <v>1</v>
      </c>
      <c r="C1313" s="29">
        <v>308015</v>
      </c>
      <c r="D1313" s="29" t="s">
        <v>772</v>
      </c>
      <c r="E1313" s="29" t="s">
        <v>448</v>
      </c>
      <c r="F1313" s="263">
        <v>42233</v>
      </c>
      <c r="G1313" s="263">
        <v>42244</v>
      </c>
      <c r="H1313" s="29">
        <v>17628</v>
      </c>
      <c r="I1313" s="29">
        <v>0</v>
      </c>
      <c r="J1313" s="292">
        <v>3173.04</v>
      </c>
      <c r="K1313" s="29">
        <v>20801.04</v>
      </c>
      <c r="L1313" s="29">
        <v>0</v>
      </c>
      <c r="M1313" s="29">
        <v>1</v>
      </c>
      <c r="N1313" s="29">
        <v>208.0104</v>
      </c>
      <c r="O1313" s="29">
        <v>12520</v>
      </c>
      <c r="P1313" s="29">
        <v>975958</v>
      </c>
    </row>
    <row r="1314" spans="1:24">
      <c r="B1314" s="29">
        <v>1</v>
      </c>
      <c r="C1314" s="29">
        <v>308015</v>
      </c>
      <c r="D1314" s="29" t="s">
        <v>772</v>
      </c>
      <c r="E1314" s="29" t="s">
        <v>448</v>
      </c>
      <c r="F1314" s="263">
        <v>42233</v>
      </c>
      <c r="G1314" s="263">
        <v>42244</v>
      </c>
      <c r="H1314" s="29">
        <v>17628</v>
      </c>
      <c r="I1314" s="29">
        <v>0</v>
      </c>
      <c r="J1314" s="292">
        <v>3173.04</v>
      </c>
      <c r="K1314" s="29">
        <v>20801.04</v>
      </c>
      <c r="L1314" s="29">
        <v>0</v>
      </c>
      <c r="M1314" s="29">
        <v>1</v>
      </c>
      <c r="N1314" s="29">
        <v>208.0104</v>
      </c>
      <c r="O1314" s="29">
        <v>12519</v>
      </c>
      <c r="P1314" s="29">
        <v>975958</v>
      </c>
    </row>
    <row r="1315" spans="1:24">
      <c r="B1315" s="29">
        <v>1</v>
      </c>
      <c r="C1315" s="29">
        <v>308015</v>
      </c>
      <c r="D1315" s="29" t="s">
        <v>772</v>
      </c>
      <c r="E1315" s="29" t="s">
        <v>448</v>
      </c>
      <c r="F1315" s="263">
        <v>42233</v>
      </c>
      <c r="G1315" s="263">
        <v>42244</v>
      </c>
      <c r="H1315" s="29">
        <v>17628</v>
      </c>
      <c r="I1315" s="29">
        <v>0</v>
      </c>
      <c r="J1315" s="292">
        <v>3173.04</v>
      </c>
      <c r="K1315" s="29">
        <v>20801.04</v>
      </c>
      <c r="L1315" s="29">
        <v>0</v>
      </c>
      <c r="M1315" s="29">
        <v>1</v>
      </c>
      <c r="N1315" s="29">
        <v>208.0104</v>
      </c>
      <c r="O1315" s="29">
        <v>12519</v>
      </c>
      <c r="P1315" s="29">
        <v>975958</v>
      </c>
    </row>
    <row r="1316" spans="1:24">
      <c r="B1316" s="29">
        <v>1</v>
      </c>
      <c r="C1316" s="33">
        <v>308421</v>
      </c>
      <c r="D1316" s="33" t="s">
        <v>772</v>
      </c>
      <c r="E1316" s="33" t="s">
        <v>448</v>
      </c>
      <c r="F1316" s="280">
        <v>42236</v>
      </c>
      <c r="G1316" s="280">
        <v>42244</v>
      </c>
      <c r="H1316" s="33">
        <v>4068</v>
      </c>
      <c r="I1316" s="33">
        <v>0</v>
      </c>
      <c r="J1316" s="301">
        <v>732.24</v>
      </c>
      <c r="K1316" s="33">
        <v>4800.24</v>
      </c>
      <c r="L1316" s="33">
        <v>0</v>
      </c>
      <c r="M1316" s="33">
        <v>1</v>
      </c>
      <c r="N1316" s="33">
        <v>48.002400000000002</v>
      </c>
      <c r="O1316" s="33">
        <v>12520</v>
      </c>
      <c r="P1316" s="33">
        <v>976524</v>
      </c>
    </row>
    <row r="1317" spans="1:24">
      <c r="B1317" s="29">
        <v>1</v>
      </c>
      <c r="C1317" s="33">
        <v>308421</v>
      </c>
      <c r="D1317" s="33" t="s">
        <v>772</v>
      </c>
      <c r="E1317" s="33" t="s">
        <v>448</v>
      </c>
      <c r="F1317" s="280">
        <v>42236</v>
      </c>
      <c r="G1317" s="280">
        <v>42244</v>
      </c>
      <c r="H1317" s="33">
        <v>4068</v>
      </c>
      <c r="I1317" s="33">
        <v>0</v>
      </c>
      <c r="J1317" s="301">
        <v>732.24</v>
      </c>
      <c r="K1317" s="33">
        <v>4800.24</v>
      </c>
      <c r="L1317" s="33">
        <v>0</v>
      </c>
      <c r="M1317" s="33">
        <v>1</v>
      </c>
      <c r="N1317" s="33">
        <v>48.002400000000002</v>
      </c>
      <c r="O1317" s="33">
        <v>12520</v>
      </c>
      <c r="P1317" s="33">
        <v>976524</v>
      </c>
    </row>
    <row r="1318" spans="1:24">
      <c r="B1318" s="29">
        <v>1</v>
      </c>
      <c r="C1318" s="33">
        <v>308421</v>
      </c>
      <c r="D1318" s="33" t="s">
        <v>772</v>
      </c>
      <c r="E1318" s="33" t="s">
        <v>448</v>
      </c>
      <c r="F1318" s="280">
        <v>42236</v>
      </c>
      <c r="G1318" s="280">
        <v>42244</v>
      </c>
      <c r="H1318" s="33">
        <v>4068</v>
      </c>
      <c r="I1318" s="33">
        <v>0</v>
      </c>
      <c r="J1318" s="301">
        <v>732.24</v>
      </c>
      <c r="K1318" s="33">
        <v>4800.24</v>
      </c>
      <c r="L1318" s="33">
        <v>0</v>
      </c>
      <c r="M1318" s="33">
        <v>1</v>
      </c>
      <c r="N1318" s="33">
        <v>48.002400000000002</v>
      </c>
      <c r="O1318" s="33">
        <v>12519</v>
      </c>
      <c r="P1318" s="33">
        <v>976524</v>
      </c>
    </row>
    <row r="1319" spans="1:24">
      <c r="B1319" s="29">
        <v>1</v>
      </c>
      <c r="C1319" s="29">
        <v>308583</v>
      </c>
      <c r="D1319" s="29" t="s">
        <v>772</v>
      </c>
      <c r="E1319" s="29" t="s">
        <v>448</v>
      </c>
      <c r="F1319" s="263">
        <v>42240</v>
      </c>
      <c r="G1319" s="263">
        <v>42244</v>
      </c>
      <c r="H1319" s="29">
        <v>12204</v>
      </c>
      <c r="I1319" s="29">
        <v>0</v>
      </c>
      <c r="J1319" s="292">
        <v>2196.7199999999998</v>
      </c>
      <c r="K1319" s="29">
        <v>14400.72</v>
      </c>
      <c r="L1319" s="29">
        <v>0</v>
      </c>
      <c r="M1319" s="29">
        <v>1</v>
      </c>
      <c r="N1319" s="29">
        <v>144.00720000000001</v>
      </c>
      <c r="O1319" s="29">
        <v>12520</v>
      </c>
      <c r="P1319" s="29">
        <v>976783</v>
      </c>
    </row>
    <row r="1320" spans="1:24">
      <c r="B1320" s="29">
        <v>1</v>
      </c>
      <c r="C1320" s="29">
        <v>308583</v>
      </c>
      <c r="D1320" s="29" t="s">
        <v>772</v>
      </c>
      <c r="E1320" s="29" t="s">
        <v>448</v>
      </c>
      <c r="F1320" s="263">
        <v>42240</v>
      </c>
      <c r="G1320" s="263">
        <v>42244</v>
      </c>
      <c r="H1320" s="29">
        <v>12204</v>
      </c>
      <c r="I1320" s="29">
        <v>0</v>
      </c>
      <c r="J1320" s="292">
        <v>2196.7199999999998</v>
      </c>
      <c r="K1320" s="29">
        <v>14400.72</v>
      </c>
      <c r="L1320" s="29">
        <v>0</v>
      </c>
      <c r="M1320" s="29">
        <v>1</v>
      </c>
      <c r="N1320" s="29">
        <v>144.00720000000001</v>
      </c>
      <c r="O1320" s="29">
        <v>12520</v>
      </c>
      <c r="P1320" s="29">
        <v>976783</v>
      </c>
    </row>
    <row r="1321" spans="1:24">
      <c r="B1321" s="29">
        <v>1</v>
      </c>
      <c r="C1321" s="29">
        <v>308583</v>
      </c>
      <c r="D1321" s="29" t="s">
        <v>772</v>
      </c>
      <c r="E1321" s="29" t="s">
        <v>448</v>
      </c>
      <c r="F1321" s="263">
        <v>42240</v>
      </c>
      <c r="G1321" s="263">
        <v>42244</v>
      </c>
      <c r="H1321" s="29">
        <v>12204</v>
      </c>
      <c r="I1321" s="29">
        <v>0</v>
      </c>
      <c r="J1321" s="292">
        <v>2196.7199999999998</v>
      </c>
      <c r="K1321" s="29">
        <v>14400.72</v>
      </c>
      <c r="L1321" s="29">
        <v>0</v>
      </c>
      <c r="M1321" s="29">
        <v>1</v>
      </c>
      <c r="N1321" s="29">
        <v>144.00720000000001</v>
      </c>
      <c r="O1321" s="29">
        <v>12520</v>
      </c>
      <c r="P1321" s="29">
        <v>976783</v>
      </c>
    </row>
    <row r="1324" spans="1:24">
      <c r="B1324" s="59"/>
      <c r="C1324" s="59"/>
      <c r="D1324" s="59" t="s">
        <v>795</v>
      </c>
      <c r="E1324" s="59"/>
      <c r="F1324" s="59"/>
      <c r="G1324" s="59"/>
      <c r="H1324" s="59"/>
      <c r="I1324" s="59"/>
      <c r="J1324" s="293"/>
      <c r="K1324" s="59"/>
    </row>
    <row r="1325" spans="1:24">
      <c r="B1325" s="59"/>
      <c r="C1325" s="59"/>
      <c r="D1325" s="59"/>
      <c r="E1325" s="59"/>
      <c r="F1325" s="59"/>
      <c r="G1325" s="59"/>
      <c r="H1325" s="59"/>
      <c r="I1325" s="59"/>
      <c r="J1325" s="293"/>
      <c r="K1325" s="59"/>
    </row>
    <row r="1326" spans="1:24">
      <c r="B1326" s="264" t="s">
        <v>369</v>
      </c>
      <c r="C1326" s="264" t="s">
        <v>370</v>
      </c>
      <c r="D1326" s="264" t="s">
        <v>371</v>
      </c>
      <c r="E1326" s="264" t="s">
        <v>372</v>
      </c>
      <c r="F1326" s="264" t="s">
        <v>373</v>
      </c>
      <c r="G1326" s="264" t="s">
        <v>393</v>
      </c>
      <c r="H1326" s="264" t="s">
        <v>375</v>
      </c>
      <c r="I1326" s="264" t="s">
        <v>376</v>
      </c>
      <c r="J1326" s="294" t="s">
        <v>377</v>
      </c>
      <c r="K1326" s="264" t="s">
        <v>378</v>
      </c>
    </row>
    <row r="1327" spans="1:24">
      <c r="A1327" s="29">
        <v>1</v>
      </c>
      <c r="B1327" s="111">
        <v>4</v>
      </c>
      <c r="C1327" s="111">
        <v>31751</v>
      </c>
      <c r="D1327" s="111" t="s">
        <v>768</v>
      </c>
      <c r="E1327" s="111" t="s">
        <v>448</v>
      </c>
      <c r="F1327" s="265">
        <v>42182</v>
      </c>
      <c r="G1327" s="265">
        <v>42251</v>
      </c>
      <c r="H1327" s="266">
        <f t="shared" ref="H1327:H1358" si="102">R1327+S1327</f>
        <v>432.58</v>
      </c>
      <c r="I1327" s="266">
        <f t="shared" ref="I1327:I1358" si="103">V1327</f>
        <v>0</v>
      </c>
      <c r="J1327" s="295">
        <v>1</v>
      </c>
      <c r="K1327" s="266">
        <f t="shared" ref="K1327:K1358" si="104">(H1327-I1327)*J1327%</f>
        <v>4.3258000000000001</v>
      </c>
      <c r="L1327" s="312">
        <f t="shared" ref="L1327:L1358" si="105">G1327-F1327</f>
        <v>69</v>
      </c>
      <c r="M1327" s="263"/>
      <c r="N1327" s="263"/>
      <c r="O1327" s="263"/>
      <c r="P1327" s="263"/>
      <c r="Q1327" s="263"/>
      <c r="R1327" s="29">
        <v>432.58</v>
      </c>
      <c r="S1327" s="29">
        <v>0</v>
      </c>
      <c r="T1327" s="29">
        <v>77.86</v>
      </c>
      <c r="U1327" s="29">
        <v>510.44</v>
      </c>
      <c r="V1327" s="29">
        <v>0</v>
      </c>
      <c r="W1327" s="29">
        <v>1</v>
      </c>
      <c r="X1327" s="29">
        <v>5.1044</v>
      </c>
    </row>
    <row r="1328" spans="1:24">
      <c r="A1328" s="29">
        <v>2</v>
      </c>
      <c r="B1328" s="111">
        <v>4</v>
      </c>
      <c r="C1328" s="111">
        <v>32788</v>
      </c>
      <c r="D1328" s="111" t="s">
        <v>759</v>
      </c>
      <c r="E1328" s="111" t="s">
        <v>448</v>
      </c>
      <c r="F1328" s="265">
        <v>42195</v>
      </c>
      <c r="G1328" s="265">
        <v>42251</v>
      </c>
      <c r="H1328" s="266">
        <f t="shared" si="102"/>
        <v>1310.4000000000001</v>
      </c>
      <c r="I1328" s="266">
        <f t="shared" si="103"/>
        <v>0</v>
      </c>
      <c r="J1328" s="295">
        <v>1</v>
      </c>
      <c r="K1328" s="266">
        <f t="shared" si="104"/>
        <v>13.104000000000001</v>
      </c>
      <c r="L1328" s="312">
        <f t="shared" si="105"/>
        <v>56</v>
      </c>
      <c r="M1328" s="263"/>
      <c r="N1328" s="263"/>
      <c r="O1328" s="263"/>
      <c r="P1328" s="263"/>
      <c r="Q1328" s="263"/>
      <c r="R1328" s="29">
        <v>1310.4000000000001</v>
      </c>
      <c r="S1328" s="29">
        <v>0</v>
      </c>
      <c r="T1328" s="29">
        <v>235.87</v>
      </c>
      <c r="U1328" s="29">
        <v>1546.27</v>
      </c>
      <c r="V1328" s="29">
        <v>0</v>
      </c>
      <c r="W1328" s="29">
        <v>1</v>
      </c>
      <c r="X1328" s="29">
        <v>15.4627</v>
      </c>
    </row>
    <row r="1329" spans="1:24">
      <c r="A1329" s="29">
        <v>3</v>
      </c>
      <c r="B1329" s="111">
        <v>4</v>
      </c>
      <c r="C1329" s="111">
        <v>32776</v>
      </c>
      <c r="D1329" s="111" t="s">
        <v>759</v>
      </c>
      <c r="E1329" s="111" t="s">
        <v>448</v>
      </c>
      <c r="F1329" s="265">
        <v>42195</v>
      </c>
      <c r="G1329" s="265">
        <v>42251</v>
      </c>
      <c r="H1329" s="266">
        <f t="shared" si="102"/>
        <v>6168.76</v>
      </c>
      <c r="I1329" s="266">
        <f t="shared" si="103"/>
        <v>0</v>
      </c>
      <c r="J1329" s="295">
        <v>1</v>
      </c>
      <c r="K1329" s="266">
        <f t="shared" si="104"/>
        <v>61.687600000000003</v>
      </c>
      <c r="L1329" s="312">
        <f t="shared" si="105"/>
        <v>56</v>
      </c>
      <c r="M1329" s="263"/>
      <c r="N1329" s="263"/>
      <c r="O1329" s="263"/>
      <c r="P1329" s="263"/>
      <c r="Q1329" s="263"/>
      <c r="R1329" s="29">
        <v>6168.76</v>
      </c>
      <c r="S1329" s="29">
        <v>0</v>
      </c>
      <c r="T1329" s="29">
        <v>1110.3800000000001</v>
      </c>
      <c r="U1329" s="29">
        <v>7279.14</v>
      </c>
      <c r="V1329" s="29">
        <v>0</v>
      </c>
      <c r="W1329" s="29">
        <v>1</v>
      </c>
      <c r="X1329" s="29">
        <v>72.791399999999996</v>
      </c>
    </row>
    <row r="1330" spans="1:24">
      <c r="A1330" s="29">
        <v>4</v>
      </c>
      <c r="B1330" s="111">
        <v>4</v>
      </c>
      <c r="C1330" s="111">
        <v>32832</v>
      </c>
      <c r="D1330" s="111" t="s">
        <v>759</v>
      </c>
      <c r="E1330" s="111" t="s">
        <v>448</v>
      </c>
      <c r="F1330" s="265">
        <v>42195</v>
      </c>
      <c r="G1330" s="265">
        <v>42251</v>
      </c>
      <c r="H1330" s="266">
        <f t="shared" si="102"/>
        <v>463.75</v>
      </c>
      <c r="I1330" s="266">
        <f t="shared" si="103"/>
        <v>0</v>
      </c>
      <c r="J1330" s="295">
        <v>1</v>
      </c>
      <c r="K1330" s="266">
        <f t="shared" si="104"/>
        <v>4.6375000000000002</v>
      </c>
      <c r="L1330" s="312">
        <f t="shared" si="105"/>
        <v>56</v>
      </c>
      <c r="M1330" s="263"/>
      <c r="N1330" s="263"/>
      <c r="O1330" s="263"/>
      <c r="P1330" s="263"/>
      <c r="Q1330" s="263"/>
      <c r="R1330" s="29">
        <v>463.75</v>
      </c>
      <c r="S1330" s="29">
        <v>0</v>
      </c>
      <c r="T1330" s="29">
        <v>83.48</v>
      </c>
      <c r="U1330" s="29">
        <v>547.23</v>
      </c>
      <c r="V1330" s="29">
        <v>0</v>
      </c>
      <c r="W1330" s="29">
        <v>1</v>
      </c>
      <c r="X1330" s="29">
        <v>5.4722999999999997</v>
      </c>
    </row>
    <row r="1331" spans="1:24">
      <c r="A1331" s="29">
        <v>5</v>
      </c>
      <c r="B1331" s="111">
        <v>4</v>
      </c>
      <c r="C1331" s="111">
        <v>32834</v>
      </c>
      <c r="D1331" s="111" t="s">
        <v>759</v>
      </c>
      <c r="E1331" s="111" t="s">
        <v>448</v>
      </c>
      <c r="F1331" s="265">
        <v>42195</v>
      </c>
      <c r="G1331" s="265">
        <v>42251</v>
      </c>
      <c r="H1331" s="266">
        <f t="shared" si="102"/>
        <v>1307.02</v>
      </c>
      <c r="I1331" s="266">
        <f t="shared" si="103"/>
        <v>0</v>
      </c>
      <c r="J1331" s="295">
        <v>1</v>
      </c>
      <c r="K1331" s="266">
        <f t="shared" si="104"/>
        <v>13.0702</v>
      </c>
      <c r="L1331" s="312">
        <f t="shared" si="105"/>
        <v>56</v>
      </c>
      <c r="M1331" s="263"/>
      <c r="N1331" s="263"/>
      <c r="O1331" s="263"/>
      <c r="P1331" s="263"/>
      <c r="Q1331" s="263"/>
      <c r="R1331" s="29">
        <v>1307.02</v>
      </c>
      <c r="S1331" s="29">
        <v>0</v>
      </c>
      <c r="T1331" s="29">
        <v>235.26</v>
      </c>
      <c r="U1331" s="29">
        <v>1542.28</v>
      </c>
      <c r="V1331" s="29">
        <v>0</v>
      </c>
      <c r="W1331" s="29">
        <v>1</v>
      </c>
      <c r="X1331" s="29">
        <v>15.422800000000001</v>
      </c>
    </row>
    <row r="1332" spans="1:24">
      <c r="A1332" s="29">
        <v>6</v>
      </c>
      <c r="B1332" s="111">
        <v>4</v>
      </c>
      <c r="C1332" s="111">
        <v>32835</v>
      </c>
      <c r="D1332" s="111" t="s">
        <v>759</v>
      </c>
      <c r="E1332" s="111" t="s">
        <v>448</v>
      </c>
      <c r="F1332" s="265">
        <v>42195</v>
      </c>
      <c r="G1332" s="265">
        <v>42259</v>
      </c>
      <c r="H1332" s="266">
        <f t="shared" si="102"/>
        <v>6303.2</v>
      </c>
      <c r="I1332" s="266">
        <f t="shared" si="103"/>
        <v>0</v>
      </c>
      <c r="J1332" s="295">
        <v>1</v>
      </c>
      <c r="K1332" s="266">
        <f t="shared" si="104"/>
        <v>63.031999999999996</v>
      </c>
      <c r="L1332" s="312">
        <f t="shared" si="105"/>
        <v>64</v>
      </c>
      <c r="M1332" s="263"/>
      <c r="N1332" s="263"/>
      <c r="O1332" s="263"/>
      <c r="P1332" s="263"/>
      <c r="Q1332" s="263"/>
      <c r="R1332" s="29">
        <v>6303.2</v>
      </c>
      <c r="S1332" s="29">
        <v>0</v>
      </c>
      <c r="T1332" s="29">
        <v>1134.58</v>
      </c>
      <c r="U1332" s="29">
        <v>7437.78</v>
      </c>
      <c r="V1332" s="29">
        <v>0</v>
      </c>
      <c r="W1332" s="29">
        <v>1</v>
      </c>
      <c r="X1332" s="29">
        <v>74.377799999999993</v>
      </c>
    </row>
    <row r="1333" spans="1:24">
      <c r="A1333" s="29">
        <v>7</v>
      </c>
      <c r="B1333" s="111">
        <v>4</v>
      </c>
      <c r="C1333" s="111">
        <v>32802</v>
      </c>
      <c r="D1333" s="111" t="s">
        <v>759</v>
      </c>
      <c r="E1333" s="111" t="s">
        <v>448</v>
      </c>
      <c r="F1333" s="265">
        <v>42195</v>
      </c>
      <c r="G1333" s="265">
        <v>42251</v>
      </c>
      <c r="H1333" s="266">
        <f t="shared" si="102"/>
        <v>13373</v>
      </c>
      <c r="I1333" s="266">
        <f t="shared" si="103"/>
        <v>0</v>
      </c>
      <c r="J1333" s="295">
        <v>1</v>
      </c>
      <c r="K1333" s="266">
        <f t="shared" si="104"/>
        <v>133.72999999999999</v>
      </c>
      <c r="L1333" s="312">
        <f t="shared" si="105"/>
        <v>56</v>
      </c>
      <c r="M1333" s="263"/>
      <c r="N1333" s="263"/>
      <c r="O1333" s="263"/>
      <c r="P1333" s="263"/>
      <c r="Q1333" s="263"/>
      <c r="R1333" s="29">
        <v>13373</v>
      </c>
      <c r="S1333" s="29">
        <v>0</v>
      </c>
      <c r="T1333" s="29">
        <v>2407.14</v>
      </c>
      <c r="U1333" s="29">
        <v>15780.14</v>
      </c>
      <c r="V1333" s="29">
        <v>0</v>
      </c>
      <c r="W1333" s="29">
        <v>1</v>
      </c>
      <c r="X1333" s="29">
        <v>157.8014</v>
      </c>
    </row>
    <row r="1334" spans="1:24">
      <c r="A1334" s="29">
        <v>8</v>
      </c>
      <c r="B1334" s="111">
        <v>6</v>
      </c>
      <c r="C1334" s="111">
        <v>999</v>
      </c>
      <c r="D1334" s="111" t="s">
        <v>381</v>
      </c>
      <c r="E1334" s="111" t="s">
        <v>382</v>
      </c>
      <c r="F1334" s="265">
        <v>42195</v>
      </c>
      <c r="G1334" s="265">
        <v>42272</v>
      </c>
      <c r="H1334" s="266">
        <f t="shared" si="102"/>
        <v>1773.02</v>
      </c>
      <c r="I1334" s="266">
        <f t="shared" si="103"/>
        <v>0</v>
      </c>
      <c r="J1334" s="295">
        <v>0</v>
      </c>
      <c r="K1334" s="266">
        <f t="shared" si="104"/>
        <v>0</v>
      </c>
      <c r="L1334" s="312">
        <f t="shared" si="105"/>
        <v>77</v>
      </c>
      <c r="M1334" s="263"/>
      <c r="N1334" s="263"/>
      <c r="O1334" s="263"/>
      <c r="P1334" s="263"/>
      <c r="Q1334" s="263"/>
      <c r="R1334" s="29">
        <v>1773.02</v>
      </c>
      <c r="S1334" s="29">
        <v>0</v>
      </c>
      <c r="T1334" s="29">
        <v>319.14</v>
      </c>
      <c r="U1334" s="29">
        <v>2092.16</v>
      </c>
      <c r="V1334" s="29">
        <v>0</v>
      </c>
      <c r="W1334" s="29">
        <v>1</v>
      </c>
      <c r="X1334" s="29">
        <v>20.921600000000002</v>
      </c>
    </row>
    <row r="1335" spans="1:24">
      <c r="A1335" s="29">
        <v>9</v>
      </c>
      <c r="B1335" s="111">
        <v>4</v>
      </c>
      <c r="C1335" s="111">
        <v>33183</v>
      </c>
      <c r="D1335" s="111" t="s">
        <v>759</v>
      </c>
      <c r="E1335" s="111" t="s">
        <v>448</v>
      </c>
      <c r="F1335" s="265">
        <v>42200</v>
      </c>
      <c r="G1335" s="265">
        <v>42259</v>
      </c>
      <c r="H1335" s="266">
        <f t="shared" si="102"/>
        <v>2473.8000000000002</v>
      </c>
      <c r="I1335" s="266">
        <f t="shared" si="103"/>
        <v>0</v>
      </c>
      <c r="J1335" s="295">
        <v>1</v>
      </c>
      <c r="K1335" s="266">
        <f t="shared" si="104"/>
        <v>24.738000000000003</v>
      </c>
      <c r="L1335" s="312">
        <f t="shared" si="105"/>
        <v>59</v>
      </c>
      <c r="M1335" s="263"/>
      <c r="N1335" s="263"/>
      <c r="O1335" s="263"/>
      <c r="P1335" s="263"/>
      <c r="Q1335" s="263"/>
      <c r="R1335" s="29">
        <v>2473.8000000000002</v>
      </c>
      <c r="S1335" s="29">
        <v>0</v>
      </c>
      <c r="T1335" s="29">
        <v>445.28</v>
      </c>
      <c r="U1335" s="29">
        <v>2919.08</v>
      </c>
      <c r="V1335" s="29">
        <v>0</v>
      </c>
      <c r="W1335" s="29">
        <v>1</v>
      </c>
      <c r="X1335" s="29">
        <v>29.190799999999999</v>
      </c>
    </row>
    <row r="1336" spans="1:24">
      <c r="A1336" s="29">
        <v>10</v>
      </c>
      <c r="B1336" s="111">
        <v>4</v>
      </c>
      <c r="C1336" s="111">
        <v>33327</v>
      </c>
      <c r="D1336" s="111" t="s">
        <v>759</v>
      </c>
      <c r="E1336" s="111" t="s">
        <v>448</v>
      </c>
      <c r="F1336" s="265">
        <v>42201</v>
      </c>
      <c r="G1336" s="265">
        <v>42251</v>
      </c>
      <c r="H1336" s="266">
        <f t="shared" si="102"/>
        <v>200.43</v>
      </c>
      <c r="I1336" s="266">
        <f t="shared" si="103"/>
        <v>0</v>
      </c>
      <c r="J1336" s="295">
        <v>1</v>
      </c>
      <c r="K1336" s="266">
        <f t="shared" si="104"/>
        <v>2.0043000000000002</v>
      </c>
      <c r="L1336" s="312">
        <f t="shared" si="105"/>
        <v>50</v>
      </c>
      <c r="M1336" s="263"/>
      <c r="N1336" s="263"/>
      <c r="O1336" s="263"/>
      <c r="P1336" s="263"/>
      <c r="Q1336" s="263"/>
      <c r="R1336" s="29">
        <v>200.43</v>
      </c>
      <c r="S1336" s="29">
        <v>0</v>
      </c>
      <c r="T1336" s="29">
        <v>36.08</v>
      </c>
      <c r="U1336" s="29">
        <v>236.51</v>
      </c>
      <c r="V1336" s="29">
        <v>0</v>
      </c>
      <c r="W1336" s="29">
        <v>1</v>
      </c>
      <c r="X1336" s="29">
        <v>2.3651</v>
      </c>
    </row>
    <row r="1337" spans="1:24">
      <c r="A1337" s="29">
        <v>11</v>
      </c>
      <c r="B1337" s="111">
        <v>4</v>
      </c>
      <c r="C1337" s="111">
        <v>33381</v>
      </c>
      <c r="D1337" s="111" t="s">
        <v>758</v>
      </c>
      <c r="E1337" s="111" t="s">
        <v>448</v>
      </c>
      <c r="F1337" s="265">
        <v>42202</v>
      </c>
      <c r="G1337" s="265">
        <v>42249</v>
      </c>
      <c r="H1337" s="266">
        <f t="shared" si="102"/>
        <v>367.19</v>
      </c>
      <c r="I1337" s="266">
        <f t="shared" si="103"/>
        <v>0</v>
      </c>
      <c r="J1337" s="295">
        <v>1</v>
      </c>
      <c r="K1337" s="266">
        <f t="shared" si="104"/>
        <v>3.6718999999999999</v>
      </c>
      <c r="L1337" s="312">
        <f t="shared" si="105"/>
        <v>47</v>
      </c>
      <c r="M1337" s="263"/>
      <c r="N1337" s="263"/>
      <c r="O1337" s="263"/>
      <c r="P1337" s="263"/>
      <c r="Q1337" s="263"/>
      <c r="R1337" s="29">
        <v>367.19</v>
      </c>
      <c r="S1337" s="29">
        <v>0</v>
      </c>
      <c r="T1337" s="29">
        <v>66.09</v>
      </c>
      <c r="U1337" s="29">
        <v>433.28</v>
      </c>
      <c r="V1337" s="29">
        <v>0</v>
      </c>
      <c r="W1337" s="29">
        <v>1</v>
      </c>
      <c r="X1337" s="29">
        <v>4.3327999999999998</v>
      </c>
    </row>
    <row r="1338" spans="1:24">
      <c r="A1338" s="29">
        <v>12</v>
      </c>
      <c r="B1338" s="111">
        <v>4</v>
      </c>
      <c r="C1338" s="111">
        <v>33436</v>
      </c>
      <c r="D1338" s="111" t="s">
        <v>757</v>
      </c>
      <c r="E1338" s="111" t="s">
        <v>448</v>
      </c>
      <c r="F1338" s="265">
        <v>42202</v>
      </c>
      <c r="G1338" s="265">
        <v>42251</v>
      </c>
      <c r="H1338" s="266">
        <f t="shared" si="102"/>
        <v>506.03</v>
      </c>
      <c r="I1338" s="266">
        <f t="shared" si="103"/>
        <v>0</v>
      </c>
      <c r="J1338" s="295">
        <v>1</v>
      </c>
      <c r="K1338" s="266">
        <f t="shared" si="104"/>
        <v>5.0602999999999998</v>
      </c>
      <c r="L1338" s="312">
        <f t="shared" si="105"/>
        <v>49</v>
      </c>
      <c r="M1338" s="263"/>
      <c r="N1338" s="263"/>
      <c r="O1338" s="263"/>
      <c r="P1338" s="263"/>
      <c r="Q1338" s="263"/>
      <c r="R1338" s="29">
        <v>506.03</v>
      </c>
      <c r="S1338" s="29">
        <v>0</v>
      </c>
      <c r="T1338" s="29">
        <v>91.09</v>
      </c>
      <c r="U1338" s="29">
        <v>597.12</v>
      </c>
      <c r="V1338" s="29">
        <v>0</v>
      </c>
      <c r="W1338" s="29">
        <v>1</v>
      </c>
      <c r="X1338" s="29">
        <v>5.9711999999999996</v>
      </c>
    </row>
    <row r="1339" spans="1:24">
      <c r="A1339" s="29">
        <v>13</v>
      </c>
      <c r="B1339" s="111">
        <v>4</v>
      </c>
      <c r="C1339" s="111">
        <v>33380</v>
      </c>
      <c r="D1339" s="111" t="s">
        <v>758</v>
      </c>
      <c r="E1339" s="111" t="s">
        <v>448</v>
      </c>
      <c r="F1339" s="265">
        <v>42202</v>
      </c>
      <c r="G1339" s="265">
        <v>42249</v>
      </c>
      <c r="H1339" s="266">
        <f t="shared" si="102"/>
        <v>646.53</v>
      </c>
      <c r="I1339" s="266">
        <f t="shared" si="103"/>
        <v>0</v>
      </c>
      <c r="J1339" s="295">
        <v>1</v>
      </c>
      <c r="K1339" s="266">
        <f t="shared" si="104"/>
        <v>6.4653</v>
      </c>
      <c r="L1339" s="312">
        <f t="shared" si="105"/>
        <v>47</v>
      </c>
      <c r="M1339" s="263"/>
      <c r="N1339" s="263"/>
      <c r="O1339" s="263"/>
      <c r="P1339" s="263"/>
      <c r="Q1339" s="263"/>
      <c r="R1339" s="29">
        <v>646.53</v>
      </c>
      <c r="S1339" s="29">
        <v>0</v>
      </c>
      <c r="T1339" s="29">
        <v>116.38</v>
      </c>
      <c r="U1339" s="29">
        <v>762.91</v>
      </c>
      <c r="V1339" s="29">
        <v>0</v>
      </c>
      <c r="W1339" s="29">
        <v>1</v>
      </c>
      <c r="X1339" s="29">
        <v>7.6291000000000002</v>
      </c>
    </row>
    <row r="1340" spans="1:24">
      <c r="A1340" s="29">
        <v>14</v>
      </c>
      <c r="B1340" s="111">
        <v>4</v>
      </c>
      <c r="C1340" s="111">
        <v>33374</v>
      </c>
      <c r="D1340" s="111" t="s">
        <v>758</v>
      </c>
      <c r="E1340" s="111" t="s">
        <v>448</v>
      </c>
      <c r="F1340" s="265">
        <v>42202</v>
      </c>
      <c r="G1340" s="265">
        <v>42249</v>
      </c>
      <c r="H1340" s="266">
        <f t="shared" si="102"/>
        <v>75.23</v>
      </c>
      <c r="I1340" s="266">
        <f t="shared" si="103"/>
        <v>0</v>
      </c>
      <c r="J1340" s="295">
        <v>1</v>
      </c>
      <c r="K1340" s="266">
        <f t="shared" si="104"/>
        <v>0.75230000000000008</v>
      </c>
      <c r="L1340" s="312">
        <f t="shared" si="105"/>
        <v>47</v>
      </c>
      <c r="M1340" s="263"/>
      <c r="N1340" s="263"/>
      <c r="O1340" s="263"/>
      <c r="P1340" s="263"/>
      <c r="Q1340" s="263"/>
      <c r="R1340" s="29">
        <v>75.23</v>
      </c>
      <c r="S1340" s="29">
        <v>0</v>
      </c>
      <c r="T1340" s="29">
        <v>13.54</v>
      </c>
      <c r="U1340" s="29">
        <v>88.77</v>
      </c>
      <c r="V1340" s="29">
        <v>0</v>
      </c>
      <c r="W1340" s="29">
        <v>1</v>
      </c>
      <c r="X1340" s="29">
        <v>0.88770000000000004</v>
      </c>
    </row>
    <row r="1341" spans="1:24">
      <c r="A1341" s="29">
        <v>15</v>
      </c>
      <c r="B1341" s="111">
        <v>4</v>
      </c>
      <c r="C1341" s="111">
        <v>33401</v>
      </c>
      <c r="D1341" s="111" t="s">
        <v>758</v>
      </c>
      <c r="E1341" s="111" t="s">
        <v>448</v>
      </c>
      <c r="F1341" s="265">
        <v>42202</v>
      </c>
      <c r="G1341" s="265">
        <v>42249</v>
      </c>
      <c r="H1341" s="266">
        <f t="shared" si="102"/>
        <v>7509.04</v>
      </c>
      <c r="I1341" s="266">
        <f t="shared" si="103"/>
        <v>0</v>
      </c>
      <c r="J1341" s="295">
        <v>1</v>
      </c>
      <c r="K1341" s="266">
        <f t="shared" si="104"/>
        <v>75.090400000000002</v>
      </c>
      <c r="L1341" s="312">
        <f t="shared" si="105"/>
        <v>47</v>
      </c>
      <c r="M1341" s="263"/>
      <c r="N1341" s="263"/>
      <c r="O1341" s="263"/>
      <c r="P1341" s="263"/>
      <c r="Q1341" s="263"/>
      <c r="R1341" s="29">
        <v>7509.04</v>
      </c>
      <c r="S1341" s="29">
        <v>0</v>
      </c>
      <c r="T1341" s="29">
        <v>1351.63</v>
      </c>
      <c r="U1341" s="29">
        <v>8860.67</v>
      </c>
      <c r="V1341" s="29">
        <v>0</v>
      </c>
      <c r="W1341" s="29">
        <v>1</v>
      </c>
      <c r="X1341" s="29">
        <v>88.606700000000004</v>
      </c>
    </row>
    <row r="1342" spans="1:24">
      <c r="A1342" s="29">
        <v>16</v>
      </c>
      <c r="B1342" s="111">
        <v>4</v>
      </c>
      <c r="C1342" s="111">
        <v>33479</v>
      </c>
      <c r="D1342" s="111" t="s">
        <v>758</v>
      </c>
      <c r="E1342" s="111" t="s">
        <v>448</v>
      </c>
      <c r="F1342" s="265">
        <v>42205</v>
      </c>
      <c r="G1342" s="265">
        <v>42249</v>
      </c>
      <c r="H1342" s="266">
        <f t="shared" si="102"/>
        <v>5770.59</v>
      </c>
      <c r="I1342" s="266">
        <f t="shared" si="103"/>
        <v>0</v>
      </c>
      <c r="J1342" s="295">
        <v>1</v>
      </c>
      <c r="K1342" s="266">
        <f t="shared" si="104"/>
        <v>57.7059</v>
      </c>
      <c r="L1342" s="312">
        <f t="shared" si="105"/>
        <v>44</v>
      </c>
      <c r="M1342" s="263"/>
      <c r="N1342" s="263"/>
      <c r="O1342" s="263"/>
      <c r="P1342" s="263"/>
      <c r="Q1342" s="263"/>
      <c r="R1342" s="29">
        <v>5770.59</v>
      </c>
      <c r="S1342" s="29">
        <v>0</v>
      </c>
      <c r="T1342" s="29">
        <v>1038.71</v>
      </c>
      <c r="U1342" s="29">
        <v>6809.3</v>
      </c>
      <c r="V1342" s="29">
        <v>0</v>
      </c>
      <c r="W1342" s="29">
        <v>1</v>
      </c>
      <c r="X1342" s="29">
        <v>68.093000000000004</v>
      </c>
    </row>
    <row r="1343" spans="1:24">
      <c r="A1343" s="29">
        <v>17</v>
      </c>
      <c r="B1343" s="111">
        <v>4</v>
      </c>
      <c r="C1343" s="111">
        <v>33476</v>
      </c>
      <c r="D1343" s="111" t="s">
        <v>759</v>
      </c>
      <c r="E1343" s="111" t="s">
        <v>448</v>
      </c>
      <c r="F1343" s="265">
        <v>42205</v>
      </c>
      <c r="G1343" s="265">
        <v>42259</v>
      </c>
      <c r="H1343" s="266">
        <f t="shared" si="102"/>
        <v>962.68</v>
      </c>
      <c r="I1343" s="266">
        <f t="shared" si="103"/>
        <v>0</v>
      </c>
      <c r="J1343" s="295">
        <v>1</v>
      </c>
      <c r="K1343" s="266">
        <f t="shared" si="104"/>
        <v>9.6267999999999994</v>
      </c>
      <c r="L1343" s="312">
        <f t="shared" si="105"/>
        <v>54</v>
      </c>
      <c r="M1343" s="263"/>
      <c r="N1343" s="263"/>
      <c r="O1343" s="263"/>
      <c r="P1343" s="263"/>
      <c r="Q1343" s="263"/>
      <c r="R1343" s="29">
        <v>962.68</v>
      </c>
      <c r="S1343" s="29">
        <v>0</v>
      </c>
      <c r="T1343" s="29">
        <v>173.28</v>
      </c>
      <c r="U1343" s="29">
        <v>1135.96</v>
      </c>
      <c r="V1343" s="29">
        <v>0</v>
      </c>
      <c r="W1343" s="29">
        <v>1</v>
      </c>
      <c r="X1343" s="29">
        <v>11.3596</v>
      </c>
    </row>
    <row r="1344" spans="1:24">
      <c r="A1344" s="29">
        <v>18</v>
      </c>
      <c r="B1344" s="111">
        <v>4</v>
      </c>
      <c r="C1344" s="111">
        <v>33568</v>
      </c>
      <c r="D1344" s="111" t="s">
        <v>759</v>
      </c>
      <c r="E1344" s="111" t="s">
        <v>448</v>
      </c>
      <c r="F1344" s="265">
        <v>42206</v>
      </c>
      <c r="G1344" s="265">
        <v>42259</v>
      </c>
      <c r="H1344" s="266">
        <f t="shared" si="102"/>
        <v>683.55</v>
      </c>
      <c r="I1344" s="266">
        <f t="shared" si="103"/>
        <v>0</v>
      </c>
      <c r="J1344" s="295">
        <v>1</v>
      </c>
      <c r="K1344" s="266">
        <f t="shared" si="104"/>
        <v>6.8354999999999997</v>
      </c>
      <c r="L1344" s="312">
        <f t="shared" si="105"/>
        <v>53</v>
      </c>
      <c r="M1344" s="263"/>
      <c r="N1344" s="263"/>
      <c r="O1344" s="263"/>
      <c r="P1344" s="263"/>
      <c r="Q1344" s="263"/>
      <c r="R1344" s="29">
        <v>683.55</v>
      </c>
      <c r="S1344" s="29">
        <v>0</v>
      </c>
      <c r="T1344" s="29">
        <v>123.04</v>
      </c>
      <c r="U1344" s="29">
        <v>806.59</v>
      </c>
      <c r="V1344" s="29">
        <v>0</v>
      </c>
      <c r="W1344" s="29">
        <v>1</v>
      </c>
      <c r="X1344" s="29">
        <v>8.0658999999999992</v>
      </c>
    </row>
    <row r="1345" spans="1:24">
      <c r="A1345" s="29">
        <v>19</v>
      </c>
      <c r="B1345" s="111">
        <v>4</v>
      </c>
      <c r="C1345" s="111">
        <v>33567</v>
      </c>
      <c r="D1345" s="111" t="s">
        <v>759</v>
      </c>
      <c r="E1345" s="111" t="s">
        <v>448</v>
      </c>
      <c r="F1345" s="265">
        <v>42206</v>
      </c>
      <c r="G1345" s="265">
        <v>42259</v>
      </c>
      <c r="H1345" s="266">
        <f t="shared" si="102"/>
        <v>2258.4499999999998</v>
      </c>
      <c r="I1345" s="266">
        <f t="shared" si="103"/>
        <v>0</v>
      </c>
      <c r="J1345" s="295">
        <v>1</v>
      </c>
      <c r="K1345" s="266">
        <f t="shared" si="104"/>
        <v>22.584499999999998</v>
      </c>
      <c r="L1345" s="312">
        <f t="shared" si="105"/>
        <v>53</v>
      </c>
      <c r="M1345" s="263"/>
      <c r="N1345" s="263"/>
      <c r="O1345" s="263"/>
      <c r="P1345" s="263"/>
      <c r="Q1345" s="263"/>
      <c r="R1345" s="29">
        <v>2258.4499999999998</v>
      </c>
      <c r="S1345" s="29">
        <v>0</v>
      </c>
      <c r="T1345" s="29">
        <v>406.52</v>
      </c>
      <c r="U1345" s="29">
        <v>2664.97</v>
      </c>
      <c r="V1345" s="29">
        <v>0</v>
      </c>
      <c r="W1345" s="29">
        <v>1</v>
      </c>
      <c r="X1345" s="29">
        <v>26.649699999999999</v>
      </c>
    </row>
    <row r="1346" spans="1:24">
      <c r="A1346" s="29">
        <v>20</v>
      </c>
      <c r="B1346" s="111">
        <v>4</v>
      </c>
      <c r="C1346" s="111">
        <v>33543</v>
      </c>
      <c r="D1346" s="111" t="s">
        <v>759</v>
      </c>
      <c r="E1346" s="111" t="s">
        <v>448</v>
      </c>
      <c r="F1346" s="265">
        <v>42206</v>
      </c>
      <c r="G1346" s="265">
        <v>42259</v>
      </c>
      <c r="H1346" s="266">
        <f t="shared" si="102"/>
        <v>484.5</v>
      </c>
      <c r="I1346" s="266">
        <f t="shared" si="103"/>
        <v>0</v>
      </c>
      <c r="J1346" s="295">
        <v>1</v>
      </c>
      <c r="K1346" s="266">
        <f t="shared" si="104"/>
        <v>4.8449999999999998</v>
      </c>
      <c r="L1346" s="312">
        <f t="shared" si="105"/>
        <v>53</v>
      </c>
      <c r="M1346" s="263"/>
      <c r="N1346" s="263"/>
      <c r="O1346" s="263"/>
      <c r="P1346" s="263"/>
      <c r="Q1346" s="263"/>
      <c r="R1346" s="29">
        <v>484.5</v>
      </c>
      <c r="S1346" s="29">
        <v>0</v>
      </c>
      <c r="T1346" s="29">
        <v>87.21</v>
      </c>
      <c r="U1346" s="29">
        <v>571.71</v>
      </c>
      <c r="V1346" s="29">
        <v>0</v>
      </c>
      <c r="W1346" s="29">
        <v>1</v>
      </c>
      <c r="X1346" s="29">
        <v>5.7171000000000003</v>
      </c>
    </row>
    <row r="1347" spans="1:24">
      <c r="A1347" s="29">
        <v>21</v>
      </c>
      <c r="B1347" s="111">
        <v>4</v>
      </c>
      <c r="C1347" s="111">
        <v>33535</v>
      </c>
      <c r="D1347" s="111" t="s">
        <v>759</v>
      </c>
      <c r="E1347" s="111" t="s">
        <v>448</v>
      </c>
      <c r="F1347" s="265">
        <v>42206</v>
      </c>
      <c r="G1347" s="265">
        <v>42259</v>
      </c>
      <c r="H1347" s="266">
        <f t="shared" si="102"/>
        <v>2050.65</v>
      </c>
      <c r="I1347" s="266">
        <f t="shared" si="103"/>
        <v>0</v>
      </c>
      <c r="J1347" s="295">
        <v>1</v>
      </c>
      <c r="K1347" s="266">
        <f t="shared" si="104"/>
        <v>20.506500000000003</v>
      </c>
      <c r="L1347" s="312">
        <f t="shared" si="105"/>
        <v>53</v>
      </c>
      <c r="M1347" s="263"/>
      <c r="N1347" s="263"/>
      <c r="O1347" s="263"/>
      <c r="P1347" s="263"/>
      <c r="Q1347" s="263"/>
      <c r="R1347" s="29">
        <v>2050.65</v>
      </c>
      <c r="S1347" s="29">
        <v>0</v>
      </c>
      <c r="T1347" s="29">
        <v>369.12</v>
      </c>
      <c r="U1347" s="29">
        <v>2419.77</v>
      </c>
      <c r="V1347" s="29">
        <v>0</v>
      </c>
      <c r="W1347" s="29">
        <v>1</v>
      </c>
      <c r="X1347" s="29">
        <v>24.197700000000001</v>
      </c>
    </row>
    <row r="1348" spans="1:24">
      <c r="A1348" s="29">
        <v>22</v>
      </c>
      <c r="B1348" s="111">
        <v>4</v>
      </c>
      <c r="C1348" s="111">
        <v>33611</v>
      </c>
      <c r="D1348" s="111" t="s">
        <v>758</v>
      </c>
      <c r="E1348" s="111" t="s">
        <v>448</v>
      </c>
      <c r="F1348" s="265">
        <v>42206</v>
      </c>
      <c r="G1348" s="265">
        <v>42249</v>
      </c>
      <c r="H1348" s="266">
        <f t="shared" si="102"/>
        <v>864.46</v>
      </c>
      <c r="I1348" s="266">
        <f t="shared" si="103"/>
        <v>0</v>
      </c>
      <c r="J1348" s="295">
        <v>1</v>
      </c>
      <c r="K1348" s="266">
        <f t="shared" si="104"/>
        <v>8.6446000000000005</v>
      </c>
      <c r="L1348" s="312">
        <f t="shared" si="105"/>
        <v>43</v>
      </c>
      <c r="M1348" s="263"/>
      <c r="N1348" s="263"/>
      <c r="O1348" s="263"/>
      <c r="P1348" s="263"/>
      <c r="Q1348" s="263"/>
      <c r="R1348" s="29">
        <v>864.46</v>
      </c>
      <c r="S1348" s="29">
        <v>0</v>
      </c>
      <c r="T1348" s="29">
        <v>155.6</v>
      </c>
      <c r="U1348" s="29">
        <v>1020.06</v>
      </c>
      <c r="V1348" s="29">
        <v>0</v>
      </c>
      <c r="W1348" s="29">
        <v>1</v>
      </c>
      <c r="X1348" s="29">
        <v>10.2006</v>
      </c>
    </row>
    <row r="1349" spans="1:24">
      <c r="A1349" s="29">
        <v>23</v>
      </c>
      <c r="B1349" s="111">
        <v>4</v>
      </c>
      <c r="C1349" s="111">
        <v>33728</v>
      </c>
      <c r="D1349" s="111" t="s">
        <v>758</v>
      </c>
      <c r="E1349" s="111" t="s">
        <v>448</v>
      </c>
      <c r="F1349" s="265">
        <v>42207</v>
      </c>
      <c r="G1349" s="265">
        <v>42249</v>
      </c>
      <c r="H1349" s="266">
        <f t="shared" si="102"/>
        <v>2407.25</v>
      </c>
      <c r="I1349" s="266">
        <f t="shared" si="103"/>
        <v>0</v>
      </c>
      <c r="J1349" s="295">
        <v>1</v>
      </c>
      <c r="K1349" s="266">
        <f t="shared" si="104"/>
        <v>24.072500000000002</v>
      </c>
      <c r="L1349" s="312">
        <f t="shared" si="105"/>
        <v>42</v>
      </c>
      <c r="M1349" s="263"/>
      <c r="N1349" s="263"/>
      <c r="O1349" s="263"/>
      <c r="P1349" s="263"/>
      <c r="Q1349" s="263"/>
      <c r="R1349" s="29">
        <v>2407.25</v>
      </c>
      <c r="S1349" s="29">
        <v>0</v>
      </c>
      <c r="T1349" s="29">
        <v>433.31</v>
      </c>
      <c r="U1349" s="29">
        <v>2840.56</v>
      </c>
      <c r="V1349" s="29">
        <v>0</v>
      </c>
      <c r="W1349" s="29">
        <v>1</v>
      </c>
      <c r="X1349" s="29">
        <v>28.4056</v>
      </c>
    </row>
    <row r="1350" spans="1:24">
      <c r="A1350" s="29">
        <v>24</v>
      </c>
      <c r="B1350" s="111">
        <v>4</v>
      </c>
      <c r="C1350" s="111">
        <v>33668</v>
      </c>
      <c r="D1350" s="111" t="s">
        <v>758</v>
      </c>
      <c r="E1350" s="111" t="s">
        <v>448</v>
      </c>
      <c r="F1350" s="265">
        <v>42207</v>
      </c>
      <c r="G1350" s="265">
        <v>42249</v>
      </c>
      <c r="H1350" s="266">
        <f t="shared" si="102"/>
        <v>1674.18</v>
      </c>
      <c r="I1350" s="266">
        <f t="shared" si="103"/>
        <v>0</v>
      </c>
      <c r="J1350" s="295">
        <v>1</v>
      </c>
      <c r="K1350" s="266">
        <f t="shared" si="104"/>
        <v>16.741800000000001</v>
      </c>
      <c r="L1350" s="312">
        <f t="shared" si="105"/>
        <v>42</v>
      </c>
      <c r="M1350" s="263"/>
      <c r="N1350" s="263"/>
      <c r="O1350" s="263"/>
      <c r="P1350" s="263"/>
      <c r="Q1350" s="263"/>
      <c r="R1350" s="29">
        <v>1674.18</v>
      </c>
      <c r="S1350" s="29">
        <v>0</v>
      </c>
      <c r="T1350" s="29">
        <v>301.35000000000002</v>
      </c>
      <c r="U1350" s="29">
        <v>1975.53</v>
      </c>
      <c r="V1350" s="29">
        <v>0</v>
      </c>
      <c r="W1350" s="29">
        <v>1</v>
      </c>
      <c r="X1350" s="29">
        <v>19.755299999999998</v>
      </c>
    </row>
    <row r="1351" spans="1:24">
      <c r="A1351" s="29">
        <v>25</v>
      </c>
      <c r="B1351" s="111">
        <v>4</v>
      </c>
      <c r="C1351" s="111">
        <v>33688</v>
      </c>
      <c r="D1351" s="111" t="s">
        <v>759</v>
      </c>
      <c r="E1351" s="111" t="s">
        <v>448</v>
      </c>
      <c r="F1351" s="265">
        <v>42207</v>
      </c>
      <c r="G1351" s="265">
        <v>42269</v>
      </c>
      <c r="H1351" s="266">
        <f t="shared" si="102"/>
        <v>488.34</v>
      </c>
      <c r="I1351" s="266">
        <f t="shared" si="103"/>
        <v>0</v>
      </c>
      <c r="J1351" s="295">
        <v>1</v>
      </c>
      <c r="K1351" s="266">
        <f t="shared" si="104"/>
        <v>4.8834</v>
      </c>
      <c r="L1351" s="312">
        <f t="shared" si="105"/>
        <v>62</v>
      </c>
      <c r="M1351" s="263"/>
      <c r="N1351" s="263"/>
      <c r="O1351" s="263"/>
      <c r="P1351" s="263"/>
      <c r="Q1351" s="263"/>
      <c r="R1351" s="29">
        <v>488.34</v>
      </c>
      <c r="S1351" s="29">
        <v>0</v>
      </c>
      <c r="T1351" s="29">
        <v>87.9</v>
      </c>
      <c r="U1351" s="29">
        <v>576.24</v>
      </c>
      <c r="V1351" s="29">
        <v>0</v>
      </c>
      <c r="W1351" s="29">
        <v>1</v>
      </c>
      <c r="X1351" s="29">
        <v>5.7624000000000004</v>
      </c>
    </row>
    <row r="1352" spans="1:24">
      <c r="A1352" s="29">
        <v>26</v>
      </c>
      <c r="B1352" s="111">
        <v>4</v>
      </c>
      <c r="C1352" s="111">
        <v>33823</v>
      </c>
      <c r="D1352" s="111" t="s">
        <v>758</v>
      </c>
      <c r="E1352" s="111" t="s">
        <v>448</v>
      </c>
      <c r="F1352" s="265">
        <v>42208</v>
      </c>
      <c r="G1352" s="265">
        <v>42249</v>
      </c>
      <c r="H1352" s="266">
        <f t="shared" si="102"/>
        <v>4327.25</v>
      </c>
      <c r="I1352" s="266">
        <f t="shared" si="103"/>
        <v>0</v>
      </c>
      <c r="J1352" s="295">
        <v>1</v>
      </c>
      <c r="K1352" s="266">
        <f t="shared" si="104"/>
        <v>43.272500000000001</v>
      </c>
      <c r="L1352" s="312">
        <f t="shared" si="105"/>
        <v>41</v>
      </c>
      <c r="M1352" s="263"/>
      <c r="N1352" s="263"/>
      <c r="O1352" s="263"/>
      <c r="P1352" s="263"/>
      <c r="Q1352" s="263"/>
      <c r="R1352" s="29">
        <v>4327.25</v>
      </c>
      <c r="S1352" s="29">
        <v>0</v>
      </c>
      <c r="T1352" s="29">
        <v>778.91</v>
      </c>
      <c r="U1352" s="29">
        <v>5106.16</v>
      </c>
      <c r="V1352" s="29">
        <v>0</v>
      </c>
      <c r="W1352" s="29">
        <v>1</v>
      </c>
      <c r="X1352" s="29">
        <v>51.061599999999999</v>
      </c>
    </row>
    <row r="1353" spans="1:24">
      <c r="A1353" s="29">
        <v>27</v>
      </c>
      <c r="B1353" s="111">
        <v>4</v>
      </c>
      <c r="C1353" s="111">
        <v>33845</v>
      </c>
      <c r="D1353" s="111" t="s">
        <v>758</v>
      </c>
      <c r="E1353" s="111" t="s">
        <v>448</v>
      </c>
      <c r="F1353" s="265">
        <v>42208</v>
      </c>
      <c r="G1353" s="265">
        <v>42249</v>
      </c>
      <c r="H1353" s="266">
        <f t="shared" si="102"/>
        <v>2811.77</v>
      </c>
      <c r="I1353" s="266">
        <f t="shared" si="103"/>
        <v>984.13</v>
      </c>
      <c r="J1353" s="295">
        <v>1</v>
      </c>
      <c r="K1353" s="266">
        <f t="shared" si="104"/>
        <v>18.276399999999999</v>
      </c>
      <c r="L1353" s="312">
        <f t="shared" si="105"/>
        <v>41</v>
      </c>
      <c r="M1353" s="263"/>
      <c r="N1353" s="263"/>
      <c r="O1353" s="263"/>
      <c r="P1353" s="263"/>
      <c r="Q1353" s="263"/>
      <c r="R1353" s="29">
        <v>2811.77</v>
      </c>
      <c r="S1353" s="29">
        <v>0</v>
      </c>
      <c r="T1353" s="29">
        <v>506.12</v>
      </c>
      <c r="U1353" s="29">
        <v>3317.89</v>
      </c>
      <c r="V1353" s="29">
        <v>984.13</v>
      </c>
      <c r="W1353" s="29">
        <v>1</v>
      </c>
      <c r="X1353" s="29">
        <v>23.337599999999998</v>
      </c>
    </row>
    <row r="1354" spans="1:24">
      <c r="A1354" s="29">
        <v>28</v>
      </c>
      <c r="B1354" s="111">
        <v>4</v>
      </c>
      <c r="C1354" s="111">
        <v>33844</v>
      </c>
      <c r="D1354" s="111" t="s">
        <v>758</v>
      </c>
      <c r="E1354" s="111" t="s">
        <v>448</v>
      </c>
      <c r="F1354" s="265">
        <v>42208</v>
      </c>
      <c r="G1354" s="265">
        <v>42249</v>
      </c>
      <c r="H1354" s="266">
        <f t="shared" si="102"/>
        <v>4627.96</v>
      </c>
      <c r="I1354" s="266">
        <f t="shared" si="103"/>
        <v>0</v>
      </c>
      <c r="J1354" s="295">
        <v>1</v>
      </c>
      <c r="K1354" s="266">
        <f t="shared" si="104"/>
        <v>46.279600000000002</v>
      </c>
      <c r="L1354" s="312">
        <f t="shared" si="105"/>
        <v>41</v>
      </c>
      <c r="M1354" s="263"/>
      <c r="N1354" s="263"/>
      <c r="O1354" s="263"/>
      <c r="P1354" s="263"/>
      <c r="Q1354" s="263"/>
      <c r="R1354" s="29">
        <v>4627.96</v>
      </c>
      <c r="S1354" s="29">
        <v>0</v>
      </c>
      <c r="T1354" s="29">
        <v>833.03</v>
      </c>
      <c r="U1354" s="29">
        <v>5460.99</v>
      </c>
      <c r="V1354" s="29">
        <v>0</v>
      </c>
      <c r="W1354" s="29">
        <v>1</v>
      </c>
      <c r="X1354" s="29">
        <v>54.609900000000003</v>
      </c>
    </row>
    <row r="1355" spans="1:24">
      <c r="A1355" s="29">
        <v>29</v>
      </c>
      <c r="B1355" s="111">
        <v>4</v>
      </c>
      <c r="C1355" s="111">
        <v>33888</v>
      </c>
      <c r="D1355" s="111" t="s">
        <v>758</v>
      </c>
      <c r="E1355" s="111" t="s">
        <v>448</v>
      </c>
      <c r="F1355" s="265">
        <v>42209</v>
      </c>
      <c r="G1355" s="265">
        <v>42249</v>
      </c>
      <c r="H1355" s="266">
        <f t="shared" si="102"/>
        <v>1252.2</v>
      </c>
      <c r="I1355" s="266">
        <f t="shared" si="103"/>
        <v>0</v>
      </c>
      <c r="J1355" s="295">
        <v>1</v>
      </c>
      <c r="K1355" s="266">
        <f t="shared" si="104"/>
        <v>12.522</v>
      </c>
      <c r="L1355" s="312">
        <f t="shared" si="105"/>
        <v>40</v>
      </c>
      <c r="M1355" s="263"/>
      <c r="N1355" s="263"/>
      <c r="O1355" s="263"/>
      <c r="P1355" s="263"/>
      <c r="Q1355" s="263"/>
      <c r="R1355" s="29">
        <v>1252.2</v>
      </c>
      <c r="S1355" s="29">
        <v>0</v>
      </c>
      <c r="T1355" s="29">
        <v>225.4</v>
      </c>
      <c r="U1355" s="29">
        <v>1477.6</v>
      </c>
      <c r="V1355" s="29">
        <v>0</v>
      </c>
      <c r="W1355" s="29">
        <v>1</v>
      </c>
      <c r="X1355" s="29">
        <v>14.776</v>
      </c>
    </row>
    <row r="1356" spans="1:24">
      <c r="A1356" s="29">
        <v>30</v>
      </c>
      <c r="B1356" s="111">
        <v>4</v>
      </c>
      <c r="C1356" s="111">
        <v>33903</v>
      </c>
      <c r="D1356" s="111" t="s">
        <v>757</v>
      </c>
      <c r="E1356" s="111" t="s">
        <v>448</v>
      </c>
      <c r="F1356" s="265">
        <v>42209</v>
      </c>
      <c r="G1356" s="265">
        <v>42251</v>
      </c>
      <c r="H1356" s="266">
        <f t="shared" si="102"/>
        <v>499.34</v>
      </c>
      <c r="I1356" s="266">
        <f t="shared" si="103"/>
        <v>0</v>
      </c>
      <c r="J1356" s="295">
        <v>1</v>
      </c>
      <c r="K1356" s="266">
        <f t="shared" si="104"/>
        <v>4.9934000000000003</v>
      </c>
      <c r="L1356" s="312">
        <f t="shared" si="105"/>
        <v>42</v>
      </c>
      <c r="M1356" s="263"/>
      <c r="N1356" s="263"/>
      <c r="O1356" s="263"/>
      <c r="P1356" s="263"/>
      <c r="Q1356" s="263"/>
      <c r="R1356" s="29">
        <v>499.34</v>
      </c>
      <c r="S1356" s="29">
        <v>0</v>
      </c>
      <c r="T1356" s="29">
        <v>89.88</v>
      </c>
      <c r="U1356" s="29">
        <v>589.22</v>
      </c>
      <c r="V1356" s="29">
        <v>0</v>
      </c>
      <c r="W1356" s="29">
        <v>1</v>
      </c>
      <c r="X1356" s="29">
        <v>5.8921999999999999</v>
      </c>
    </row>
    <row r="1357" spans="1:24">
      <c r="A1357" s="29">
        <v>31</v>
      </c>
      <c r="B1357" s="111">
        <v>4</v>
      </c>
      <c r="C1357" s="111">
        <v>34001</v>
      </c>
      <c r="D1357" s="111" t="s">
        <v>758</v>
      </c>
      <c r="E1357" s="111" t="s">
        <v>448</v>
      </c>
      <c r="F1357" s="265">
        <v>42210</v>
      </c>
      <c r="G1357" s="265">
        <v>42249</v>
      </c>
      <c r="H1357" s="266">
        <f t="shared" si="102"/>
        <v>7787.93</v>
      </c>
      <c r="I1357" s="266">
        <f t="shared" si="103"/>
        <v>0</v>
      </c>
      <c r="J1357" s="295">
        <v>1</v>
      </c>
      <c r="K1357" s="266">
        <f t="shared" si="104"/>
        <v>77.879300000000001</v>
      </c>
      <c r="L1357" s="312">
        <f t="shared" si="105"/>
        <v>39</v>
      </c>
      <c r="M1357" s="263"/>
      <c r="N1357" s="263"/>
      <c r="O1357" s="263"/>
      <c r="P1357" s="263"/>
      <c r="Q1357" s="263"/>
      <c r="R1357" s="29">
        <v>7787.93</v>
      </c>
      <c r="S1357" s="29">
        <v>0</v>
      </c>
      <c r="T1357" s="29">
        <v>1401.83</v>
      </c>
      <c r="U1357" s="29">
        <v>9189.76</v>
      </c>
      <c r="V1357" s="29">
        <v>0</v>
      </c>
      <c r="W1357" s="29">
        <v>1</v>
      </c>
      <c r="X1357" s="29">
        <v>91.897599999999997</v>
      </c>
    </row>
    <row r="1358" spans="1:24">
      <c r="A1358" s="29">
        <v>32</v>
      </c>
      <c r="B1358" s="111">
        <v>4</v>
      </c>
      <c r="C1358" s="111">
        <v>34003</v>
      </c>
      <c r="D1358" s="111" t="s">
        <v>758</v>
      </c>
      <c r="E1358" s="111" t="s">
        <v>448</v>
      </c>
      <c r="F1358" s="265">
        <v>42210</v>
      </c>
      <c r="G1358" s="265">
        <v>42249</v>
      </c>
      <c r="H1358" s="266">
        <f t="shared" si="102"/>
        <v>2131.85</v>
      </c>
      <c r="I1358" s="266">
        <f t="shared" si="103"/>
        <v>0</v>
      </c>
      <c r="J1358" s="295">
        <v>1</v>
      </c>
      <c r="K1358" s="266">
        <f t="shared" si="104"/>
        <v>21.3185</v>
      </c>
      <c r="L1358" s="312">
        <f t="shared" si="105"/>
        <v>39</v>
      </c>
      <c r="M1358" s="263"/>
      <c r="N1358" s="263"/>
      <c r="O1358" s="263"/>
      <c r="P1358" s="263"/>
      <c r="Q1358" s="263"/>
      <c r="R1358" s="29">
        <v>2131.85</v>
      </c>
      <c r="S1358" s="29">
        <v>0</v>
      </c>
      <c r="T1358" s="29">
        <v>383.73</v>
      </c>
      <c r="U1358" s="29">
        <v>2515.58</v>
      </c>
      <c r="V1358" s="29">
        <v>0</v>
      </c>
      <c r="W1358" s="29">
        <v>1</v>
      </c>
      <c r="X1358" s="29">
        <v>25.155799999999999</v>
      </c>
    </row>
    <row r="1359" spans="1:24">
      <c r="A1359" s="29">
        <v>33</v>
      </c>
      <c r="B1359" s="111">
        <v>4</v>
      </c>
      <c r="C1359" s="111">
        <v>34002</v>
      </c>
      <c r="D1359" s="111" t="s">
        <v>758</v>
      </c>
      <c r="E1359" s="111" t="s">
        <v>448</v>
      </c>
      <c r="F1359" s="265">
        <v>42210</v>
      </c>
      <c r="G1359" s="265">
        <v>42249</v>
      </c>
      <c r="H1359" s="266">
        <f t="shared" ref="H1359:H1390" si="106">R1359+S1359</f>
        <v>7989.29</v>
      </c>
      <c r="I1359" s="266">
        <f t="shared" ref="I1359:I1390" si="107">V1359</f>
        <v>0</v>
      </c>
      <c r="J1359" s="295">
        <v>1</v>
      </c>
      <c r="K1359" s="266">
        <f t="shared" ref="K1359:K1390" si="108">(H1359-I1359)*J1359%</f>
        <v>79.892899999999997</v>
      </c>
      <c r="L1359" s="312">
        <f t="shared" ref="L1359:L1390" si="109">G1359-F1359</f>
        <v>39</v>
      </c>
      <c r="M1359" s="263"/>
      <c r="N1359" s="263"/>
      <c r="O1359" s="263"/>
      <c r="P1359" s="263"/>
      <c r="Q1359" s="263"/>
      <c r="R1359" s="29">
        <v>7144.97</v>
      </c>
      <c r="S1359" s="29">
        <v>844.32</v>
      </c>
      <c r="T1359" s="29">
        <v>1286.0899999999999</v>
      </c>
      <c r="U1359" s="29">
        <v>9275.3799999999992</v>
      </c>
      <c r="V1359" s="29">
        <v>0</v>
      </c>
      <c r="W1359" s="29">
        <v>1</v>
      </c>
      <c r="X1359" s="29">
        <v>92.753799999999998</v>
      </c>
    </row>
    <row r="1360" spans="1:24">
      <c r="A1360" s="29">
        <v>34</v>
      </c>
      <c r="B1360" s="111">
        <v>4</v>
      </c>
      <c r="C1360" s="111">
        <v>33987</v>
      </c>
      <c r="D1360" s="111" t="s">
        <v>757</v>
      </c>
      <c r="E1360" s="111" t="s">
        <v>448</v>
      </c>
      <c r="F1360" s="265">
        <v>42210</v>
      </c>
      <c r="G1360" s="265">
        <v>42269</v>
      </c>
      <c r="H1360" s="266">
        <f t="shared" si="106"/>
        <v>1126.3800000000001</v>
      </c>
      <c r="I1360" s="266">
        <f t="shared" si="107"/>
        <v>1329.13</v>
      </c>
      <c r="J1360" s="295">
        <v>0</v>
      </c>
      <c r="K1360" s="266">
        <f t="shared" si="108"/>
        <v>0</v>
      </c>
      <c r="L1360" s="312">
        <f t="shared" si="109"/>
        <v>59</v>
      </c>
      <c r="M1360" s="263"/>
      <c r="N1360" s="263"/>
      <c r="O1360" s="263"/>
      <c r="P1360" s="263"/>
      <c r="Q1360" s="263"/>
      <c r="R1360" s="29">
        <v>1126.3800000000001</v>
      </c>
      <c r="S1360" s="29">
        <v>0</v>
      </c>
      <c r="T1360" s="29">
        <v>202.75</v>
      </c>
      <c r="U1360" s="29">
        <v>1329.13</v>
      </c>
      <c r="V1360" s="29">
        <v>1329.13</v>
      </c>
      <c r="W1360" s="29">
        <v>1</v>
      </c>
      <c r="X1360" s="29">
        <v>0</v>
      </c>
    </row>
    <row r="1361" spans="1:24">
      <c r="A1361" s="29">
        <v>35</v>
      </c>
      <c r="B1361" s="111">
        <v>4</v>
      </c>
      <c r="C1361" s="111">
        <v>34055</v>
      </c>
      <c r="D1361" s="111" t="s">
        <v>757</v>
      </c>
      <c r="E1361" s="111" t="s">
        <v>448</v>
      </c>
      <c r="F1361" s="265">
        <v>42212</v>
      </c>
      <c r="G1361" s="265">
        <v>42251</v>
      </c>
      <c r="H1361" s="266">
        <f t="shared" si="106"/>
        <v>363.29</v>
      </c>
      <c r="I1361" s="266">
        <f t="shared" si="107"/>
        <v>0</v>
      </c>
      <c r="J1361" s="295">
        <v>1</v>
      </c>
      <c r="K1361" s="266">
        <f t="shared" si="108"/>
        <v>3.6329000000000002</v>
      </c>
      <c r="L1361" s="312">
        <f t="shared" si="109"/>
        <v>39</v>
      </c>
      <c r="M1361" s="263"/>
      <c r="N1361" s="263"/>
      <c r="O1361" s="263"/>
      <c r="P1361" s="263"/>
      <c r="Q1361" s="263"/>
      <c r="R1361" s="29">
        <v>363.29</v>
      </c>
      <c r="S1361" s="29">
        <v>0</v>
      </c>
      <c r="T1361" s="29">
        <v>65.39</v>
      </c>
      <c r="U1361" s="29">
        <v>428.68</v>
      </c>
      <c r="V1361" s="29">
        <v>0</v>
      </c>
      <c r="W1361" s="29">
        <v>1</v>
      </c>
      <c r="X1361" s="29">
        <v>4.2868000000000004</v>
      </c>
    </row>
    <row r="1362" spans="1:24">
      <c r="A1362" s="29">
        <v>36</v>
      </c>
      <c r="B1362" s="111">
        <v>4</v>
      </c>
      <c r="C1362" s="111">
        <v>34051</v>
      </c>
      <c r="D1362" s="111" t="s">
        <v>758</v>
      </c>
      <c r="E1362" s="111" t="s">
        <v>448</v>
      </c>
      <c r="F1362" s="265">
        <v>42212</v>
      </c>
      <c r="G1362" s="265">
        <v>42249</v>
      </c>
      <c r="H1362" s="266">
        <f t="shared" si="106"/>
        <v>1056.31</v>
      </c>
      <c r="I1362" s="266">
        <f t="shared" si="107"/>
        <v>0</v>
      </c>
      <c r="J1362" s="295">
        <v>1</v>
      </c>
      <c r="K1362" s="266">
        <f t="shared" si="108"/>
        <v>10.5631</v>
      </c>
      <c r="L1362" s="312">
        <f t="shared" si="109"/>
        <v>37</v>
      </c>
      <c r="M1362" s="263"/>
      <c r="N1362" s="263"/>
      <c r="O1362" s="263"/>
      <c r="P1362" s="263"/>
      <c r="Q1362" s="263"/>
      <c r="R1362" s="29">
        <v>1056.31</v>
      </c>
      <c r="S1362" s="29">
        <v>0</v>
      </c>
      <c r="T1362" s="29">
        <v>190.14</v>
      </c>
      <c r="U1362" s="29">
        <v>1246.45</v>
      </c>
      <c r="V1362" s="29">
        <v>0</v>
      </c>
      <c r="W1362" s="29">
        <v>1</v>
      </c>
      <c r="X1362" s="29">
        <v>12.464499999999999</v>
      </c>
    </row>
    <row r="1363" spans="1:24">
      <c r="A1363" s="29">
        <v>37</v>
      </c>
      <c r="B1363" s="111">
        <v>4</v>
      </c>
      <c r="C1363" s="111">
        <v>34047</v>
      </c>
      <c r="D1363" s="111" t="s">
        <v>757</v>
      </c>
      <c r="E1363" s="111" t="s">
        <v>448</v>
      </c>
      <c r="F1363" s="265">
        <v>42212</v>
      </c>
      <c r="G1363" s="265">
        <v>42251</v>
      </c>
      <c r="H1363" s="266">
        <f t="shared" si="106"/>
        <v>113.67</v>
      </c>
      <c r="I1363" s="266">
        <f t="shared" si="107"/>
        <v>0</v>
      </c>
      <c r="J1363" s="295">
        <v>1</v>
      </c>
      <c r="K1363" s="266">
        <f t="shared" si="108"/>
        <v>1.1367</v>
      </c>
      <c r="L1363" s="312">
        <f t="shared" si="109"/>
        <v>39</v>
      </c>
      <c r="M1363" s="263"/>
      <c r="N1363" s="263"/>
      <c r="O1363" s="263"/>
      <c r="P1363" s="263"/>
      <c r="Q1363" s="263"/>
      <c r="R1363" s="29">
        <v>113.67</v>
      </c>
      <c r="S1363" s="29">
        <v>0</v>
      </c>
      <c r="T1363" s="29">
        <v>20.46</v>
      </c>
      <c r="U1363" s="29">
        <v>134.13</v>
      </c>
      <c r="V1363" s="29">
        <v>0</v>
      </c>
      <c r="W1363" s="29">
        <v>1</v>
      </c>
      <c r="X1363" s="29">
        <v>1.3412999999999999</v>
      </c>
    </row>
    <row r="1364" spans="1:24">
      <c r="A1364" s="29">
        <v>38</v>
      </c>
      <c r="B1364" s="111">
        <v>4</v>
      </c>
      <c r="C1364" s="111">
        <v>34048</v>
      </c>
      <c r="D1364" s="111" t="s">
        <v>759</v>
      </c>
      <c r="E1364" s="111" t="s">
        <v>448</v>
      </c>
      <c r="F1364" s="265">
        <v>42212</v>
      </c>
      <c r="G1364" s="265">
        <v>42269</v>
      </c>
      <c r="H1364" s="266">
        <f t="shared" si="106"/>
        <v>488.35</v>
      </c>
      <c r="I1364" s="266">
        <f t="shared" si="107"/>
        <v>0</v>
      </c>
      <c r="J1364" s="295">
        <v>1</v>
      </c>
      <c r="K1364" s="266">
        <f t="shared" si="108"/>
        <v>4.8835000000000006</v>
      </c>
      <c r="L1364" s="312">
        <f t="shared" si="109"/>
        <v>57</v>
      </c>
      <c r="M1364" s="263"/>
      <c r="N1364" s="263"/>
      <c r="O1364" s="263"/>
      <c r="P1364" s="263"/>
      <c r="Q1364" s="263"/>
      <c r="R1364" s="29">
        <v>488.35</v>
      </c>
      <c r="S1364" s="29">
        <v>0</v>
      </c>
      <c r="T1364" s="29">
        <v>87.9</v>
      </c>
      <c r="U1364" s="29">
        <v>576.25</v>
      </c>
      <c r="V1364" s="29">
        <v>0</v>
      </c>
      <c r="W1364" s="29">
        <v>1</v>
      </c>
      <c r="X1364" s="29">
        <v>5.7625000000000002</v>
      </c>
    </row>
    <row r="1365" spans="1:24">
      <c r="A1365" s="29">
        <v>39</v>
      </c>
      <c r="B1365" s="111">
        <v>4</v>
      </c>
      <c r="C1365" s="111">
        <v>34049</v>
      </c>
      <c r="D1365" s="111" t="s">
        <v>758</v>
      </c>
      <c r="E1365" s="111" t="s">
        <v>448</v>
      </c>
      <c r="F1365" s="265">
        <v>42212</v>
      </c>
      <c r="G1365" s="265">
        <v>42249</v>
      </c>
      <c r="H1365" s="266">
        <f t="shared" si="106"/>
        <v>316.73</v>
      </c>
      <c r="I1365" s="266">
        <f t="shared" si="107"/>
        <v>0</v>
      </c>
      <c r="J1365" s="295">
        <v>1</v>
      </c>
      <c r="K1365" s="266">
        <f t="shared" si="108"/>
        <v>3.1673000000000004</v>
      </c>
      <c r="L1365" s="312">
        <f t="shared" si="109"/>
        <v>37</v>
      </c>
      <c r="M1365" s="263"/>
      <c r="N1365" s="263"/>
      <c r="O1365" s="263"/>
      <c r="P1365" s="263"/>
      <c r="Q1365" s="263"/>
      <c r="R1365" s="29">
        <v>316.73</v>
      </c>
      <c r="S1365" s="29">
        <v>0</v>
      </c>
      <c r="T1365" s="29">
        <v>57.01</v>
      </c>
      <c r="U1365" s="29">
        <v>373.74</v>
      </c>
      <c r="V1365" s="29">
        <v>0</v>
      </c>
      <c r="W1365" s="29">
        <v>1</v>
      </c>
      <c r="X1365" s="29">
        <v>3.7374000000000001</v>
      </c>
    </row>
    <row r="1366" spans="1:24">
      <c r="A1366" s="29">
        <v>40</v>
      </c>
      <c r="B1366" s="111">
        <v>4</v>
      </c>
      <c r="C1366" s="111">
        <v>34185</v>
      </c>
      <c r="D1366" s="111" t="s">
        <v>759</v>
      </c>
      <c r="E1366" s="111" t="s">
        <v>448</v>
      </c>
      <c r="F1366" s="265">
        <v>42215</v>
      </c>
      <c r="G1366" s="265">
        <v>42269</v>
      </c>
      <c r="H1366" s="266">
        <f t="shared" si="106"/>
        <v>693.18</v>
      </c>
      <c r="I1366" s="266">
        <f t="shared" si="107"/>
        <v>0</v>
      </c>
      <c r="J1366" s="295">
        <v>1</v>
      </c>
      <c r="K1366" s="266">
        <f t="shared" si="108"/>
        <v>6.9318</v>
      </c>
      <c r="L1366" s="312">
        <f t="shared" si="109"/>
        <v>54</v>
      </c>
      <c r="M1366" s="263"/>
      <c r="N1366" s="263"/>
      <c r="O1366" s="263"/>
      <c r="P1366" s="263"/>
      <c r="Q1366" s="263"/>
      <c r="R1366" s="29">
        <v>693.18</v>
      </c>
      <c r="S1366" s="29">
        <v>0</v>
      </c>
      <c r="T1366" s="29">
        <v>124.77</v>
      </c>
      <c r="U1366" s="29">
        <v>817.95</v>
      </c>
      <c r="V1366" s="29">
        <v>0</v>
      </c>
      <c r="W1366" s="29">
        <v>1</v>
      </c>
      <c r="X1366" s="29">
        <v>8.1795000000000009</v>
      </c>
    </row>
    <row r="1367" spans="1:24">
      <c r="A1367" s="29">
        <v>41</v>
      </c>
      <c r="B1367" s="111">
        <v>4</v>
      </c>
      <c r="C1367" s="111">
        <v>34257</v>
      </c>
      <c r="D1367" s="111" t="s">
        <v>759</v>
      </c>
      <c r="E1367" s="111" t="s">
        <v>448</v>
      </c>
      <c r="F1367" s="265">
        <v>42215</v>
      </c>
      <c r="G1367" s="265">
        <v>42269</v>
      </c>
      <c r="H1367" s="266">
        <f t="shared" si="106"/>
        <v>4526.5200000000004</v>
      </c>
      <c r="I1367" s="266">
        <f t="shared" si="107"/>
        <v>0</v>
      </c>
      <c r="J1367" s="295">
        <v>1</v>
      </c>
      <c r="K1367" s="266">
        <f t="shared" si="108"/>
        <v>45.265200000000007</v>
      </c>
      <c r="L1367" s="312">
        <f t="shared" si="109"/>
        <v>54</v>
      </c>
      <c r="M1367" s="263"/>
      <c r="N1367" s="263"/>
      <c r="O1367" s="263"/>
      <c r="P1367" s="263"/>
      <c r="Q1367" s="263"/>
      <c r="R1367" s="29">
        <v>4526.5200000000004</v>
      </c>
      <c r="S1367" s="29">
        <v>0</v>
      </c>
      <c r="T1367" s="29">
        <v>814.77</v>
      </c>
      <c r="U1367" s="29">
        <v>5341.29</v>
      </c>
      <c r="V1367" s="29">
        <v>0</v>
      </c>
      <c r="W1367" s="29">
        <v>1</v>
      </c>
      <c r="X1367" s="29">
        <v>53.4129</v>
      </c>
    </row>
    <row r="1368" spans="1:24">
      <c r="A1368" s="29">
        <v>42</v>
      </c>
      <c r="B1368" s="111">
        <v>4</v>
      </c>
      <c r="C1368" s="111">
        <v>34280</v>
      </c>
      <c r="D1368" s="111" t="s">
        <v>758</v>
      </c>
      <c r="E1368" s="111" t="s">
        <v>448</v>
      </c>
      <c r="F1368" s="265">
        <v>42216</v>
      </c>
      <c r="G1368" s="265">
        <v>42249</v>
      </c>
      <c r="H1368" s="266">
        <f t="shared" si="106"/>
        <v>5963.03</v>
      </c>
      <c r="I1368" s="266">
        <f t="shared" si="107"/>
        <v>0</v>
      </c>
      <c r="J1368" s="295">
        <v>1</v>
      </c>
      <c r="K1368" s="266">
        <f t="shared" si="108"/>
        <v>59.630299999999998</v>
      </c>
      <c r="L1368" s="312">
        <f t="shared" si="109"/>
        <v>33</v>
      </c>
      <c r="M1368" s="263"/>
      <c r="N1368" s="263"/>
      <c r="O1368" s="263"/>
      <c r="P1368" s="263"/>
      <c r="Q1368" s="263"/>
      <c r="R1368" s="29">
        <v>5963.03</v>
      </c>
      <c r="S1368" s="29">
        <v>0</v>
      </c>
      <c r="T1368" s="29">
        <v>1073.3499999999999</v>
      </c>
      <c r="U1368" s="29">
        <v>7036.38</v>
      </c>
      <c r="V1368" s="29">
        <v>0</v>
      </c>
      <c r="W1368" s="29">
        <v>1</v>
      </c>
      <c r="X1368" s="29">
        <v>70.363799999999998</v>
      </c>
    </row>
    <row r="1369" spans="1:24">
      <c r="A1369" s="29">
        <v>43</v>
      </c>
      <c r="B1369" s="111">
        <v>4</v>
      </c>
      <c r="C1369" s="111">
        <v>34279</v>
      </c>
      <c r="D1369" s="111" t="s">
        <v>758</v>
      </c>
      <c r="E1369" s="111" t="s">
        <v>448</v>
      </c>
      <c r="F1369" s="265">
        <v>42216</v>
      </c>
      <c r="G1369" s="265">
        <v>42249</v>
      </c>
      <c r="H1369" s="266">
        <f t="shared" si="106"/>
        <v>299.85000000000002</v>
      </c>
      <c r="I1369" s="266">
        <f t="shared" si="107"/>
        <v>0</v>
      </c>
      <c r="J1369" s="295">
        <v>1</v>
      </c>
      <c r="K1369" s="266">
        <f t="shared" si="108"/>
        <v>2.9985000000000004</v>
      </c>
      <c r="L1369" s="312">
        <f t="shared" si="109"/>
        <v>33</v>
      </c>
      <c r="M1369" s="263"/>
      <c r="N1369" s="263"/>
      <c r="O1369" s="263"/>
      <c r="P1369" s="263"/>
      <c r="Q1369" s="263"/>
      <c r="R1369" s="29">
        <v>299.85000000000002</v>
      </c>
      <c r="S1369" s="29">
        <v>0</v>
      </c>
      <c r="T1369" s="29">
        <v>53.97</v>
      </c>
      <c r="U1369" s="29">
        <v>353.82</v>
      </c>
      <c r="V1369" s="29">
        <v>0</v>
      </c>
      <c r="W1369" s="29">
        <v>1</v>
      </c>
      <c r="X1369" s="29">
        <v>3.5381999999999998</v>
      </c>
    </row>
    <row r="1370" spans="1:24">
      <c r="A1370" s="29">
        <v>44</v>
      </c>
      <c r="B1370" s="111">
        <v>4</v>
      </c>
      <c r="C1370" s="111">
        <v>34282</v>
      </c>
      <c r="D1370" s="111" t="s">
        <v>758</v>
      </c>
      <c r="E1370" s="111" t="s">
        <v>448</v>
      </c>
      <c r="F1370" s="265">
        <v>42216</v>
      </c>
      <c r="G1370" s="265">
        <v>42249</v>
      </c>
      <c r="H1370" s="266">
        <f t="shared" si="106"/>
        <v>5250.21</v>
      </c>
      <c r="I1370" s="266">
        <f t="shared" si="107"/>
        <v>0</v>
      </c>
      <c r="J1370" s="295">
        <v>1</v>
      </c>
      <c r="K1370" s="266">
        <f t="shared" si="108"/>
        <v>52.502099999999999</v>
      </c>
      <c r="L1370" s="312">
        <f t="shared" si="109"/>
        <v>33</v>
      </c>
      <c r="M1370" s="263"/>
      <c r="N1370" s="263"/>
      <c r="O1370" s="263"/>
      <c r="P1370" s="263"/>
      <c r="Q1370" s="263"/>
      <c r="R1370" s="29">
        <v>5250.21</v>
      </c>
      <c r="S1370" s="29">
        <v>0</v>
      </c>
      <c r="T1370" s="29">
        <v>945.04</v>
      </c>
      <c r="U1370" s="29">
        <v>6195.25</v>
      </c>
      <c r="V1370" s="29">
        <v>0</v>
      </c>
      <c r="W1370" s="29">
        <v>1</v>
      </c>
      <c r="X1370" s="29">
        <v>61.952500000000001</v>
      </c>
    </row>
    <row r="1371" spans="1:24">
      <c r="A1371" s="29">
        <v>45</v>
      </c>
      <c r="B1371" s="111">
        <v>4</v>
      </c>
      <c r="C1371" s="111">
        <v>34278</v>
      </c>
      <c r="D1371" s="111" t="s">
        <v>758</v>
      </c>
      <c r="E1371" s="111" t="s">
        <v>448</v>
      </c>
      <c r="F1371" s="265">
        <v>42216</v>
      </c>
      <c r="G1371" s="265">
        <v>42249</v>
      </c>
      <c r="H1371" s="266">
        <f t="shared" si="106"/>
        <v>730.12</v>
      </c>
      <c r="I1371" s="266">
        <f t="shared" si="107"/>
        <v>0</v>
      </c>
      <c r="J1371" s="295">
        <v>1</v>
      </c>
      <c r="K1371" s="266">
        <f t="shared" si="108"/>
        <v>7.3012000000000006</v>
      </c>
      <c r="L1371" s="312">
        <f t="shared" si="109"/>
        <v>33</v>
      </c>
      <c r="M1371" s="263"/>
      <c r="N1371" s="263"/>
      <c r="O1371" s="263"/>
      <c r="P1371" s="263"/>
      <c r="Q1371" s="263"/>
      <c r="R1371" s="29">
        <v>730.12</v>
      </c>
      <c r="S1371" s="29">
        <v>0</v>
      </c>
      <c r="T1371" s="29">
        <v>131.41999999999999</v>
      </c>
      <c r="U1371" s="29">
        <v>861.54</v>
      </c>
      <c r="V1371" s="29">
        <v>0</v>
      </c>
      <c r="W1371" s="29">
        <v>1</v>
      </c>
      <c r="X1371" s="29">
        <v>8.6153999999999993</v>
      </c>
    </row>
    <row r="1372" spans="1:24">
      <c r="A1372" s="29">
        <v>46</v>
      </c>
      <c r="B1372" s="111">
        <v>4</v>
      </c>
      <c r="C1372" s="111">
        <v>34306</v>
      </c>
      <c r="D1372" s="111" t="s">
        <v>758</v>
      </c>
      <c r="E1372" s="111" t="s">
        <v>448</v>
      </c>
      <c r="F1372" s="265">
        <v>42216</v>
      </c>
      <c r="G1372" s="265">
        <v>42249</v>
      </c>
      <c r="H1372" s="266">
        <f t="shared" si="106"/>
        <v>1778.33</v>
      </c>
      <c r="I1372" s="266">
        <f t="shared" si="107"/>
        <v>0</v>
      </c>
      <c r="J1372" s="295">
        <v>1</v>
      </c>
      <c r="K1372" s="266">
        <f t="shared" si="108"/>
        <v>17.783300000000001</v>
      </c>
      <c r="L1372" s="312">
        <f t="shared" si="109"/>
        <v>33</v>
      </c>
      <c r="M1372" s="263"/>
      <c r="N1372" s="263"/>
      <c r="O1372" s="263"/>
      <c r="P1372" s="263"/>
      <c r="Q1372" s="263"/>
      <c r="R1372" s="29">
        <v>1778.33</v>
      </c>
      <c r="S1372" s="29">
        <v>0</v>
      </c>
      <c r="T1372" s="29">
        <v>320.10000000000002</v>
      </c>
      <c r="U1372" s="29">
        <v>2098.4299999999998</v>
      </c>
      <c r="V1372" s="29">
        <v>0</v>
      </c>
      <c r="W1372" s="29">
        <v>1</v>
      </c>
      <c r="X1372" s="29">
        <v>20.984300000000001</v>
      </c>
    </row>
    <row r="1373" spans="1:24">
      <c r="A1373" s="29">
        <v>47</v>
      </c>
      <c r="B1373" s="111">
        <v>4</v>
      </c>
      <c r="C1373" s="111">
        <v>34347</v>
      </c>
      <c r="D1373" s="111" t="s">
        <v>757</v>
      </c>
      <c r="E1373" s="111" t="s">
        <v>448</v>
      </c>
      <c r="F1373" s="265">
        <v>42216</v>
      </c>
      <c r="G1373" s="265">
        <v>42251</v>
      </c>
      <c r="H1373" s="266">
        <f t="shared" si="106"/>
        <v>373.9</v>
      </c>
      <c r="I1373" s="266">
        <f t="shared" si="107"/>
        <v>0</v>
      </c>
      <c r="J1373" s="295">
        <v>1</v>
      </c>
      <c r="K1373" s="266">
        <f t="shared" si="108"/>
        <v>3.7389999999999999</v>
      </c>
      <c r="L1373" s="312">
        <f t="shared" si="109"/>
        <v>35</v>
      </c>
      <c r="M1373" s="263"/>
      <c r="N1373" s="263"/>
      <c r="O1373" s="263"/>
      <c r="P1373" s="263"/>
      <c r="Q1373" s="263"/>
      <c r="R1373" s="29">
        <v>373.9</v>
      </c>
      <c r="S1373" s="29">
        <v>0</v>
      </c>
      <c r="T1373" s="29">
        <v>67.3</v>
      </c>
      <c r="U1373" s="29">
        <v>441.2</v>
      </c>
      <c r="V1373" s="29">
        <v>0</v>
      </c>
      <c r="W1373" s="29">
        <v>1</v>
      </c>
      <c r="X1373" s="29">
        <v>4.4119999999999999</v>
      </c>
    </row>
    <row r="1374" spans="1:24">
      <c r="A1374" s="29">
        <v>48</v>
      </c>
      <c r="B1374" s="111">
        <v>4</v>
      </c>
      <c r="C1374" s="111">
        <v>34397</v>
      </c>
      <c r="D1374" s="111" t="s">
        <v>758</v>
      </c>
      <c r="E1374" s="111" t="s">
        <v>448</v>
      </c>
      <c r="F1374" s="265">
        <v>42216</v>
      </c>
      <c r="G1374" s="265">
        <v>42249</v>
      </c>
      <c r="H1374" s="266">
        <f t="shared" si="106"/>
        <v>7199.54</v>
      </c>
      <c r="I1374" s="266">
        <f t="shared" si="107"/>
        <v>0</v>
      </c>
      <c r="J1374" s="295">
        <v>1</v>
      </c>
      <c r="K1374" s="266">
        <f t="shared" si="108"/>
        <v>71.995400000000004</v>
      </c>
      <c r="L1374" s="312">
        <f t="shared" si="109"/>
        <v>33</v>
      </c>
      <c r="M1374" s="263"/>
      <c r="N1374" s="263"/>
      <c r="O1374" s="263"/>
      <c r="P1374" s="263"/>
      <c r="Q1374" s="263"/>
      <c r="R1374" s="29">
        <v>7199.54</v>
      </c>
      <c r="S1374" s="29">
        <v>0</v>
      </c>
      <c r="T1374" s="29">
        <v>1295.92</v>
      </c>
      <c r="U1374" s="29">
        <v>8495.4599999999991</v>
      </c>
      <c r="V1374" s="29">
        <v>0</v>
      </c>
      <c r="W1374" s="29">
        <v>1</v>
      </c>
      <c r="X1374" s="29">
        <v>84.954599999999999</v>
      </c>
    </row>
    <row r="1375" spans="1:24">
      <c r="A1375" s="29">
        <v>49</v>
      </c>
      <c r="B1375" s="111">
        <v>6</v>
      </c>
      <c r="C1375" s="111">
        <v>1034</v>
      </c>
      <c r="D1375" s="111" t="s">
        <v>458</v>
      </c>
      <c r="E1375" s="111" t="s">
        <v>448</v>
      </c>
      <c r="F1375" s="265">
        <v>42222</v>
      </c>
      <c r="G1375" s="265">
        <v>42277</v>
      </c>
      <c r="H1375" s="266">
        <f t="shared" si="106"/>
        <v>6616.02</v>
      </c>
      <c r="I1375" s="266">
        <f t="shared" si="107"/>
        <v>7806.9</v>
      </c>
      <c r="J1375" s="295">
        <v>0</v>
      </c>
      <c r="K1375" s="266">
        <f t="shared" si="108"/>
        <v>0</v>
      </c>
      <c r="L1375" s="312">
        <f t="shared" si="109"/>
        <v>55</v>
      </c>
      <c r="M1375" s="263"/>
      <c r="N1375" s="263"/>
      <c r="O1375" s="263"/>
      <c r="P1375" s="263"/>
      <c r="Q1375" s="263"/>
      <c r="R1375" s="29">
        <v>6616.02</v>
      </c>
      <c r="S1375" s="29">
        <v>0</v>
      </c>
      <c r="T1375" s="29">
        <v>1190.8800000000001</v>
      </c>
      <c r="U1375" s="29">
        <v>7806.9</v>
      </c>
      <c r="V1375" s="29">
        <v>7806.9</v>
      </c>
      <c r="W1375" s="29">
        <v>1</v>
      </c>
      <c r="X1375" s="29">
        <v>0</v>
      </c>
    </row>
    <row r="1376" spans="1:24">
      <c r="A1376" s="29">
        <v>50</v>
      </c>
      <c r="B1376" s="111">
        <v>4</v>
      </c>
      <c r="C1376" s="111">
        <v>34493</v>
      </c>
      <c r="D1376" s="111" t="s">
        <v>758</v>
      </c>
      <c r="E1376" s="111" t="s">
        <v>448</v>
      </c>
      <c r="F1376" s="265">
        <v>42216</v>
      </c>
      <c r="G1376" s="265">
        <v>42249</v>
      </c>
      <c r="H1376" s="266">
        <f t="shared" si="106"/>
        <v>18740.88</v>
      </c>
      <c r="I1376" s="266">
        <f t="shared" si="107"/>
        <v>0</v>
      </c>
      <c r="J1376" s="295">
        <v>1</v>
      </c>
      <c r="K1376" s="266">
        <f t="shared" si="108"/>
        <v>187.40880000000001</v>
      </c>
      <c r="L1376" s="312">
        <f t="shared" si="109"/>
        <v>33</v>
      </c>
      <c r="M1376" s="263"/>
      <c r="N1376" s="263"/>
      <c r="O1376" s="263"/>
      <c r="P1376" s="263"/>
      <c r="Q1376" s="263"/>
      <c r="R1376" s="29">
        <v>18740.88</v>
      </c>
      <c r="S1376" s="29">
        <v>0</v>
      </c>
      <c r="T1376" s="29">
        <v>3373.36</v>
      </c>
      <c r="U1376" s="29">
        <v>22114.240000000002</v>
      </c>
      <c r="V1376" s="29">
        <v>0</v>
      </c>
      <c r="W1376" s="29">
        <v>1</v>
      </c>
      <c r="X1376" s="29">
        <v>221.14240000000001</v>
      </c>
    </row>
    <row r="1377" spans="1:24">
      <c r="A1377" s="29">
        <v>51</v>
      </c>
      <c r="B1377" s="111">
        <v>6</v>
      </c>
      <c r="C1377" s="111">
        <v>1035</v>
      </c>
      <c r="D1377" s="111" t="s">
        <v>458</v>
      </c>
      <c r="E1377" s="111" t="s">
        <v>448</v>
      </c>
      <c r="F1377" s="265">
        <v>42222</v>
      </c>
      <c r="G1377" s="265">
        <v>42277</v>
      </c>
      <c r="H1377" s="266">
        <f t="shared" si="106"/>
        <v>4983.05</v>
      </c>
      <c r="I1377" s="266">
        <f t="shared" si="107"/>
        <v>5880</v>
      </c>
      <c r="J1377" s="295">
        <v>0</v>
      </c>
      <c r="K1377" s="266">
        <f t="shared" si="108"/>
        <v>0</v>
      </c>
      <c r="L1377" s="312">
        <f t="shared" si="109"/>
        <v>55</v>
      </c>
      <c r="M1377" s="263"/>
      <c r="N1377" s="263"/>
      <c r="O1377" s="263"/>
      <c r="P1377" s="263"/>
      <c r="Q1377" s="263"/>
      <c r="R1377" s="29">
        <v>4983.05</v>
      </c>
      <c r="S1377" s="29">
        <v>0</v>
      </c>
      <c r="T1377" s="29">
        <v>896.95</v>
      </c>
      <c r="U1377" s="29">
        <v>5880</v>
      </c>
      <c r="V1377" s="29">
        <v>5880</v>
      </c>
      <c r="W1377" s="29">
        <v>1</v>
      </c>
      <c r="X1377" s="29">
        <v>0</v>
      </c>
    </row>
    <row r="1378" spans="1:24">
      <c r="A1378" s="29">
        <v>52</v>
      </c>
      <c r="B1378" s="111">
        <v>4</v>
      </c>
      <c r="C1378" s="111">
        <v>34584</v>
      </c>
      <c r="D1378" s="111" t="s">
        <v>758</v>
      </c>
      <c r="E1378" s="111" t="s">
        <v>448</v>
      </c>
      <c r="F1378" s="265">
        <v>42216</v>
      </c>
      <c r="G1378" s="265">
        <v>42249</v>
      </c>
      <c r="H1378" s="266">
        <f t="shared" si="106"/>
        <v>8855.7099999999991</v>
      </c>
      <c r="I1378" s="266">
        <f t="shared" si="107"/>
        <v>0</v>
      </c>
      <c r="J1378" s="295">
        <v>1</v>
      </c>
      <c r="K1378" s="266">
        <f t="shared" si="108"/>
        <v>88.557099999999991</v>
      </c>
      <c r="L1378" s="312">
        <f t="shared" si="109"/>
        <v>33</v>
      </c>
      <c r="M1378" s="263"/>
      <c r="N1378" s="263"/>
      <c r="O1378" s="263"/>
      <c r="P1378" s="263"/>
      <c r="Q1378" s="263"/>
      <c r="R1378" s="29">
        <v>8855.7099999999991</v>
      </c>
      <c r="S1378" s="29">
        <v>0</v>
      </c>
      <c r="T1378" s="29">
        <v>1594.03</v>
      </c>
      <c r="U1378" s="29">
        <v>10449.74</v>
      </c>
      <c r="V1378" s="29">
        <v>0</v>
      </c>
      <c r="W1378" s="29">
        <v>1</v>
      </c>
      <c r="X1378" s="29">
        <v>104.4974</v>
      </c>
    </row>
    <row r="1379" spans="1:24">
      <c r="A1379" s="29">
        <v>53</v>
      </c>
      <c r="B1379" s="111">
        <v>4</v>
      </c>
      <c r="C1379" s="111">
        <v>34767</v>
      </c>
      <c r="D1379" s="111" t="s">
        <v>758</v>
      </c>
      <c r="E1379" s="111" t="s">
        <v>448</v>
      </c>
      <c r="F1379" s="265">
        <v>42220</v>
      </c>
      <c r="G1379" s="265">
        <v>42264</v>
      </c>
      <c r="H1379" s="266">
        <f t="shared" si="106"/>
        <v>1167.6600000000001</v>
      </c>
      <c r="I1379" s="266">
        <f t="shared" si="107"/>
        <v>0</v>
      </c>
      <c r="J1379" s="295">
        <v>1</v>
      </c>
      <c r="K1379" s="266">
        <f t="shared" si="108"/>
        <v>11.676600000000001</v>
      </c>
      <c r="L1379" s="312">
        <f t="shared" si="109"/>
        <v>44</v>
      </c>
      <c r="M1379" s="263"/>
      <c r="N1379" s="263"/>
      <c r="O1379" s="263"/>
      <c r="P1379" s="263"/>
      <c r="Q1379" s="263"/>
      <c r="R1379" s="29">
        <v>1167.6600000000001</v>
      </c>
      <c r="S1379" s="29">
        <v>0</v>
      </c>
      <c r="T1379" s="29">
        <v>210.18</v>
      </c>
      <c r="U1379" s="29">
        <v>1377.84</v>
      </c>
      <c r="V1379" s="29">
        <v>0</v>
      </c>
      <c r="W1379" s="29">
        <v>1</v>
      </c>
      <c r="X1379" s="29">
        <v>13.7784</v>
      </c>
    </row>
    <row r="1380" spans="1:24">
      <c r="A1380" s="29">
        <v>54</v>
      </c>
      <c r="B1380" s="111">
        <v>4</v>
      </c>
      <c r="C1380" s="111">
        <v>34868</v>
      </c>
      <c r="D1380" s="111" t="s">
        <v>759</v>
      </c>
      <c r="E1380" s="111" t="s">
        <v>448</v>
      </c>
      <c r="F1380" s="265">
        <v>42221</v>
      </c>
      <c r="G1380" s="265">
        <v>42269</v>
      </c>
      <c r="H1380" s="266">
        <f t="shared" si="106"/>
        <v>640.74</v>
      </c>
      <c r="I1380" s="266">
        <f t="shared" si="107"/>
        <v>0</v>
      </c>
      <c r="J1380" s="295">
        <v>1</v>
      </c>
      <c r="K1380" s="266">
        <f t="shared" si="108"/>
        <v>6.4074</v>
      </c>
      <c r="L1380" s="312">
        <f t="shared" si="109"/>
        <v>48</v>
      </c>
      <c r="M1380" s="263"/>
      <c r="N1380" s="263"/>
      <c r="O1380" s="263"/>
      <c r="P1380" s="263"/>
      <c r="Q1380" s="263"/>
      <c r="R1380" s="29">
        <v>640.74</v>
      </c>
      <c r="S1380" s="29">
        <v>0</v>
      </c>
      <c r="T1380" s="29">
        <v>115.33</v>
      </c>
      <c r="U1380" s="29">
        <v>756.07</v>
      </c>
      <c r="V1380" s="29">
        <v>0</v>
      </c>
      <c r="W1380" s="29">
        <v>1</v>
      </c>
      <c r="X1380" s="29">
        <v>7.5606999999999998</v>
      </c>
    </row>
    <row r="1381" spans="1:24">
      <c r="A1381" s="29">
        <v>55</v>
      </c>
      <c r="B1381" s="111">
        <v>4</v>
      </c>
      <c r="C1381" s="111">
        <v>34922</v>
      </c>
      <c r="D1381" s="111" t="s">
        <v>760</v>
      </c>
      <c r="E1381" s="111" t="s">
        <v>448</v>
      </c>
      <c r="F1381" s="265">
        <v>42222</v>
      </c>
      <c r="G1381" s="265">
        <v>42277</v>
      </c>
      <c r="H1381" s="266">
        <f t="shared" si="106"/>
        <v>435.57</v>
      </c>
      <c r="I1381" s="266">
        <f t="shared" si="107"/>
        <v>0</v>
      </c>
      <c r="J1381" s="295">
        <v>1</v>
      </c>
      <c r="K1381" s="266">
        <f t="shared" si="108"/>
        <v>4.3556999999999997</v>
      </c>
      <c r="L1381" s="312">
        <f t="shared" si="109"/>
        <v>55</v>
      </c>
      <c r="M1381" s="263"/>
      <c r="N1381" s="263"/>
      <c r="O1381" s="263"/>
      <c r="P1381" s="263"/>
      <c r="Q1381" s="263"/>
      <c r="R1381" s="29">
        <v>435.57</v>
      </c>
      <c r="S1381" s="29">
        <v>0</v>
      </c>
      <c r="T1381" s="29">
        <v>78.400000000000006</v>
      </c>
      <c r="U1381" s="29">
        <v>513.97</v>
      </c>
      <c r="V1381" s="29">
        <v>0</v>
      </c>
      <c r="W1381" s="29">
        <v>1</v>
      </c>
      <c r="X1381" s="29">
        <v>5.1397000000000004</v>
      </c>
    </row>
    <row r="1382" spans="1:24">
      <c r="A1382" s="29">
        <v>56</v>
      </c>
      <c r="B1382" s="111">
        <v>4</v>
      </c>
      <c r="C1382" s="111">
        <v>34902</v>
      </c>
      <c r="D1382" s="111" t="s">
        <v>758</v>
      </c>
      <c r="E1382" s="111" t="s">
        <v>448</v>
      </c>
      <c r="F1382" s="265">
        <v>42222</v>
      </c>
      <c r="G1382" s="265">
        <v>42264</v>
      </c>
      <c r="H1382" s="266">
        <f t="shared" si="106"/>
        <v>6144.54</v>
      </c>
      <c r="I1382" s="266">
        <f t="shared" si="107"/>
        <v>0</v>
      </c>
      <c r="J1382" s="295">
        <v>1</v>
      </c>
      <c r="K1382" s="266">
        <f t="shared" si="108"/>
        <v>61.445399999999999</v>
      </c>
      <c r="L1382" s="312">
        <f t="shared" si="109"/>
        <v>42</v>
      </c>
      <c r="M1382" s="263"/>
      <c r="N1382" s="263"/>
      <c r="O1382" s="263"/>
      <c r="P1382" s="263"/>
      <c r="Q1382" s="263"/>
      <c r="R1382" s="29">
        <v>6144.54</v>
      </c>
      <c r="S1382" s="29">
        <v>0</v>
      </c>
      <c r="T1382" s="29">
        <v>1106.02</v>
      </c>
      <c r="U1382" s="29">
        <v>7250.56</v>
      </c>
      <c r="V1382" s="29">
        <v>0</v>
      </c>
      <c r="W1382" s="29">
        <v>1</v>
      </c>
      <c r="X1382" s="29">
        <v>72.505600000000001</v>
      </c>
    </row>
    <row r="1383" spans="1:24">
      <c r="A1383" s="29">
        <v>57</v>
      </c>
      <c r="B1383" s="111">
        <v>4</v>
      </c>
      <c r="C1383" s="111">
        <v>34923</v>
      </c>
      <c r="D1383" s="111" t="s">
        <v>760</v>
      </c>
      <c r="E1383" s="111" t="s">
        <v>448</v>
      </c>
      <c r="F1383" s="265">
        <v>42222</v>
      </c>
      <c r="G1383" s="265">
        <v>42277</v>
      </c>
      <c r="H1383" s="266">
        <f t="shared" si="106"/>
        <v>423.32</v>
      </c>
      <c r="I1383" s="266">
        <f t="shared" si="107"/>
        <v>0</v>
      </c>
      <c r="J1383" s="295">
        <v>1</v>
      </c>
      <c r="K1383" s="266">
        <f t="shared" si="108"/>
        <v>4.2332000000000001</v>
      </c>
      <c r="L1383" s="312">
        <f t="shared" si="109"/>
        <v>55</v>
      </c>
      <c r="M1383" s="263"/>
      <c r="N1383" s="263"/>
      <c r="O1383" s="263"/>
      <c r="P1383" s="263"/>
      <c r="Q1383" s="263"/>
      <c r="R1383" s="29">
        <v>423.32</v>
      </c>
      <c r="S1383" s="29">
        <v>0</v>
      </c>
      <c r="T1383" s="29">
        <v>76.2</v>
      </c>
      <c r="U1383" s="29">
        <v>499.52</v>
      </c>
      <c r="V1383" s="29">
        <v>0</v>
      </c>
      <c r="W1383" s="29">
        <v>1</v>
      </c>
      <c r="X1383" s="29">
        <v>4.9951999999999996</v>
      </c>
    </row>
    <row r="1384" spans="1:24">
      <c r="A1384" s="29">
        <v>58</v>
      </c>
      <c r="B1384" s="111">
        <v>1</v>
      </c>
      <c r="C1384" s="111">
        <v>307416</v>
      </c>
      <c r="D1384" s="111" t="s">
        <v>759</v>
      </c>
      <c r="E1384" s="111" t="s">
        <v>448</v>
      </c>
      <c r="F1384" s="265">
        <v>42223</v>
      </c>
      <c r="G1384" s="265">
        <v>42273</v>
      </c>
      <c r="H1384" s="266">
        <f t="shared" si="106"/>
        <v>8597.2900000000009</v>
      </c>
      <c r="I1384" s="266">
        <f t="shared" si="107"/>
        <v>0</v>
      </c>
      <c r="J1384" s="295">
        <v>1</v>
      </c>
      <c r="K1384" s="266">
        <f t="shared" si="108"/>
        <v>85.97290000000001</v>
      </c>
      <c r="L1384" s="312">
        <f t="shared" si="109"/>
        <v>50</v>
      </c>
      <c r="M1384" s="263"/>
      <c r="N1384" s="263"/>
      <c r="O1384" s="263"/>
      <c r="P1384" s="263"/>
      <c r="Q1384" s="263"/>
      <c r="R1384" s="29">
        <v>8597.2900000000009</v>
      </c>
      <c r="S1384" s="29">
        <v>0</v>
      </c>
      <c r="T1384" s="29">
        <v>1547.51</v>
      </c>
      <c r="U1384" s="29">
        <v>10144.799999999999</v>
      </c>
      <c r="V1384" s="29">
        <v>0</v>
      </c>
      <c r="W1384" s="29">
        <v>1</v>
      </c>
      <c r="X1384" s="29">
        <v>101.44799999999999</v>
      </c>
    </row>
    <row r="1385" spans="1:24">
      <c r="A1385" s="29">
        <v>59</v>
      </c>
      <c r="B1385" s="111">
        <v>1</v>
      </c>
      <c r="C1385" s="111">
        <v>307488</v>
      </c>
      <c r="D1385" s="111" t="s">
        <v>758</v>
      </c>
      <c r="E1385" s="111" t="s">
        <v>448</v>
      </c>
      <c r="F1385" s="265">
        <v>42226</v>
      </c>
      <c r="G1385" s="265">
        <v>42264</v>
      </c>
      <c r="H1385" s="266">
        <f t="shared" si="106"/>
        <v>1871.08</v>
      </c>
      <c r="I1385" s="266">
        <f t="shared" si="107"/>
        <v>0</v>
      </c>
      <c r="J1385" s="295">
        <v>1</v>
      </c>
      <c r="K1385" s="266">
        <f t="shared" si="108"/>
        <v>18.710799999999999</v>
      </c>
      <c r="L1385" s="312">
        <f t="shared" si="109"/>
        <v>38</v>
      </c>
      <c r="M1385" s="263"/>
      <c r="N1385" s="263"/>
      <c r="O1385" s="263"/>
      <c r="P1385" s="263"/>
      <c r="Q1385" s="263"/>
      <c r="R1385" s="29">
        <v>1871.08</v>
      </c>
      <c r="S1385" s="29">
        <v>0</v>
      </c>
      <c r="T1385" s="29">
        <v>336.79</v>
      </c>
      <c r="U1385" s="29">
        <v>2207.87</v>
      </c>
      <c r="V1385" s="29">
        <v>0</v>
      </c>
      <c r="W1385" s="29">
        <v>1</v>
      </c>
      <c r="X1385" s="29">
        <v>22.078700000000001</v>
      </c>
    </row>
    <row r="1386" spans="1:24">
      <c r="A1386" s="29">
        <v>60</v>
      </c>
      <c r="B1386" s="111">
        <v>1</v>
      </c>
      <c r="C1386" s="111">
        <v>307559</v>
      </c>
      <c r="D1386" s="111" t="s">
        <v>758</v>
      </c>
      <c r="E1386" s="111" t="s">
        <v>448</v>
      </c>
      <c r="F1386" s="265">
        <v>42227</v>
      </c>
      <c r="G1386" s="265">
        <v>42264</v>
      </c>
      <c r="H1386" s="266">
        <f t="shared" si="106"/>
        <v>7817.47</v>
      </c>
      <c r="I1386" s="266">
        <f t="shared" si="107"/>
        <v>0</v>
      </c>
      <c r="J1386" s="295">
        <v>1</v>
      </c>
      <c r="K1386" s="266">
        <f t="shared" si="108"/>
        <v>78.174700000000001</v>
      </c>
      <c r="L1386" s="312">
        <f t="shared" si="109"/>
        <v>37</v>
      </c>
      <c r="M1386" s="263"/>
      <c r="N1386" s="263"/>
      <c r="O1386" s="263"/>
      <c r="P1386" s="263"/>
      <c r="Q1386" s="263"/>
      <c r="R1386" s="29">
        <v>7817.47</v>
      </c>
      <c r="S1386" s="29">
        <v>0</v>
      </c>
      <c r="T1386" s="29">
        <v>1407.14</v>
      </c>
      <c r="U1386" s="29">
        <v>9224.61</v>
      </c>
      <c r="V1386" s="29">
        <v>0</v>
      </c>
      <c r="W1386" s="29">
        <v>1</v>
      </c>
      <c r="X1386" s="29">
        <v>92.246099999999998</v>
      </c>
    </row>
    <row r="1387" spans="1:24">
      <c r="A1387" s="29">
        <v>61</v>
      </c>
      <c r="B1387" s="111">
        <v>1</v>
      </c>
      <c r="C1387" s="111">
        <v>307560</v>
      </c>
      <c r="D1387" s="111" t="s">
        <v>758</v>
      </c>
      <c r="E1387" s="111" t="s">
        <v>448</v>
      </c>
      <c r="F1387" s="265">
        <v>42227</v>
      </c>
      <c r="G1387" s="265">
        <v>42264</v>
      </c>
      <c r="H1387" s="266">
        <f t="shared" si="106"/>
        <v>9713.92</v>
      </c>
      <c r="I1387" s="266">
        <f t="shared" si="107"/>
        <v>2787.89</v>
      </c>
      <c r="J1387" s="295">
        <v>1</v>
      </c>
      <c r="K1387" s="266">
        <f t="shared" si="108"/>
        <v>69.260300000000015</v>
      </c>
      <c r="L1387" s="312">
        <f t="shared" si="109"/>
        <v>37</v>
      </c>
      <c r="M1387" s="263"/>
      <c r="N1387" s="263"/>
      <c r="O1387" s="263"/>
      <c r="P1387" s="263"/>
      <c r="Q1387" s="263"/>
      <c r="R1387" s="29">
        <v>9713.92</v>
      </c>
      <c r="S1387" s="29">
        <v>0</v>
      </c>
      <c r="T1387" s="29">
        <v>1748.51</v>
      </c>
      <c r="U1387" s="29">
        <v>11462.43</v>
      </c>
      <c r="V1387" s="29">
        <v>2787.89</v>
      </c>
      <c r="W1387" s="29">
        <v>1</v>
      </c>
      <c r="X1387" s="29">
        <v>86.745400000000004</v>
      </c>
    </row>
    <row r="1388" spans="1:24">
      <c r="A1388" s="29">
        <v>62</v>
      </c>
      <c r="B1388" s="111">
        <v>1</v>
      </c>
      <c r="C1388" s="111">
        <v>307561</v>
      </c>
      <c r="D1388" s="111" t="s">
        <v>758</v>
      </c>
      <c r="E1388" s="111" t="s">
        <v>448</v>
      </c>
      <c r="F1388" s="265">
        <v>42227</v>
      </c>
      <c r="G1388" s="265">
        <v>42264</v>
      </c>
      <c r="H1388" s="266">
        <f t="shared" si="106"/>
        <v>7661.64</v>
      </c>
      <c r="I1388" s="266">
        <f t="shared" si="107"/>
        <v>0</v>
      </c>
      <c r="J1388" s="295">
        <v>1</v>
      </c>
      <c r="K1388" s="266">
        <f t="shared" si="108"/>
        <v>76.616399999999999</v>
      </c>
      <c r="L1388" s="312">
        <f t="shared" si="109"/>
        <v>37</v>
      </c>
      <c r="M1388" s="263"/>
      <c r="N1388" s="263"/>
      <c r="O1388" s="263"/>
      <c r="P1388" s="263"/>
      <c r="Q1388" s="263"/>
      <c r="R1388" s="29">
        <v>7661.64</v>
      </c>
      <c r="S1388" s="29">
        <v>0</v>
      </c>
      <c r="T1388" s="29">
        <v>1379.1</v>
      </c>
      <c r="U1388" s="29">
        <v>9040.74</v>
      </c>
      <c r="V1388" s="29">
        <v>0</v>
      </c>
      <c r="W1388" s="29">
        <v>1</v>
      </c>
      <c r="X1388" s="29">
        <v>90.407399999999996</v>
      </c>
    </row>
    <row r="1389" spans="1:24">
      <c r="A1389" s="29">
        <v>63</v>
      </c>
      <c r="B1389" s="111">
        <v>1</v>
      </c>
      <c r="C1389" s="111">
        <v>307778</v>
      </c>
      <c r="D1389" s="111" t="s">
        <v>766</v>
      </c>
      <c r="E1389" s="111" t="s">
        <v>448</v>
      </c>
      <c r="F1389" s="265">
        <v>42229</v>
      </c>
      <c r="G1389" s="265">
        <v>42277</v>
      </c>
      <c r="H1389" s="266">
        <f t="shared" si="106"/>
        <v>570.67999999999995</v>
      </c>
      <c r="I1389" s="266">
        <f t="shared" si="107"/>
        <v>0</v>
      </c>
      <c r="J1389" s="295">
        <v>1</v>
      </c>
      <c r="K1389" s="266">
        <f t="shared" si="108"/>
        <v>5.7067999999999994</v>
      </c>
      <c r="L1389" s="312">
        <f t="shared" si="109"/>
        <v>48</v>
      </c>
      <c r="M1389" s="263"/>
      <c r="N1389" s="263"/>
      <c r="O1389" s="263"/>
      <c r="P1389" s="263"/>
      <c r="Q1389" s="263"/>
      <c r="R1389" s="29">
        <v>570.67999999999995</v>
      </c>
      <c r="S1389" s="29">
        <v>0</v>
      </c>
      <c r="T1389" s="29">
        <v>102.72</v>
      </c>
      <c r="U1389" s="29">
        <v>673.4</v>
      </c>
      <c r="V1389" s="29">
        <v>0</v>
      </c>
      <c r="W1389" s="29">
        <v>1</v>
      </c>
      <c r="X1389" s="29">
        <v>6.734</v>
      </c>
    </row>
    <row r="1390" spans="1:24">
      <c r="A1390" s="29">
        <v>64</v>
      </c>
      <c r="B1390" s="111">
        <v>1</v>
      </c>
      <c r="C1390" s="111">
        <v>307856</v>
      </c>
      <c r="D1390" s="111" t="s">
        <v>758</v>
      </c>
      <c r="E1390" s="111" t="s">
        <v>448</v>
      </c>
      <c r="F1390" s="265">
        <v>42229</v>
      </c>
      <c r="G1390" s="265">
        <v>42264</v>
      </c>
      <c r="H1390" s="266">
        <f t="shared" si="106"/>
        <v>668.69</v>
      </c>
      <c r="I1390" s="266">
        <f t="shared" si="107"/>
        <v>0</v>
      </c>
      <c r="J1390" s="295">
        <v>1</v>
      </c>
      <c r="K1390" s="266">
        <f t="shared" si="108"/>
        <v>6.6869000000000005</v>
      </c>
      <c r="L1390" s="312">
        <f t="shared" si="109"/>
        <v>35</v>
      </c>
      <c r="M1390" s="263"/>
      <c r="N1390" s="263"/>
      <c r="O1390" s="263"/>
      <c r="P1390" s="263"/>
      <c r="Q1390" s="263"/>
      <c r="R1390" s="29">
        <v>668.69</v>
      </c>
      <c r="S1390" s="29">
        <v>0</v>
      </c>
      <c r="T1390" s="29">
        <v>120.36</v>
      </c>
      <c r="U1390" s="29">
        <v>789.05</v>
      </c>
      <c r="V1390" s="29">
        <v>0</v>
      </c>
      <c r="W1390" s="29">
        <v>1</v>
      </c>
      <c r="X1390" s="29">
        <v>7.8905000000000003</v>
      </c>
    </row>
    <row r="1391" spans="1:24">
      <c r="A1391" s="29">
        <v>65</v>
      </c>
      <c r="B1391" s="111">
        <v>1</v>
      </c>
      <c r="C1391" s="111">
        <v>307843</v>
      </c>
      <c r="D1391" s="111" t="s">
        <v>758</v>
      </c>
      <c r="E1391" s="111" t="s">
        <v>448</v>
      </c>
      <c r="F1391" s="265">
        <v>42229</v>
      </c>
      <c r="G1391" s="265">
        <v>42264</v>
      </c>
      <c r="H1391" s="266">
        <f t="shared" ref="H1391:H1413" si="110">R1391+S1391</f>
        <v>5711.74</v>
      </c>
      <c r="I1391" s="266">
        <f t="shared" ref="I1391:I1413" si="111">V1391</f>
        <v>2158.9699999999998</v>
      </c>
      <c r="J1391" s="295">
        <v>1</v>
      </c>
      <c r="K1391" s="266">
        <f t="shared" ref="K1391:K1395" si="112">(H1391-I1391)*J1391%</f>
        <v>35.527700000000003</v>
      </c>
      <c r="L1391" s="312">
        <f t="shared" ref="L1391:L1413" si="113">G1391-F1391</f>
        <v>35</v>
      </c>
      <c r="M1391" s="263"/>
      <c r="N1391" s="263"/>
      <c r="O1391" s="263"/>
      <c r="P1391" s="263"/>
      <c r="Q1391" s="263"/>
      <c r="R1391" s="29">
        <v>5711.74</v>
      </c>
      <c r="S1391" s="29">
        <v>0</v>
      </c>
      <c r="T1391" s="29">
        <v>1028.1099999999999</v>
      </c>
      <c r="U1391" s="29">
        <v>6739.85</v>
      </c>
      <c r="V1391" s="29">
        <v>2158.9699999999998</v>
      </c>
      <c r="W1391" s="29">
        <v>1</v>
      </c>
      <c r="X1391" s="29">
        <v>45.808799999999998</v>
      </c>
    </row>
    <row r="1392" spans="1:24">
      <c r="A1392" s="29">
        <v>66</v>
      </c>
      <c r="B1392" s="111">
        <v>1</v>
      </c>
      <c r="C1392" s="111">
        <v>307874</v>
      </c>
      <c r="D1392" s="111" t="s">
        <v>759</v>
      </c>
      <c r="E1392" s="111" t="s">
        <v>448</v>
      </c>
      <c r="F1392" s="265">
        <v>42229</v>
      </c>
      <c r="G1392" s="265">
        <v>42273</v>
      </c>
      <c r="H1392" s="266">
        <f t="shared" si="110"/>
        <v>8129.04</v>
      </c>
      <c r="I1392" s="266">
        <f t="shared" si="111"/>
        <v>0</v>
      </c>
      <c r="J1392" s="295">
        <v>1</v>
      </c>
      <c r="K1392" s="266">
        <f t="shared" si="112"/>
        <v>81.290400000000005</v>
      </c>
      <c r="L1392" s="312">
        <f t="shared" si="113"/>
        <v>44</v>
      </c>
      <c r="M1392" s="263"/>
      <c r="N1392" s="263"/>
      <c r="O1392" s="263"/>
      <c r="P1392" s="263"/>
      <c r="Q1392" s="263"/>
      <c r="R1392" s="29">
        <v>8129.04</v>
      </c>
      <c r="S1392" s="29">
        <v>0</v>
      </c>
      <c r="T1392" s="29">
        <v>1463.23</v>
      </c>
      <c r="U1392" s="29">
        <v>9592.27</v>
      </c>
      <c r="V1392" s="29">
        <v>0</v>
      </c>
      <c r="W1392" s="29">
        <v>1</v>
      </c>
      <c r="X1392" s="29">
        <v>95.922700000000006</v>
      </c>
    </row>
    <row r="1393" spans="1:24">
      <c r="A1393" s="29">
        <v>67</v>
      </c>
      <c r="B1393" s="111">
        <v>1</v>
      </c>
      <c r="C1393" s="111">
        <v>307910</v>
      </c>
      <c r="D1393" s="111" t="s">
        <v>764</v>
      </c>
      <c r="E1393" s="111" t="s">
        <v>448</v>
      </c>
      <c r="F1393" s="265">
        <v>42230</v>
      </c>
      <c r="G1393" s="265">
        <v>42268</v>
      </c>
      <c r="H1393" s="266">
        <f t="shared" si="110"/>
        <v>2178.41</v>
      </c>
      <c r="I1393" s="266">
        <f t="shared" si="111"/>
        <v>0</v>
      </c>
      <c r="J1393" s="295">
        <v>1</v>
      </c>
      <c r="K1393" s="266">
        <f t="shared" si="112"/>
        <v>21.784099999999999</v>
      </c>
      <c r="L1393" s="312">
        <f t="shared" si="113"/>
        <v>38</v>
      </c>
      <c r="M1393" s="263"/>
      <c r="N1393" s="263"/>
      <c r="O1393" s="263"/>
      <c r="P1393" s="263"/>
      <c r="Q1393" s="263"/>
      <c r="R1393" s="29">
        <v>2178.41</v>
      </c>
      <c r="S1393" s="29">
        <v>0</v>
      </c>
      <c r="T1393" s="29">
        <v>392.11</v>
      </c>
      <c r="U1393" s="29">
        <v>2570.52</v>
      </c>
      <c r="V1393" s="29">
        <v>0</v>
      </c>
      <c r="W1393" s="29">
        <v>1</v>
      </c>
      <c r="X1393" s="29">
        <v>25.705200000000001</v>
      </c>
    </row>
    <row r="1394" spans="1:24">
      <c r="A1394" s="29">
        <v>68</v>
      </c>
      <c r="B1394" s="111">
        <v>1</v>
      </c>
      <c r="C1394" s="111">
        <v>308940</v>
      </c>
      <c r="D1394" s="111" t="s">
        <v>772</v>
      </c>
      <c r="E1394" s="111" t="s">
        <v>448</v>
      </c>
      <c r="F1394" s="265">
        <v>42243</v>
      </c>
      <c r="G1394" s="265">
        <v>42256</v>
      </c>
      <c r="H1394" s="266">
        <f t="shared" si="110"/>
        <v>6780</v>
      </c>
      <c r="I1394" s="266">
        <f t="shared" si="111"/>
        <v>0</v>
      </c>
      <c r="J1394" s="295">
        <v>0.5</v>
      </c>
      <c r="K1394" s="266">
        <f t="shared" si="112"/>
        <v>33.9</v>
      </c>
      <c r="L1394" s="312">
        <f t="shared" si="113"/>
        <v>13</v>
      </c>
      <c r="M1394" s="263"/>
      <c r="N1394" s="263"/>
      <c r="O1394" s="263"/>
      <c r="P1394" s="263"/>
      <c r="Q1394" s="263"/>
      <c r="R1394" s="29">
        <v>6780</v>
      </c>
      <c r="S1394" s="29">
        <v>0</v>
      </c>
      <c r="T1394" s="29">
        <v>1220.4000000000001</v>
      </c>
      <c r="U1394" s="29">
        <v>8000.4</v>
      </c>
      <c r="V1394" s="29">
        <v>0</v>
      </c>
      <c r="W1394" s="29">
        <v>1</v>
      </c>
      <c r="X1394" s="29">
        <v>80.004000000000005</v>
      </c>
    </row>
    <row r="1395" spans="1:24">
      <c r="A1395" s="29">
        <v>69</v>
      </c>
      <c r="B1395" s="111">
        <v>1</v>
      </c>
      <c r="C1395" s="111">
        <v>309827</v>
      </c>
      <c r="D1395" s="111" t="s">
        <v>772</v>
      </c>
      <c r="E1395" s="111" t="s">
        <v>448</v>
      </c>
      <c r="F1395" s="265">
        <v>42252</v>
      </c>
      <c r="G1395" s="265">
        <v>42256</v>
      </c>
      <c r="H1395" s="266">
        <f t="shared" si="110"/>
        <v>29154</v>
      </c>
      <c r="I1395" s="266">
        <f t="shared" si="111"/>
        <v>0</v>
      </c>
      <c r="J1395" s="295">
        <v>0.5</v>
      </c>
      <c r="K1395" s="266">
        <f t="shared" si="112"/>
        <v>145.77000000000001</v>
      </c>
      <c r="L1395" s="312">
        <f t="shared" si="113"/>
        <v>4</v>
      </c>
      <c r="M1395" s="263"/>
      <c r="N1395" s="263"/>
      <c r="O1395" s="263"/>
      <c r="P1395" s="263"/>
      <c r="Q1395" s="263"/>
      <c r="R1395" s="29">
        <v>29154</v>
      </c>
      <c r="S1395" s="29">
        <v>0</v>
      </c>
      <c r="T1395" s="29">
        <v>5247.72</v>
      </c>
      <c r="U1395" s="29">
        <v>34401.72</v>
      </c>
      <c r="V1395" s="29">
        <v>0</v>
      </c>
      <c r="W1395" s="29">
        <v>1</v>
      </c>
      <c r="X1395" s="29">
        <v>344.0172</v>
      </c>
    </row>
    <row r="1396" spans="1:24">
      <c r="A1396" s="29">
        <v>70</v>
      </c>
      <c r="B1396" s="111">
        <v>1</v>
      </c>
      <c r="C1396" s="111">
        <v>309828</v>
      </c>
      <c r="D1396" s="111" t="s">
        <v>761</v>
      </c>
      <c r="E1396" s="111" t="s">
        <v>448</v>
      </c>
      <c r="F1396" s="265">
        <v>42252</v>
      </c>
      <c r="G1396" s="265">
        <v>42255</v>
      </c>
      <c r="H1396" s="266">
        <f t="shared" si="110"/>
        <v>24552.41</v>
      </c>
      <c r="I1396" s="266">
        <f t="shared" si="111"/>
        <v>0</v>
      </c>
      <c r="J1396" s="295">
        <v>0.5</v>
      </c>
      <c r="K1396" s="266">
        <v>133.65</v>
      </c>
      <c r="L1396" s="312">
        <f t="shared" si="113"/>
        <v>3</v>
      </c>
      <c r="M1396" s="263"/>
      <c r="N1396" s="263"/>
      <c r="O1396" s="263"/>
      <c r="P1396" s="263"/>
      <c r="Q1396" s="263"/>
      <c r="R1396" s="29">
        <v>24552.41</v>
      </c>
      <c r="S1396" s="29">
        <v>0</v>
      </c>
      <c r="T1396" s="29">
        <v>4419.43</v>
      </c>
      <c r="U1396" s="29">
        <v>28971.84</v>
      </c>
      <c r="V1396" s="29">
        <v>0</v>
      </c>
      <c r="W1396" s="29">
        <v>1</v>
      </c>
      <c r="X1396" s="29">
        <v>289.71839999999997</v>
      </c>
    </row>
    <row r="1397" spans="1:24">
      <c r="A1397" s="29">
        <v>71</v>
      </c>
      <c r="B1397" s="111">
        <v>1</v>
      </c>
      <c r="C1397" s="111">
        <v>310371</v>
      </c>
      <c r="D1397" s="111" t="s">
        <v>767</v>
      </c>
      <c r="E1397" s="111" t="s">
        <v>448</v>
      </c>
      <c r="F1397" s="265">
        <v>42259</v>
      </c>
      <c r="G1397" s="265">
        <v>42275</v>
      </c>
      <c r="H1397" s="266">
        <f t="shared" si="110"/>
        <v>217.16</v>
      </c>
      <c r="I1397" s="266">
        <f t="shared" si="111"/>
        <v>0</v>
      </c>
      <c r="J1397" s="295">
        <v>1</v>
      </c>
      <c r="K1397" s="266">
        <f t="shared" ref="K1397:K1413" si="114">(H1397-I1397)*J1397%</f>
        <v>2.1716000000000002</v>
      </c>
      <c r="L1397" s="312">
        <f t="shared" si="113"/>
        <v>16</v>
      </c>
      <c r="M1397" s="263"/>
      <c r="N1397" s="263"/>
      <c r="O1397" s="263"/>
      <c r="P1397" s="263"/>
      <c r="Q1397" s="263"/>
      <c r="R1397" s="29">
        <v>217.16</v>
      </c>
      <c r="S1397" s="29">
        <v>0</v>
      </c>
      <c r="T1397" s="29">
        <v>39.090000000000003</v>
      </c>
      <c r="U1397" s="29">
        <v>256.25</v>
      </c>
      <c r="V1397" s="29">
        <v>0</v>
      </c>
      <c r="W1397" s="29">
        <v>1</v>
      </c>
      <c r="X1397" s="29">
        <v>2.5625</v>
      </c>
    </row>
    <row r="1398" spans="1:24">
      <c r="A1398" s="29">
        <v>72</v>
      </c>
      <c r="B1398" s="111">
        <v>1</v>
      </c>
      <c r="C1398" s="111">
        <v>310370</v>
      </c>
      <c r="D1398" s="111" t="s">
        <v>767</v>
      </c>
      <c r="E1398" s="111" t="s">
        <v>448</v>
      </c>
      <c r="F1398" s="265">
        <v>42259</v>
      </c>
      <c r="G1398" s="265">
        <v>42275</v>
      </c>
      <c r="H1398" s="266">
        <f t="shared" si="110"/>
        <v>871.37</v>
      </c>
      <c r="I1398" s="266">
        <f t="shared" si="111"/>
        <v>0</v>
      </c>
      <c r="J1398" s="295">
        <v>1</v>
      </c>
      <c r="K1398" s="266">
        <f t="shared" si="114"/>
        <v>8.7137000000000011</v>
      </c>
      <c r="L1398" s="312">
        <f t="shared" si="113"/>
        <v>16</v>
      </c>
      <c r="M1398" s="263"/>
      <c r="N1398" s="263"/>
      <c r="O1398" s="263"/>
      <c r="P1398" s="263"/>
      <c r="Q1398" s="263"/>
      <c r="R1398" s="29">
        <v>871.37</v>
      </c>
      <c r="S1398" s="29">
        <v>0</v>
      </c>
      <c r="T1398" s="29">
        <v>156.85</v>
      </c>
      <c r="U1398" s="29">
        <v>1028.22</v>
      </c>
      <c r="V1398" s="29">
        <v>0</v>
      </c>
      <c r="W1398" s="29">
        <v>1</v>
      </c>
      <c r="X1398" s="29">
        <v>10.2822</v>
      </c>
    </row>
    <row r="1399" spans="1:24">
      <c r="A1399" s="29">
        <v>73</v>
      </c>
      <c r="B1399" s="111">
        <v>1</v>
      </c>
      <c r="C1399" s="111">
        <v>310538</v>
      </c>
      <c r="D1399" s="111" t="s">
        <v>772</v>
      </c>
      <c r="E1399" s="111" t="s">
        <v>448</v>
      </c>
      <c r="F1399" s="265">
        <v>42262</v>
      </c>
      <c r="G1399" s="265">
        <v>42268</v>
      </c>
      <c r="H1399" s="266">
        <f t="shared" si="110"/>
        <v>27798</v>
      </c>
      <c r="I1399" s="266">
        <f t="shared" si="111"/>
        <v>0</v>
      </c>
      <c r="J1399" s="295">
        <v>0.5</v>
      </c>
      <c r="K1399" s="266">
        <f t="shared" si="114"/>
        <v>138.99</v>
      </c>
      <c r="L1399" s="312">
        <f t="shared" si="113"/>
        <v>6</v>
      </c>
      <c r="M1399" s="263"/>
      <c r="N1399" s="263"/>
      <c r="O1399" s="263"/>
      <c r="P1399" s="263"/>
      <c r="Q1399" s="263"/>
      <c r="R1399" s="29">
        <v>27798</v>
      </c>
      <c r="S1399" s="29">
        <v>0</v>
      </c>
      <c r="T1399" s="29">
        <v>5003.6400000000003</v>
      </c>
      <c r="U1399" s="29">
        <v>32801.64</v>
      </c>
      <c r="V1399" s="29">
        <v>0</v>
      </c>
      <c r="W1399" s="29">
        <v>1</v>
      </c>
      <c r="X1399" s="29">
        <v>328.01639999999998</v>
      </c>
    </row>
    <row r="1400" spans="1:24">
      <c r="A1400" s="29">
        <v>74</v>
      </c>
      <c r="B1400" s="111">
        <v>4</v>
      </c>
      <c r="C1400" s="111">
        <v>34924</v>
      </c>
      <c r="D1400" s="111" t="s">
        <v>758</v>
      </c>
      <c r="E1400" s="111" t="s">
        <v>448</v>
      </c>
      <c r="F1400" s="265">
        <v>42222</v>
      </c>
      <c r="G1400" s="265">
        <v>42264</v>
      </c>
      <c r="H1400" s="266">
        <f t="shared" si="110"/>
        <v>7579.98</v>
      </c>
      <c r="I1400" s="266">
        <f t="shared" si="111"/>
        <v>0</v>
      </c>
      <c r="J1400" s="295">
        <v>1</v>
      </c>
      <c r="K1400" s="266">
        <f t="shared" si="114"/>
        <v>75.799799999999991</v>
      </c>
      <c r="L1400" s="312">
        <f t="shared" si="113"/>
        <v>42</v>
      </c>
      <c r="M1400" s="263"/>
      <c r="N1400" s="263"/>
      <c r="O1400" s="263"/>
      <c r="P1400" s="263"/>
      <c r="Q1400" s="263"/>
      <c r="R1400" s="29">
        <v>7579.98</v>
      </c>
      <c r="S1400" s="29">
        <v>0</v>
      </c>
      <c r="T1400" s="29">
        <v>1364.4</v>
      </c>
      <c r="U1400" s="29">
        <v>8944.3799999999992</v>
      </c>
      <c r="V1400" s="29">
        <v>0</v>
      </c>
      <c r="W1400" s="29">
        <v>1</v>
      </c>
      <c r="X1400" s="29">
        <v>89.443799999999996</v>
      </c>
    </row>
    <row r="1401" spans="1:24">
      <c r="A1401" s="29">
        <v>75</v>
      </c>
      <c r="B1401" s="111">
        <v>1</v>
      </c>
      <c r="C1401" s="111">
        <v>307674</v>
      </c>
      <c r="D1401" s="111" t="s">
        <v>758</v>
      </c>
      <c r="E1401" s="111" t="s">
        <v>448</v>
      </c>
      <c r="F1401" s="265">
        <v>42228</v>
      </c>
      <c r="G1401" s="265">
        <v>42264</v>
      </c>
      <c r="H1401" s="266">
        <f t="shared" si="110"/>
        <v>6317.4</v>
      </c>
      <c r="I1401" s="266">
        <f t="shared" si="111"/>
        <v>0</v>
      </c>
      <c r="J1401" s="295">
        <v>1</v>
      </c>
      <c r="K1401" s="266">
        <f t="shared" si="114"/>
        <v>63.173999999999999</v>
      </c>
      <c r="L1401" s="312">
        <f t="shared" si="113"/>
        <v>36</v>
      </c>
      <c r="M1401" s="263"/>
      <c r="N1401" s="263"/>
      <c r="O1401" s="263"/>
      <c r="P1401" s="263"/>
      <c r="Q1401" s="263"/>
      <c r="R1401" s="29">
        <v>6317.4</v>
      </c>
      <c r="S1401" s="29">
        <v>0</v>
      </c>
      <c r="T1401" s="29">
        <v>1137.1300000000001</v>
      </c>
      <c r="U1401" s="29">
        <v>7454.53</v>
      </c>
      <c r="V1401" s="29">
        <v>0</v>
      </c>
      <c r="W1401" s="29">
        <v>1</v>
      </c>
      <c r="X1401" s="29">
        <v>74.545299999999997</v>
      </c>
    </row>
    <row r="1402" spans="1:24">
      <c r="A1402" s="29">
        <v>76</v>
      </c>
      <c r="B1402" s="111">
        <v>1</v>
      </c>
      <c r="C1402" s="111">
        <v>307600</v>
      </c>
      <c r="D1402" s="111" t="s">
        <v>758</v>
      </c>
      <c r="E1402" s="111" t="s">
        <v>448</v>
      </c>
      <c r="F1402" s="265">
        <v>42227</v>
      </c>
      <c r="G1402" s="265">
        <v>42264</v>
      </c>
      <c r="H1402" s="266">
        <f t="shared" si="110"/>
        <v>336.04</v>
      </c>
      <c r="I1402" s="266">
        <f t="shared" si="111"/>
        <v>0</v>
      </c>
      <c r="J1402" s="295">
        <v>1</v>
      </c>
      <c r="K1402" s="266">
        <f t="shared" si="114"/>
        <v>3.3604000000000003</v>
      </c>
      <c r="L1402" s="312">
        <f t="shared" si="113"/>
        <v>37</v>
      </c>
      <c r="M1402" s="263"/>
      <c r="N1402" s="263"/>
      <c r="O1402" s="263"/>
      <c r="P1402" s="263"/>
      <c r="Q1402" s="263"/>
      <c r="R1402" s="29">
        <v>336.04</v>
      </c>
      <c r="S1402" s="29">
        <v>0</v>
      </c>
      <c r="T1402" s="29">
        <v>60.49</v>
      </c>
      <c r="U1402" s="29">
        <v>396.53</v>
      </c>
      <c r="V1402" s="29">
        <v>0</v>
      </c>
      <c r="W1402" s="29">
        <v>1</v>
      </c>
      <c r="X1402" s="29">
        <v>3.9653</v>
      </c>
    </row>
    <row r="1403" spans="1:24">
      <c r="A1403" s="29">
        <v>77</v>
      </c>
      <c r="B1403" s="111">
        <v>1</v>
      </c>
      <c r="C1403" s="111">
        <v>307505</v>
      </c>
      <c r="D1403" s="111" t="s">
        <v>757</v>
      </c>
      <c r="E1403" s="111" t="s">
        <v>448</v>
      </c>
      <c r="F1403" s="265">
        <v>42226</v>
      </c>
      <c r="G1403" s="265">
        <v>42265</v>
      </c>
      <c r="H1403" s="266">
        <f t="shared" si="110"/>
        <v>672.22</v>
      </c>
      <c r="I1403" s="266">
        <f t="shared" si="111"/>
        <v>0</v>
      </c>
      <c r="J1403" s="295">
        <v>1</v>
      </c>
      <c r="K1403" s="266">
        <f t="shared" si="114"/>
        <v>6.7222000000000008</v>
      </c>
      <c r="L1403" s="312">
        <f t="shared" si="113"/>
        <v>39</v>
      </c>
      <c r="M1403" s="263"/>
      <c r="N1403" s="263"/>
      <c r="O1403" s="263"/>
      <c r="P1403" s="263"/>
      <c r="Q1403" s="263"/>
      <c r="R1403" s="29">
        <v>672.22</v>
      </c>
      <c r="S1403" s="29">
        <v>0</v>
      </c>
      <c r="T1403" s="29">
        <v>121</v>
      </c>
      <c r="U1403" s="29">
        <v>793.22</v>
      </c>
      <c r="V1403" s="29">
        <v>0</v>
      </c>
      <c r="W1403" s="29">
        <v>1</v>
      </c>
      <c r="X1403" s="29">
        <v>7.9321999999999999</v>
      </c>
    </row>
    <row r="1404" spans="1:24">
      <c r="A1404" s="29">
        <v>78</v>
      </c>
      <c r="B1404" s="111">
        <v>1</v>
      </c>
      <c r="C1404" s="111">
        <v>307948</v>
      </c>
      <c r="D1404" s="111" t="s">
        <v>757</v>
      </c>
      <c r="E1404" s="111" t="s">
        <v>448</v>
      </c>
      <c r="F1404" s="265">
        <v>42230</v>
      </c>
      <c r="G1404" s="265">
        <v>42265</v>
      </c>
      <c r="H1404" s="266">
        <f t="shared" si="110"/>
        <v>125.26</v>
      </c>
      <c r="I1404" s="266">
        <f t="shared" si="111"/>
        <v>0</v>
      </c>
      <c r="J1404" s="295">
        <v>1</v>
      </c>
      <c r="K1404" s="266">
        <f t="shared" si="114"/>
        <v>1.2526000000000002</v>
      </c>
      <c r="L1404" s="312">
        <f t="shared" si="113"/>
        <v>35</v>
      </c>
      <c r="M1404" s="263"/>
      <c r="N1404" s="263"/>
      <c r="O1404" s="263"/>
      <c r="P1404" s="263"/>
      <c r="Q1404" s="263"/>
      <c r="R1404" s="29">
        <v>125.26</v>
      </c>
      <c r="S1404" s="29">
        <v>0</v>
      </c>
      <c r="T1404" s="29">
        <v>22.55</v>
      </c>
      <c r="U1404" s="29">
        <v>147.81</v>
      </c>
      <c r="V1404" s="29">
        <v>0</v>
      </c>
      <c r="W1404" s="29">
        <v>1</v>
      </c>
      <c r="X1404" s="29">
        <v>1.4781</v>
      </c>
    </row>
    <row r="1405" spans="1:24">
      <c r="A1405" s="29">
        <v>79</v>
      </c>
      <c r="B1405" s="111">
        <v>1</v>
      </c>
      <c r="C1405" s="111">
        <v>310893</v>
      </c>
      <c r="D1405" s="111" t="s">
        <v>767</v>
      </c>
      <c r="E1405" s="111" t="s">
        <v>448</v>
      </c>
      <c r="F1405" s="265">
        <v>42265</v>
      </c>
      <c r="G1405" s="265">
        <v>42275</v>
      </c>
      <c r="H1405" s="266">
        <f t="shared" si="110"/>
        <v>60.64</v>
      </c>
      <c r="I1405" s="266">
        <f t="shared" si="111"/>
        <v>0</v>
      </c>
      <c r="J1405" s="295">
        <v>1</v>
      </c>
      <c r="K1405" s="266">
        <f t="shared" si="114"/>
        <v>0.60640000000000005</v>
      </c>
      <c r="L1405" s="312">
        <f t="shared" si="113"/>
        <v>10</v>
      </c>
      <c r="M1405" s="263"/>
      <c r="N1405" s="263"/>
      <c r="O1405" s="263"/>
      <c r="P1405" s="263"/>
      <c r="Q1405" s="263"/>
      <c r="R1405" s="29">
        <v>60.64</v>
      </c>
      <c r="S1405" s="29">
        <v>0</v>
      </c>
      <c r="T1405" s="29">
        <v>10.92</v>
      </c>
      <c r="U1405" s="29">
        <v>71.56</v>
      </c>
      <c r="V1405" s="29">
        <v>0</v>
      </c>
      <c r="W1405" s="29">
        <v>1</v>
      </c>
      <c r="X1405" s="29">
        <v>0.71560000000000001</v>
      </c>
    </row>
    <row r="1406" spans="1:24">
      <c r="A1406" s="29">
        <v>80</v>
      </c>
      <c r="B1406" s="111">
        <v>1</v>
      </c>
      <c r="C1406" s="111">
        <v>310895</v>
      </c>
      <c r="D1406" s="111" t="s">
        <v>767</v>
      </c>
      <c r="E1406" s="111" t="s">
        <v>448</v>
      </c>
      <c r="F1406" s="265">
        <v>42265</v>
      </c>
      <c r="G1406" s="265">
        <v>42275</v>
      </c>
      <c r="H1406" s="266">
        <f t="shared" si="110"/>
        <v>871.37</v>
      </c>
      <c r="I1406" s="266">
        <f t="shared" si="111"/>
        <v>0</v>
      </c>
      <c r="J1406" s="295">
        <v>1</v>
      </c>
      <c r="K1406" s="266">
        <f t="shared" si="114"/>
        <v>8.7137000000000011</v>
      </c>
      <c r="L1406" s="312">
        <f t="shared" si="113"/>
        <v>10</v>
      </c>
      <c r="M1406" s="263"/>
      <c r="N1406" s="263"/>
      <c r="O1406" s="263"/>
      <c r="P1406" s="263"/>
      <c r="Q1406" s="263"/>
      <c r="R1406" s="29">
        <v>871.37</v>
      </c>
      <c r="S1406" s="29">
        <v>0</v>
      </c>
      <c r="T1406" s="29">
        <v>156.85</v>
      </c>
      <c r="U1406" s="29">
        <v>1028.22</v>
      </c>
      <c r="V1406" s="29">
        <v>0</v>
      </c>
      <c r="W1406" s="29">
        <v>1</v>
      </c>
      <c r="X1406" s="29">
        <v>10.2822</v>
      </c>
    </row>
    <row r="1407" spans="1:24">
      <c r="A1407" s="29">
        <v>81</v>
      </c>
      <c r="B1407" s="111">
        <v>4</v>
      </c>
      <c r="C1407" s="111">
        <v>32705</v>
      </c>
      <c r="D1407" s="111" t="s">
        <v>768</v>
      </c>
      <c r="E1407" s="111" t="s">
        <v>448</v>
      </c>
      <c r="F1407" s="265">
        <v>42194</v>
      </c>
      <c r="G1407" s="265">
        <v>42266</v>
      </c>
      <c r="H1407" s="266">
        <f t="shared" si="110"/>
        <v>224.38</v>
      </c>
      <c r="I1407" s="266">
        <f t="shared" si="111"/>
        <v>0</v>
      </c>
      <c r="J1407" s="295">
        <v>1</v>
      </c>
      <c r="K1407" s="266">
        <f t="shared" si="114"/>
        <v>2.2437999999999998</v>
      </c>
      <c r="L1407" s="312">
        <f t="shared" si="113"/>
        <v>72</v>
      </c>
      <c r="M1407" s="263"/>
      <c r="N1407" s="263"/>
      <c r="O1407" s="263"/>
      <c r="P1407" s="263"/>
      <c r="Q1407" s="263"/>
      <c r="R1407" s="29">
        <v>224.38</v>
      </c>
      <c r="S1407" s="29">
        <v>0</v>
      </c>
      <c r="T1407" s="29">
        <v>40.39</v>
      </c>
      <c r="U1407" s="29">
        <v>264.77</v>
      </c>
      <c r="V1407" s="29">
        <v>0</v>
      </c>
      <c r="W1407" s="29">
        <v>1</v>
      </c>
      <c r="X1407" s="29">
        <v>2.6476999999999999</v>
      </c>
    </row>
    <row r="1408" spans="1:24">
      <c r="A1408" s="29">
        <v>82</v>
      </c>
      <c r="B1408" s="111">
        <v>4</v>
      </c>
      <c r="C1408" s="111">
        <v>32951</v>
      </c>
      <c r="D1408" s="111" t="s">
        <v>768</v>
      </c>
      <c r="E1408" s="111" t="s">
        <v>448</v>
      </c>
      <c r="F1408" s="265">
        <v>42196</v>
      </c>
      <c r="G1408" s="265">
        <v>42266</v>
      </c>
      <c r="H1408" s="266">
        <f t="shared" si="110"/>
        <v>961.34</v>
      </c>
      <c r="I1408" s="266">
        <f t="shared" si="111"/>
        <v>0</v>
      </c>
      <c r="J1408" s="295">
        <v>1</v>
      </c>
      <c r="K1408" s="266">
        <f t="shared" si="114"/>
        <v>9.6134000000000004</v>
      </c>
      <c r="L1408" s="312">
        <f t="shared" si="113"/>
        <v>70</v>
      </c>
      <c r="M1408" s="263"/>
      <c r="N1408" s="263"/>
      <c r="O1408" s="263"/>
      <c r="P1408" s="263"/>
      <c r="Q1408" s="263"/>
      <c r="R1408" s="29">
        <v>961.34</v>
      </c>
      <c r="S1408" s="29">
        <v>0</v>
      </c>
      <c r="T1408" s="29">
        <v>173.04</v>
      </c>
      <c r="U1408" s="29">
        <v>1134.3800000000001</v>
      </c>
      <c r="V1408" s="29">
        <v>0</v>
      </c>
      <c r="W1408" s="29">
        <v>1</v>
      </c>
      <c r="X1408" s="29">
        <v>11.3438</v>
      </c>
    </row>
    <row r="1409" spans="1:24">
      <c r="A1409" s="29">
        <v>83</v>
      </c>
      <c r="B1409" s="111">
        <v>6</v>
      </c>
      <c r="C1409" s="111">
        <v>1068</v>
      </c>
      <c r="D1409" s="111" t="s">
        <v>467</v>
      </c>
      <c r="E1409" s="111" t="s">
        <v>448</v>
      </c>
      <c r="F1409" s="265">
        <v>42248</v>
      </c>
      <c r="G1409" s="265">
        <v>42270</v>
      </c>
      <c r="H1409" s="266">
        <f t="shared" si="110"/>
        <v>4729.58</v>
      </c>
      <c r="I1409" s="266">
        <f t="shared" si="111"/>
        <v>0</v>
      </c>
      <c r="J1409" s="295">
        <v>1</v>
      </c>
      <c r="K1409" s="266">
        <f t="shared" si="114"/>
        <v>47.2958</v>
      </c>
      <c r="L1409" s="312">
        <f t="shared" si="113"/>
        <v>22</v>
      </c>
      <c r="M1409" s="263"/>
      <c r="N1409" s="263"/>
      <c r="O1409" s="263"/>
      <c r="P1409" s="263"/>
      <c r="Q1409" s="263"/>
      <c r="R1409" s="29">
        <v>4729.58</v>
      </c>
      <c r="S1409" s="29">
        <v>0</v>
      </c>
      <c r="T1409" s="29">
        <v>851.32</v>
      </c>
      <c r="U1409" s="29">
        <v>5580.9</v>
      </c>
      <c r="V1409" s="29">
        <v>0</v>
      </c>
      <c r="W1409" s="29">
        <v>1</v>
      </c>
      <c r="X1409" s="29">
        <v>55.808999999999997</v>
      </c>
    </row>
    <row r="1410" spans="1:24">
      <c r="A1410" s="29">
        <v>84</v>
      </c>
      <c r="B1410" s="111">
        <v>6</v>
      </c>
      <c r="C1410" s="111">
        <v>1055</v>
      </c>
      <c r="D1410" s="111" t="s">
        <v>381</v>
      </c>
      <c r="E1410" s="111" t="s">
        <v>382</v>
      </c>
      <c r="F1410" s="265">
        <v>42242</v>
      </c>
      <c r="G1410" s="265">
        <v>42272</v>
      </c>
      <c r="H1410" s="266">
        <f t="shared" si="110"/>
        <v>9782.2000000000007</v>
      </c>
      <c r="I1410" s="266">
        <f t="shared" si="111"/>
        <v>0</v>
      </c>
      <c r="J1410" s="295">
        <v>1</v>
      </c>
      <c r="K1410" s="266">
        <f t="shared" si="114"/>
        <v>97.822000000000003</v>
      </c>
      <c r="L1410" s="312">
        <f t="shared" si="113"/>
        <v>30</v>
      </c>
      <c r="M1410" s="263"/>
      <c r="N1410" s="263"/>
      <c r="O1410" s="263"/>
      <c r="P1410" s="263"/>
      <c r="Q1410" s="263"/>
      <c r="R1410" s="29">
        <v>9782.2000000000007</v>
      </c>
      <c r="S1410" s="29">
        <v>0</v>
      </c>
      <c r="T1410" s="29">
        <v>1760.8</v>
      </c>
      <c r="U1410" s="29">
        <v>11543</v>
      </c>
      <c r="V1410" s="29">
        <v>0</v>
      </c>
      <c r="W1410" s="29">
        <v>1</v>
      </c>
      <c r="X1410" s="29">
        <v>115.43</v>
      </c>
    </row>
    <row r="1411" spans="1:24">
      <c r="A1411" s="29">
        <v>85</v>
      </c>
      <c r="B1411" s="111">
        <v>1</v>
      </c>
      <c r="C1411" s="111">
        <v>310894</v>
      </c>
      <c r="D1411" s="111" t="s">
        <v>767</v>
      </c>
      <c r="E1411" s="111" t="s">
        <v>448</v>
      </c>
      <c r="F1411" s="265">
        <v>42265</v>
      </c>
      <c r="G1411" s="265">
        <v>42275</v>
      </c>
      <c r="H1411" s="266">
        <f t="shared" si="110"/>
        <v>1307.04</v>
      </c>
      <c r="I1411" s="266">
        <f t="shared" si="111"/>
        <v>0</v>
      </c>
      <c r="J1411" s="295">
        <v>1</v>
      </c>
      <c r="K1411" s="266">
        <f t="shared" si="114"/>
        <v>13.070399999999999</v>
      </c>
      <c r="L1411" s="312">
        <f t="shared" si="113"/>
        <v>10</v>
      </c>
      <c r="M1411" s="263"/>
      <c r="N1411" s="263"/>
      <c r="O1411" s="263"/>
      <c r="P1411" s="263"/>
      <c r="Q1411" s="263"/>
      <c r="R1411" s="29">
        <v>1307.04</v>
      </c>
      <c r="S1411" s="29">
        <v>0</v>
      </c>
      <c r="T1411" s="29">
        <v>235.27</v>
      </c>
      <c r="U1411" s="29">
        <v>1542.31</v>
      </c>
      <c r="V1411" s="29">
        <v>0</v>
      </c>
      <c r="W1411" s="29">
        <v>1</v>
      </c>
      <c r="X1411" s="29">
        <v>15.4231</v>
      </c>
    </row>
    <row r="1412" spans="1:24">
      <c r="A1412" s="29">
        <v>86</v>
      </c>
      <c r="B1412" s="111">
        <v>1</v>
      </c>
      <c r="C1412" s="111">
        <v>310369</v>
      </c>
      <c r="D1412" s="111" t="s">
        <v>767</v>
      </c>
      <c r="E1412" s="111" t="s">
        <v>448</v>
      </c>
      <c r="F1412" s="265">
        <v>42259</v>
      </c>
      <c r="G1412" s="265">
        <v>42275</v>
      </c>
      <c r="H1412" s="266">
        <f t="shared" si="110"/>
        <v>1307.05</v>
      </c>
      <c r="I1412" s="266">
        <f t="shared" si="111"/>
        <v>0</v>
      </c>
      <c r="J1412" s="295">
        <v>1</v>
      </c>
      <c r="K1412" s="266">
        <f t="shared" si="114"/>
        <v>13.070499999999999</v>
      </c>
      <c r="L1412" s="312">
        <f t="shared" si="113"/>
        <v>16</v>
      </c>
      <c r="M1412" s="263"/>
      <c r="N1412" s="263"/>
      <c r="O1412" s="263"/>
      <c r="P1412" s="263"/>
      <c r="Q1412" s="263"/>
      <c r="R1412" s="29">
        <v>1307.05</v>
      </c>
      <c r="S1412" s="29">
        <v>0</v>
      </c>
      <c r="T1412" s="29">
        <v>235.27</v>
      </c>
      <c r="U1412" s="29">
        <v>1542.32</v>
      </c>
      <c r="V1412" s="29">
        <v>0</v>
      </c>
      <c r="W1412" s="29">
        <v>1</v>
      </c>
      <c r="X1412" s="29">
        <v>15.4232</v>
      </c>
    </row>
    <row r="1413" spans="1:24">
      <c r="A1413" s="29">
        <v>87</v>
      </c>
      <c r="B1413" s="111">
        <v>1</v>
      </c>
      <c r="C1413" s="111">
        <v>306994</v>
      </c>
      <c r="D1413" s="111" t="s">
        <v>758</v>
      </c>
      <c r="E1413" s="111" t="s">
        <v>448</v>
      </c>
      <c r="F1413" s="265">
        <v>42158</v>
      </c>
      <c r="G1413" s="265">
        <v>42276</v>
      </c>
      <c r="H1413" s="266">
        <f t="shared" si="110"/>
        <v>317.2</v>
      </c>
      <c r="I1413" s="266">
        <f t="shared" si="111"/>
        <v>374.3</v>
      </c>
      <c r="J1413" s="295">
        <v>0</v>
      </c>
      <c r="K1413" s="266">
        <f t="shared" si="114"/>
        <v>0</v>
      </c>
      <c r="L1413" s="312">
        <f t="shared" si="113"/>
        <v>118</v>
      </c>
      <c r="M1413" s="263"/>
      <c r="N1413" s="263"/>
      <c r="O1413" s="263"/>
      <c r="P1413" s="263"/>
      <c r="Q1413" s="263"/>
      <c r="R1413" s="29">
        <v>317.2</v>
      </c>
      <c r="S1413" s="29">
        <v>0</v>
      </c>
      <c r="T1413" s="29">
        <v>57.1</v>
      </c>
      <c r="U1413" s="29">
        <v>374.3</v>
      </c>
      <c r="V1413" s="29">
        <v>374.3</v>
      </c>
      <c r="W1413" s="29">
        <v>1</v>
      </c>
      <c r="X1413" s="29">
        <v>0</v>
      </c>
    </row>
    <row r="1414" spans="1:24">
      <c r="G1414" s="268" t="s">
        <v>765</v>
      </c>
      <c r="H1414" s="269">
        <f>SUM(H1327:H1413)</f>
        <v>347153.72</v>
      </c>
      <c r="I1414" s="59"/>
      <c r="J1414" s="311" t="s">
        <v>383</v>
      </c>
      <c r="K1414" s="267">
        <f>SUM(K1327:K1413)</f>
        <v>2833.5364999999993</v>
      </c>
    </row>
    <row r="1421" spans="1:24">
      <c r="A1421" s="29">
        <v>1</v>
      </c>
      <c r="B1421" s="33">
        <v>308940</v>
      </c>
      <c r="C1421" s="29" t="s">
        <v>772</v>
      </c>
      <c r="D1421" s="29" t="s">
        <v>448</v>
      </c>
      <c r="E1421" s="263">
        <v>42243</v>
      </c>
      <c r="F1421" s="263">
        <v>42256</v>
      </c>
      <c r="G1421" s="29">
        <v>6780</v>
      </c>
      <c r="H1421" s="29">
        <v>0</v>
      </c>
      <c r="I1421" s="29">
        <v>1220.4000000000001</v>
      </c>
      <c r="J1421" s="292">
        <v>8000.4</v>
      </c>
      <c r="K1421" s="29">
        <v>0</v>
      </c>
      <c r="L1421" s="29">
        <v>1</v>
      </c>
      <c r="M1421" s="29">
        <v>80.004000000000005</v>
      </c>
      <c r="N1421" s="29">
        <v>12519</v>
      </c>
      <c r="O1421" s="29">
        <v>977257</v>
      </c>
    </row>
    <row r="1422" spans="1:24">
      <c r="A1422" s="29">
        <v>1</v>
      </c>
      <c r="B1422" s="33">
        <v>308940</v>
      </c>
      <c r="C1422" s="29" t="s">
        <v>772</v>
      </c>
      <c r="D1422" s="29" t="s">
        <v>448</v>
      </c>
      <c r="E1422" s="263">
        <v>42243</v>
      </c>
      <c r="F1422" s="263">
        <v>42256</v>
      </c>
      <c r="G1422" s="29">
        <v>6780</v>
      </c>
      <c r="H1422" s="29">
        <v>0</v>
      </c>
      <c r="I1422" s="29">
        <v>1220.4000000000001</v>
      </c>
      <c r="J1422" s="292">
        <v>8000.4</v>
      </c>
      <c r="K1422" s="29">
        <v>0</v>
      </c>
      <c r="L1422" s="29">
        <v>1</v>
      </c>
      <c r="M1422" s="29">
        <v>80.004000000000005</v>
      </c>
      <c r="N1422" s="29">
        <v>12519</v>
      </c>
      <c r="O1422" s="29">
        <v>977257</v>
      </c>
    </row>
    <row r="1423" spans="1:24">
      <c r="A1423" s="29">
        <v>1</v>
      </c>
      <c r="B1423" s="29">
        <v>309827</v>
      </c>
      <c r="C1423" s="29" t="s">
        <v>772</v>
      </c>
      <c r="D1423" s="29" t="s">
        <v>448</v>
      </c>
      <c r="E1423" s="263">
        <v>42252</v>
      </c>
      <c r="F1423" s="263">
        <v>42256</v>
      </c>
      <c r="G1423" s="29">
        <v>29154</v>
      </c>
      <c r="H1423" s="29">
        <v>0</v>
      </c>
      <c r="I1423" s="29">
        <v>5247.72</v>
      </c>
      <c r="J1423" s="292">
        <v>34401.72</v>
      </c>
      <c r="K1423" s="29">
        <v>0</v>
      </c>
      <c r="L1423" s="29">
        <v>1</v>
      </c>
      <c r="M1423" s="29">
        <v>344.0172</v>
      </c>
      <c r="N1423" s="29">
        <v>12520</v>
      </c>
      <c r="O1423" s="29">
        <v>978540</v>
      </c>
    </row>
    <row r="1424" spans="1:24">
      <c r="A1424" s="29">
        <v>1</v>
      </c>
      <c r="B1424" s="29">
        <v>309827</v>
      </c>
      <c r="C1424" s="29" t="s">
        <v>772</v>
      </c>
      <c r="D1424" s="29" t="s">
        <v>448</v>
      </c>
      <c r="E1424" s="263">
        <v>42252</v>
      </c>
      <c r="F1424" s="263">
        <v>42256</v>
      </c>
      <c r="G1424" s="29">
        <v>29154</v>
      </c>
      <c r="H1424" s="29">
        <v>0</v>
      </c>
      <c r="I1424" s="29">
        <v>5247.72</v>
      </c>
      <c r="J1424" s="292">
        <v>34401.72</v>
      </c>
      <c r="K1424" s="29">
        <v>0</v>
      </c>
      <c r="L1424" s="29">
        <v>1</v>
      </c>
      <c r="M1424" s="29">
        <v>344.0172</v>
      </c>
      <c r="N1424" s="29">
        <v>12520</v>
      </c>
      <c r="O1424" s="29">
        <v>978540</v>
      </c>
    </row>
    <row r="1425" spans="1:20">
      <c r="A1425" s="29">
        <v>1</v>
      </c>
      <c r="B1425" s="29">
        <v>309827</v>
      </c>
      <c r="C1425" s="29" t="s">
        <v>772</v>
      </c>
      <c r="D1425" s="29" t="s">
        <v>448</v>
      </c>
      <c r="E1425" s="263">
        <v>42252</v>
      </c>
      <c r="F1425" s="263">
        <v>42256</v>
      </c>
      <c r="G1425" s="29">
        <v>29154</v>
      </c>
      <c r="H1425" s="29">
        <v>0</v>
      </c>
      <c r="I1425" s="29">
        <v>5247.72</v>
      </c>
      <c r="J1425" s="292">
        <v>34401.72</v>
      </c>
      <c r="K1425" s="29">
        <v>0</v>
      </c>
      <c r="L1425" s="29">
        <v>1</v>
      </c>
      <c r="M1425" s="29">
        <v>344.0172</v>
      </c>
      <c r="N1425" s="29">
        <v>12520</v>
      </c>
      <c r="O1425" s="29">
        <v>978540</v>
      </c>
    </row>
    <row r="1426" spans="1:20">
      <c r="A1426" s="29">
        <v>1</v>
      </c>
      <c r="B1426" s="29">
        <v>309827</v>
      </c>
      <c r="C1426" s="29" t="s">
        <v>772</v>
      </c>
      <c r="D1426" s="29" t="s">
        <v>448</v>
      </c>
      <c r="E1426" s="263">
        <v>42252</v>
      </c>
      <c r="F1426" s="263">
        <v>42256</v>
      </c>
      <c r="G1426" s="29">
        <v>29154</v>
      </c>
      <c r="H1426" s="29">
        <v>0</v>
      </c>
      <c r="I1426" s="29">
        <v>5247.72</v>
      </c>
      <c r="J1426" s="292">
        <v>34401.72</v>
      </c>
      <c r="K1426" s="29">
        <v>0</v>
      </c>
      <c r="L1426" s="29">
        <v>1</v>
      </c>
      <c r="M1426" s="29">
        <v>344.0172</v>
      </c>
      <c r="N1426" s="29">
        <v>12520</v>
      </c>
      <c r="O1426" s="29">
        <v>978540</v>
      </c>
    </row>
    <row r="1427" spans="1:20">
      <c r="A1427" s="29">
        <v>1</v>
      </c>
      <c r="B1427" s="29">
        <v>309827</v>
      </c>
      <c r="C1427" s="29" t="s">
        <v>772</v>
      </c>
      <c r="D1427" s="29" t="s">
        <v>448</v>
      </c>
      <c r="E1427" s="263">
        <v>42252</v>
      </c>
      <c r="F1427" s="263">
        <v>42256</v>
      </c>
      <c r="G1427" s="29">
        <v>29154</v>
      </c>
      <c r="H1427" s="29">
        <v>0</v>
      </c>
      <c r="I1427" s="29">
        <v>5247.72</v>
      </c>
      <c r="J1427" s="292">
        <v>34401.72</v>
      </c>
      <c r="K1427" s="29">
        <v>0</v>
      </c>
      <c r="L1427" s="29">
        <v>1</v>
      </c>
      <c r="M1427" s="29">
        <v>344.0172</v>
      </c>
      <c r="N1427" s="29">
        <v>12519</v>
      </c>
      <c r="O1427" s="29">
        <v>978540</v>
      </c>
    </row>
    <row r="1428" spans="1:20">
      <c r="A1428" s="29">
        <v>1</v>
      </c>
      <c r="B1428" s="29">
        <v>309827</v>
      </c>
      <c r="C1428" s="29" t="s">
        <v>772</v>
      </c>
      <c r="D1428" s="29" t="s">
        <v>448</v>
      </c>
      <c r="E1428" s="263">
        <v>42252</v>
      </c>
      <c r="F1428" s="263">
        <v>42256</v>
      </c>
      <c r="G1428" s="29">
        <v>29154</v>
      </c>
      <c r="H1428" s="29">
        <v>0</v>
      </c>
      <c r="I1428" s="29">
        <v>5247.72</v>
      </c>
      <c r="J1428" s="292">
        <v>34401.72</v>
      </c>
      <c r="K1428" s="29">
        <v>0</v>
      </c>
      <c r="L1428" s="29">
        <v>1</v>
      </c>
      <c r="M1428" s="29">
        <v>344.0172</v>
      </c>
      <c r="N1428" s="29">
        <v>12519</v>
      </c>
      <c r="O1428" s="29">
        <v>978540</v>
      </c>
    </row>
    <row r="1429" spans="1:20">
      <c r="A1429" s="29">
        <v>1</v>
      </c>
      <c r="B1429" s="29">
        <v>309827</v>
      </c>
      <c r="C1429" s="29" t="s">
        <v>772</v>
      </c>
      <c r="D1429" s="29" t="s">
        <v>448</v>
      </c>
      <c r="E1429" s="263">
        <v>42252</v>
      </c>
      <c r="F1429" s="263">
        <v>42256</v>
      </c>
      <c r="G1429" s="29">
        <v>29154</v>
      </c>
      <c r="H1429" s="29">
        <v>0</v>
      </c>
      <c r="I1429" s="29">
        <v>5247.72</v>
      </c>
      <c r="J1429" s="292">
        <v>34401.72</v>
      </c>
      <c r="K1429" s="29">
        <v>0</v>
      </c>
      <c r="L1429" s="29">
        <v>1</v>
      </c>
      <c r="M1429" s="29">
        <v>344.0172</v>
      </c>
      <c r="N1429" s="29">
        <v>12519</v>
      </c>
      <c r="O1429" s="29">
        <v>978540</v>
      </c>
    </row>
    <row r="1430" spans="1:20">
      <c r="A1430" s="29">
        <v>1</v>
      </c>
      <c r="B1430" s="29">
        <v>309827</v>
      </c>
      <c r="C1430" s="29" t="s">
        <v>772</v>
      </c>
      <c r="D1430" s="29" t="s">
        <v>448</v>
      </c>
      <c r="E1430" s="263">
        <v>42252</v>
      </c>
      <c r="F1430" s="263">
        <v>42256</v>
      </c>
      <c r="G1430" s="29">
        <v>29154</v>
      </c>
      <c r="H1430" s="29">
        <v>0</v>
      </c>
      <c r="I1430" s="29">
        <v>5247.72</v>
      </c>
      <c r="J1430" s="292">
        <v>34401.72</v>
      </c>
      <c r="K1430" s="29">
        <v>0</v>
      </c>
      <c r="L1430" s="29">
        <v>1</v>
      </c>
      <c r="M1430" s="29">
        <v>344.0172</v>
      </c>
      <c r="N1430" s="29">
        <v>12519</v>
      </c>
      <c r="O1430" s="29">
        <v>978540</v>
      </c>
    </row>
    <row r="1431" spans="1:20">
      <c r="A1431" s="29">
        <v>1</v>
      </c>
      <c r="B1431" s="33">
        <v>309828</v>
      </c>
      <c r="C1431" s="29" t="s">
        <v>761</v>
      </c>
      <c r="D1431" s="29" t="s">
        <v>448</v>
      </c>
      <c r="E1431" s="263">
        <v>42252</v>
      </c>
      <c r="F1431" s="263">
        <v>42255</v>
      </c>
      <c r="G1431" s="29">
        <v>24552.41</v>
      </c>
      <c r="H1431" s="29">
        <v>0</v>
      </c>
      <c r="I1431" s="29">
        <v>4419.43</v>
      </c>
      <c r="J1431" s="292">
        <v>28971.84</v>
      </c>
      <c r="K1431" s="29">
        <v>0</v>
      </c>
      <c r="L1431" s="29">
        <v>1</v>
      </c>
      <c r="M1431" s="29">
        <v>289.71839999999997</v>
      </c>
      <c r="N1431" s="29">
        <v>12520</v>
      </c>
      <c r="O1431" s="29">
        <v>978541</v>
      </c>
      <c r="Q1431" s="29">
        <v>24552.41</v>
      </c>
      <c r="R1431" s="122">
        <v>2178.41</v>
      </c>
      <c r="S1431" s="29">
        <f>Q1431-R1431</f>
        <v>22374</v>
      </c>
      <c r="T1431" s="29">
        <f>S1431*0.5%</f>
        <v>111.87</v>
      </c>
    </row>
    <row r="1432" spans="1:20">
      <c r="A1432" s="29">
        <v>1</v>
      </c>
      <c r="B1432" s="33">
        <v>309828</v>
      </c>
      <c r="C1432" s="29" t="s">
        <v>761</v>
      </c>
      <c r="D1432" s="29" t="s">
        <v>448</v>
      </c>
      <c r="E1432" s="263">
        <v>42252</v>
      </c>
      <c r="F1432" s="263">
        <v>42255</v>
      </c>
      <c r="G1432" s="29">
        <v>24552.41</v>
      </c>
      <c r="H1432" s="29">
        <v>0</v>
      </c>
      <c r="I1432" s="29">
        <v>4419.43</v>
      </c>
      <c r="J1432" s="292">
        <v>28971.84</v>
      </c>
      <c r="K1432" s="29">
        <v>0</v>
      </c>
      <c r="L1432" s="29">
        <v>1</v>
      </c>
      <c r="M1432" s="29">
        <v>289.71839999999997</v>
      </c>
      <c r="N1432" s="29">
        <v>12520</v>
      </c>
      <c r="O1432" s="29">
        <v>978541</v>
      </c>
      <c r="Q1432" s="29">
        <f>Q1431*1%</f>
        <v>245.5241</v>
      </c>
      <c r="T1432" s="29">
        <f>R1431*1%</f>
        <v>21.784099999999999</v>
      </c>
    </row>
    <row r="1433" spans="1:20">
      <c r="A1433" s="29">
        <v>1</v>
      </c>
      <c r="B1433" s="33">
        <v>309828</v>
      </c>
      <c r="C1433" s="29" t="s">
        <v>761</v>
      </c>
      <c r="D1433" s="29" t="s">
        <v>448</v>
      </c>
      <c r="E1433" s="263">
        <v>42252</v>
      </c>
      <c r="F1433" s="263">
        <v>42255</v>
      </c>
      <c r="G1433" s="29">
        <v>24552.41</v>
      </c>
      <c r="H1433" s="29">
        <v>0</v>
      </c>
      <c r="I1433" s="29">
        <v>4419.43</v>
      </c>
      <c r="J1433" s="292">
        <v>28971.84</v>
      </c>
      <c r="K1433" s="29">
        <v>0</v>
      </c>
      <c r="L1433" s="29">
        <v>1</v>
      </c>
      <c r="M1433" s="29">
        <v>289.71839999999997</v>
      </c>
      <c r="N1433" s="29">
        <v>12520</v>
      </c>
      <c r="O1433" s="29">
        <v>978541</v>
      </c>
      <c r="T1433" s="29">
        <v>32.97</v>
      </c>
    </row>
    <row r="1434" spans="1:20">
      <c r="A1434" s="29">
        <v>1</v>
      </c>
      <c r="B1434" s="33">
        <v>309828</v>
      </c>
      <c r="C1434" s="29" t="s">
        <v>761</v>
      </c>
      <c r="D1434" s="29" t="s">
        <v>448</v>
      </c>
      <c r="E1434" s="263">
        <v>42252</v>
      </c>
      <c r="F1434" s="263">
        <v>42255</v>
      </c>
      <c r="G1434" s="29">
        <v>24552.41</v>
      </c>
      <c r="H1434" s="29">
        <v>0</v>
      </c>
      <c r="I1434" s="29">
        <v>4419.43</v>
      </c>
      <c r="J1434" s="292">
        <v>28971.84</v>
      </c>
      <c r="K1434" s="29">
        <v>0</v>
      </c>
      <c r="L1434" s="29">
        <v>1</v>
      </c>
      <c r="M1434" s="29">
        <v>289.71839999999997</v>
      </c>
      <c r="N1434" s="29">
        <v>12519</v>
      </c>
      <c r="O1434" s="29">
        <v>978541</v>
      </c>
    </row>
    <row r="1435" spans="1:20">
      <c r="A1435" s="29">
        <v>1</v>
      </c>
      <c r="B1435" s="29">
        <v>310538</v>
      </c>
      <c r="C1435" s="29" t="s">
        <v>772</v>
      </c>
      <c r="D1435" s="29" t="s">
        <v>448</v>
      </c>
      <c r="E1435" s="263">
        <v>42262</v>
      </c>
      <c r="F1435" s="263">
        <v>42268</v>
      </c>
      <c r="G1435" s="29">
        <v>27798</v>
      </c>
      <c r="H1435" s="29">
        <v>0</v>
      </c>
      <c r="I1435" s="29">
        <v>5003.6400000000003</v>
      </c>
      <c r="J1435" s="292">
        <v>32801.64</v>
      </c>
      <c r="K1435" s="29">
        <v>0</v>
      </c>
      <c r="L1435" s="29">
        <v>1</v>
      </c>
      <c r="M1435" s="29">
        <v>328.01639999999998</v>
      </c>
      <c r="N1435" s="29">
        <v>12520</v>
      </c>
      <c r="O1435" s="29">
        <v>979751</v>
      </c>
    </row>
    <row r="1436" spans="1:20">
      <c r="A1436" s="29">
        <v>1</v>
      </c>
      <c r="B1436" s="29">
        <v>310538</v>
      </c>
      <c r="C1436" s="29" t="s">
        <v>772</v>
      </c>
      <c r="D1436" s="29" t="s">
        <v>448</v>
      </c>
      <c r="E1436" s="263">
        <v>42262</v>
      </c>
      <c r="F1436" s="263">
        <v>42268</v>
      </c>
      <c r="G1436" s="29">
        <v>27798</v>
      </c>
      <c r="H1436" s="29">
        <v>0</v>
      </c>
      <c r="I1436" s="29">
        <v>5003.6400000000003</v>
      </c>
      <c r="J1436" s="292">
        <v>32801.64</v>
      </c>
      <c r="K1436" s="29">
        <v>0</v>
      </c>
      <c r="L1436" s="29">
        <v>1</v>
      </c>
      <c r="M1436" s="29">
        <v>328.01639999999998</v>
      </c>
      <c r="N1436" s="29">
        <v>12520</v>
      </c>
      <c r="O1436" s="29">
        <v>979751</v>
      </c>
    </row>
    <row r="1437" spans="1:20">
      <c r="A1437" s="29">
        <v>1</v>
      </c>
      <c r="B1437" s="29">
        <v>310538</v>
      </c>
      <c r="C1437" s="29" t="s">
        <v>772</v>
      </c>
      <c r="D1437" s="29" t="s">
        <v>448</v>
      </c>
      <c r="E1437" s="263">
        <v>42262</v>
      </c>
      <c r="F1437" s="263">
        <v>42268</v>
      </c>
      <c r="G1437" s="29">
        <v>27798</v>
      </c>
      <c r="H1437" s="29">
        <v>0</v>
      </c>
      <c r="I1437" s="29">
        <v>5003.6400000000003</v>
      </c>
      <c r="J1437" s="292">
        <v>32801.64</v>
      </c>
      <c r="K1437" s="29">
        <v>0</v>
      </c>
      <c r="L1437" s="29">
        <v>1</v>
      </c>
      <c r="M1437" s="29">
        <v>328.01639999999998</v>
      </c>
      <c r="N1437" s="29">
        <v>12519</v>
      </c>
      <c r="O1437" s="29">
        <v>979751</v>
      </c>
    </row>
    <row r="1438" spans="1:20">
      <c r="A1438" s="29">
        <v>1</v>
      </c>
      <c r="B1438" s="29">
        <v>310538</v>
      </c>
      <c r="C1438" s="29" t="s">
        <v>772</v>
      </c>
      <c r="D1438" s="29" t="s">
        <v>448</v>
      </c>
      <c r="E1438" s="263">
        <v>42262</v>
      </c>
      <c r="F1438" s="263">
        <v>42268</v>
      </c>
      <c r="G1438" s="29">
        <v>27798</v>
      </c>
      <c r="H1438" s="29">
        <v>0</v>
      </c>
      <c r="I1438" s="29">
        <v>5003.6400000000003</v>
      </c>
      <c r="J1438" s="292">
        <v>32801.64</v>
      </c>
      <c r="K1438" s="29">
        <v>0</v>
      </c>
      <c r="L1438" s="29">
        <v>1</v>
      </c>
      <c r="M1438" s="29">
        <v>328.01639999999998</v>
      </c>
      <c r="N1438" s="29">
        <v>12519</v>
      </c>
      <c r="O1438" s="29">
        <v>979751</v>
      </c>
    </row>
    <row r="1439" spans="1:20">
      <c r="A1439" s="29">
        <v>1</v>
      </c>
      <c r="B1439" s="29">
        <v>310538</v>
      </c>
      <c r="C1439" s="29" t="s">
        <v>772</v>
      </c>
      <c r="D1439" s="29" t="s">
        <v>448</v>
      </c>
      <c r="E1439" s="263">
        <v>42262</v>
      </c>
      <c r="F1439" s="263">
        <v>42268</v>
      </c>
      <c r="G1439" s="29">
        <v>27798</v>
      </c>
      <c r="H1439" s="29">
        <v>0</v>
      </c>
      <c r="I1439" s="29">
        <v>5003.6400000000003</v>
      </c>
      <c r="J1439" s="292">
        <v>32801.64</v>
      </c>
      <c r="K1439" s="29">
        <v>0</v>
      </c>
      <c r="L1439" s="29">
        <v>1</v>
      </c>
      <c r="M1439" s="29">
        <v>328.01639999999998</v>
      </c>
      <c r="N1439" s="29">
        <v>12519</v>
      </c>
      <c r="O1439" s="29">
        <v>979751</v>
      </c>
    </row>
    <row r="1441" spans="1:21">
      <c r="B1441" s="59"/>
      <c r="C1441" s="59"/>
      <c r="D1441" s="59" t="s">
        <v>796</v>
      </c>
      <c r="E1441" s="59"/>
      <c r="F1441" s="59"/>
      <c r="G1441" s="59"/>
      <c r="H1441" s="59"/>
      <c r="I1441" s="59"/>
      <c r="J1441" s="293"/>
      <c r="K1441" s="59"/>
    </row>
    <row r="1442" spans="1:21">
      <c r="B1442" s="59"/>
      <c r="C1442" s="59"/>
      <c r="D1442" s="59"/>
      <c r="E1442" s="59"/>
      <c r="F1442" s="59"/>
      <c r="G1442" s="59"/>
      <c r="H1442" s="59"/>
      <c r="I1442" s="59"/>
      <c r="J1442" s="293"/>
      <c r="K1442" s="59"/>
    </row>
    <row r="1443" spans="1:21">
      <c r="A1443" s="29" t="s">
        <v>45</v>
      </c>
      <c r="B1443" s="264" t="s">
        <v>369</v>
      </c>
      <c r="C1443" s="264" t="s">
        <v>370</v>
      </c>
      <c r="D1443" s="264" t="s">
        <v>371</v>
      </c>
      <c r="E1443" s="264" t="s">
        <v>372</v>
      </c>
      <c r="F1443" s="264" t="s">
        <v>373</v>
      </c>
      <c r="G1443" s="264" t="s">
        <v>393</v>
      </c>
      <c r="H1443" s="264" t="s">
        <v>375</v>
      </c>
      <c r="I1443" s="264" t="s">
        <v>376</v>
      </c>
      <c r="J1443" s="294" t="s">
        <v>377</v>
      </c>
      <c r="K1443" s="264" t="s">
        <v>378</v>
      </c>
      <c r="L1443" s="29" t="s">
        <v>771</v>
      </c>
    </row>
    <row r="1444" spans="1:21">
      <c r="A1444" s="29">
        <v>1</v>
      </c>
      <c r="B1444" s="111">
        <v>4</v>
      </c>
      <c r="C1444" s="111">
        <v>32986</v>
      </c>
      <c r="D1444" s="111" t="s">
        <v>768</v>
      </c>
      <c r="E1444" s="111" t="s">
        <v>448</v>
      </c>
      <c r="F1444" s="265">
        <v>42198</v>
      </c>
      <c r="G1444" s="265">
        <v>42279</v>
      </c>
      <c r="H1444" s="266">
        <f t="shared" ref="H1444:H1475" si="115">(O1444+P1444)</f>
        <v>112.19</v>
      </c>
      <c r="I1444" s="266">
        <f t="shared" ref="I1444:I1475" si="116">S1444</f>
        <v>0</v>
      </c>
      <c r="J1444" s="266">
        <v>0</v>
      </c>
      <c r="K1444" s="295">
        <f t="shared" ref="K1444:K1475" si="117">(H1444-I1444)*J1444%</f>
        <v>0</v>
      </c>
      <c r="L1444" s="312">
        <f t="shared" ref="L1444:L1475" si="118">G1444-F1444</f>
        <v>81</v>
      </c>
      <c r="M1444" s="263"/>
      <c r="N1444" s="263"/>
      <c r="O1444" s="29">
        <v>112.19</v>
      </c>
      <c r="P1444" s="29">
        <v>0</v>
      </c>
      <c r="Q1444" s="292">
        <v>20.190000000000001</v>
      </c>
      <c r="R1444" s="29">
        <v>132.38</v>
      </c>
      <c r="S1444" s="29">
        <v>0</v>
      </c>
      <c r="T1444" s="29">
        <v>1</v>
      </c>
      <c r="U1444" s="29">
        <v>1.3238000000000001</v>
      </c>
    </row>
    <row r="1445" spans="1:21">
      <c r="A1445" s="29">
        <v>2</v>
      </c>
      <c r="B1445" s="111">
        <v>4</v>
      </c>
      <c r="C1445" s="111">
        <v>33244</v>
      </c>
      <c r="D1445" s="111" t="s">
        <v>768</v>
      </c>
      <c r="E1445" s="111" t="s">
        <v>448</v>
      </c>
      <c r="F1445" s="265">
        <v>42200</v>
      </c>
      <c r="G1445" s="265">
        <v>42279</v>
      </c>
      <c r="H1445" s="266">
        <f t="shared" si="115"/>
        <v>310.22000000000003</v>
      </c>
      <c r="I1445" s="266">
        <f t="shared" si="116"/>
        <v>0</v>
      </c>
      <c r="J1445" s="266">
        <v>0</v>
      </c>
      <c r="K1445" s="295">
        <f t="shared" si="117"/>
        <v>0</v>
      </c>
      <c r="L1445" s="312">
        <f t="shared" si="118"/>
        <v>79</v>
      </c>
      <c r="M1445" s="263"/>
      <c r="N1445" s="263"/>
      <c r="O1445" s="29">
        <v>310.22000000000003</v>
      </c>
      <c r="P1445" s="29">
        <v>0</v>
      </c>
      <c r="Q1445" s="292">
        <v>55.84</v>
      </c>
      <c r="R1445" s="29">
        <v>366.06</v>
      </c>
      <c r="S1445" s="29">
        <v>0</v>
      </c>
      <c r="T1445" s="29">
        <v>1</v>
      </c>
      <c r="U1445" s="29">
        <v>3.6606000000000001</v>
      </c>
    </row>
    <row r="1446" spans="1:21">
      <c r="A1446" s="29">
        <v>3</v>
      </c>
      <c r="B1446" s="111">
        <v>4</v>
      </c>
      <c r="C1446" s="111">
        <v>33266</v>
      </c>
      <c r="D1446" s="111" t="s">
        <v>768</v>
      </c>
      <c r="E1446" s="111" t="s">
        <v>448</v>
      </c>
      <c r="F1446" s="265">
        <v>42201</v>
      </c>
      <c r="G1446" s="265">
        <v>42279</v>
      </c>
      <c r="H1446" s="266">
        <f t="shared" si="115"/>
        <v>1702.38</v>
      </c>
      <c r="I1446" s="266">
        <f t="shared" si="116"/>
        <v>0</v>
      </c>
      <c r="J1446" s="266">
        <v>0</v>
      </c>
      <c r="K1446" s="295">
        <f t="shared" si="117"/>
        <v>0</v>
      </c>
      <c r="L1446" s="312">
        <f t="shared" si="118"/>
        <v>78</v>
      </c>
      <c r="M1446" s="263"/>
      <c r="N1446" s="263"/>
      <c r="O1446" s="29">
        <v>1702.38</v>
      </c>
      <c r="P1446" s="29">
        <v>0</v>
      </c>
      <c r="Q1446" s="292">
        <v>306.43</v>
      </c>
      <c r="R1446" s="29">
        <v>2008.81</v>
      </c>
      <c r="S1446" s="29">
        <v>0</v>
      </c>
      <c r="T1446" s="29">
        <v>1</v>
      </c>
      <c r="U1446" s="29">
        <v>20.088100000000001</v>
      </c>
    </row>
    <row r="1447" spans="1:21">
      <c r="A1447" s="29">
        <v>4</v>
      </c>
      <c r="B1447" s="111">
        <v>4</v>
      </c>
      <c r="C1447" s="111">
        <v>33510</v>
      </c>
      <c r="D1447" s="111" t="s">
        <v>768</v>
      </c>
      <c r="E1447" s="111" t="s">
        <v>448</v>
      </c>
      <c r="F1447" s="265">
        <v>42205</v>
      </c>
      <c r="G1447" s="265">
        <v>42279</v>
      </c>
      <c r="H1447" s="266">
        <f t="shared" si="115"/>
        <v>1424.2</v>
      </c>
      <c r="I1447" s="266">
        <f t="shared" si="116"/>
        <v>0</v>
      </c>
      <c r="J1447" s="266">
        <v>1</v>
      </c>
      <c r="K1447" s="295">
        <f t="shared" si="117"/>
        <v>14.242000000000001</v>
      </c>
      <c r="L1447" s="312">
        <f t="shared" si="118"/>
        <v>74</v>
      </c>
      <c r="M1447" s="263"/>
      <c r="N1447" s="263"/>
      <c r="O1447" s="29">
        <v>1424.2</v>
      </c>
      <c r="P1447" s="29">
        <v>0</v>
      </c>
      <c r="Q1447" s="292">
        <v>256.36</v>
      </c>
      <c r="R1447" s="29">
        <v>1680.56</v>
      </c>
      <c r="S1447" s="29">
        <v>0</v>
      </c>
      <c r="T1447" s="29">
        <v>1</v>
      </c>
      <c r="U1447" s="29">
        <v>16.805599999999998</v>
      </c>
    </row>
    <row r="1448" spans="1:21">
      <c r="A1448" s="29">
        <v>5</v>
      </c>
      <c r="B1448" s="111">
        <v>4</v>
      </c>
      <c r="C1448" s="111">
        <v>33900</v>
      </c>
      <c r="D1448" s="111" t="s">
        <v>768</v>
      </c>
      <c r="E1448" s="111" t="s">
        <v>448</v>
      </c>
      <c r="F1448" s="265">
        <v>42209</v>
      </c>
      <c r="G1448" s="265">
        <v>42279</v>
      </c>
      <c r="H1448" s="266">
        <f t="shared" si="115"/>
        <v>129.6</v>
      </c>
      <c r="I1448" s="266">
        <f t="shared" si="116"/>
        <v>0</v>
      </c>
      <c r="J1448" s="266">
        <v>1</v>
      </c>
      <c r="K1448" s="295">
        <f t="shared" si="117"/>
        <v>1.296</v>
      </c>
      <c r="L1448" s="312">
        <f t="shared" si="118"/>
        <v>70</v>
      </c>
      <c r="M1448" s="263"/>
      <c r="N1448" s="263"/>
      <c r="O1448" s="29">
        <v>129.6</v>
      </c>
      <c r="P1448" s="29">
        <v>0</v>
      </c>
      <c r="Q1448" s="292">
        <v>23.33</v>
      </c>
      <c r="R1448" s="29">
        <v>152.93</v>
      </c>
      <c r="S1448" s="29">
        <v>0</v>
      </c>
      <c r="T1448" s="29">
        <v>1</v>
      </c>
      <c r="U1448" s="29">
        <v>1.5293000000000001</v>
      </c>
    </row>
    <row r="1449" spans="1:21">
      <c r="A1449" s="29">
        <v>6</v>
      </c>
      <c r="B1449" s="111">
        <v>1</v>
      </c>
      <c r="C1449" s="111">
        <v>307503</v>
      </c>
      <c r="D1449" s="111" t="s">
        <v>768</v>
      </c>
      <c r="E1449" s="111" t="s">
        <v>448</v>
      </c>
      <c r="F1449" s="265">
        <v>42226</v>
      </c>
      <c r="G1449" s="265">
        <v>42296</v>
      </c>
      <c r="H1449" s="266">
        <f t="shared" si="115"/>
        <v>393.51</v>
      </c>
      <c r="I1449" s="266">
        <f t="shared" si="116"/>
        <v>0</v>
      </c>
      <c r="J1449" s="266">
        <v>1</v>
      </c>
      <c r="K1449" s="295">
        <f t="shared" si="117"/>
        <v>3.9350999999999998</v>
      </c>
      <c r="L1449" s="312">
        <f t="shared" si="118"/>
        <v>70</v>
      </c>
      <c r="M1449" s="263"/>
      <c r="N1449" s="263"/>
      <c r="O1449" s="29">
        <v>393.51</v>
      </c>
      <c r="P1449" s="29">
        <v>0</v>
      </c>
      <c r="Q1449" s="292">
        <v>70.83</v>
      </c>
      <c r="R1449" s="29">
        <v>464.34</v>
      </c>
      <c r="S1449" s="29">
        <v>0</v>
      </c>
      <c r="T1449" s="29">
        <v>1</v>
      </c>
      <c r="U1449" s="29">
        <v>4.6433999999999997</v>
      </c>
    </row>
    <row r="1450" spans="1:21">
      <c r="A1450" s="29">
        <v>7</v>
      </c>
      <c r="B1450" s="111">
        <v>1</v>
      </c>
      <c r="C1450" s="111">
        <v>307972</v>
      </c>
      <c r="D1450" s="111" t="s">
        <v>759</v>
      </c>
      <c r="E1450" s="111" t="s">
        <v>448</v>
      </c>
      <c r="F1450" s="265">
        <v>42230</v>
      </c>
      <c r="G1450" s="265">
        <v>42283</v>
      </c>
      <c r="H1450" s="266">
        <f t="shared" si="115"/>
        <v>1453.85</v>
      </c>
      <c r="I1450" s="266">
        <f t="shared" si="116"/>
        <v>0</v>
      </c>
      <c r="J1450" s="266">
        <v>1</v>
      </c>
      <c r="K1450" s="295">
        <f t="shared" si="117"/>
        <v>14.538499999999999</v>
      </c>
      <c r="L1450" s="312">
        <f t="shared" si="118"/>
        <v>53</v>
      </c>
      <c r="M1450" s="263"/>
      <c r="N1450" s="263"/>
      <c r="O1450" s="29">
        <v>1453.85</v>
      </c>
      <c r="P1450" s="29">
        <v>0</v>
      </c>
      <c r="Q1450" s="292">
        <v>261.69</v>
      </c>
      <c r="R1450" s="29">
        <v>1715.54</v>
      </c>
      <c r="S1450" s="29">
        <v>0</v>
      </c>
      <c r="T1450" s="29">
        <v>1</v>
      </c>
      <c r="U1450" s="29">
        <v>17.1554</v>
      </c>
    </row>
    <row r="1451" spans="1:21">
      <c r="A1451" s="29">
        <v>8</v>
      </c>
      <c r="B1451" s="111">
        <v>1</v>
      </c>
      <c r="C1451" s="111">
        <v>307947</v>
      </c>
      <c r="D1451" s="111" t="s">
        <v>759</v>
      </c>
      <c r="E1451" s="111" t="s">
        <v>448</v>
      </c>
      <c r="F1451" s="265">
        <v>42230</v>
      </c>
      <c r="G1451" s="265">
        <v>42283</v>
      </c>
      <c r="H1451" s="266">
        <f t="shared" si="115"/>
        <v>1181.28</v>
      </c>
      <c r="I1451" s="266">
        <f t="shared" si="116"/>
        <v>0</v>
      </c>
      <c r="J1451" s="266">
        <v>1</v>
      </c>
      <c r="K1451" s="295">
        <f t="shared" si="117"/>
        <v>11.812799999999999</v>
      </c>
      <c r="L1451" s="312">
        <f t="shared" si="118"/>
        <v>53</v>
      </c>
      <c r="M1451" s="263"/>
      <c r="N1451" s="263"/>
      <c r="O1451" s="29">
        <v>1181.28</v>
      </c>
      <c r="P1451" s="29">
        <v>0</v>
      </c>
      <c r="Q1451" s="292">
        <v>212.63</v>
      </c>
      <c r="R1451" s="29">
        <v>1393.91</v>
      </c>
      <c r="S1451" s="29">
        <v>0</v>
      </c>
      <c r="T1451" s="29">
        <v>1</v>
      </c>
      <c r="U1451" s="29">
        <v>13.9391</v>
      </c>
    </row>
    <row r="1452" spans="1:21">
      <c r="A1452" s="29">
        <v>9</v>
      </c>
      <c r="B1452" s="111">
        <v>1</v>
      </c>
      <c r="C1452" s="111">
        <v>307971</v>
      </c>
      <c r="D1452" s="111" t="s">
        <v>759</v>
      </c>
      <c r="E1452" s="111" t="s">
        <v>448</v>
      </c>
      <c r="F1452" s="265">
        <v>42230</v>
      </c>
      <c r="G1452" s="265">
        <v>42283</v>
      </c>
      <c r="H1452" s="266">
        <f t="shared" si="115"/>
        <v>1342.42</v>
      </c>
      <c r="I1452" s="266">
        <f t="shared" si="116"/>
        <v>0</v>
      </c>
      <c r="J1452" s="266">
        <v>1</v>
      </c>
      <c r="K1452" s="295">
        <f t="shared" si="117"/>
        <v>13.424200000000001</v>
      </c>
      <c r="L1452" s="312">
        <f t="shared" si="118"/>
        <v>53</v>
      </c>
      <c r="M1452" s="263"/>
      <c r="N1452" s="263"/>
      <c r="O1452" s="29">
        <v>1342.42</v>
      </c>
      <c r="P1452" s="29">
        <v>0</v>
      </c>
      <c r="Q1452" s="292">
        <v>241.64</v>
      </c>
      <c r="R1452" s="29">
        <v>1584.06</v>
      </c>
      <c r="S1452" s="29">
        <v>0</v>
      </c>
      <c r="T1452" s="29">
        <v>1</v>
      </c>
      <c r="U1452" s="29">
        <v>15.8406</v>
      </c>
    </row>
    <row r="1453" spans="1:21">
      <c r="A1453" s="29">
        <v>10</v>
      </c>
      <c r="B1453" s="111">
        <v>1</v>
      </c>
      <c r="C1453" s="111">
        <v>308016</v>
      </c>
      <c r="D1453" s="111" t="s">
        <v>758</v>
      </c>
      <c r="E1453" s="111" t="s">
        <v>448</v>
      </c>
      <c r="F1453" s="265">
        <v>42233</v>
      </c>
      <c r="G1453" s="265">
        <v>42278</v>
      </c>
      <c r="H1453" s="266">
        <f t="shared" si="115"/>
        <v>5203.01</v>
      </c>
      <c r="I1453" s="266">
        <f t="shared" si="116"/>
        <v>0</v>
      </c>
      <c r="J1453" s="266">
        <v>1</v>
      </c>
      <c r="K1453" s="295">
        <f t="shared" si="117"/>
        <v>52.030100000000004</v>
      </c>
      <c r="L1453" s="312">
        <f t="shared" si="118"/>
        <v>45</v>
      </c>
      <c r="M1453" s="263"/>
      <c r="N1453" s="263"/>
      <c r="O1453" s="29">
        <v>5203.01</v>
      </c>
      <c r="P1453" s="29">
        <v>0</v>
      </c>
      <c r="Q1453" s="292">
        <v>936.54</v>
      </c>
      <c r="R1453" s="29">
        <v>6139.55</v>
      </c>
      <c r="S1453" s="29">
        <v>0</v>
      </c>
      <c r="T1453" s="29">
        <v>1</v>
      </c>
      <c r="U1453" s="29">
        <v>61.395499999999998</v>
      </c>
    </row>
    <row r="1454" spans="1:21">
      <c r="A1454" s="29">
        <v>11</v>
      </c>
      <c r="B1454" s="111">
        <v>1</v>
      </c>
      <c r="C1454" s="111">
        <v>308077</v>
      </c>
      <c r="D1454" s="111" t="s">
        <v>759</v>
      </c>
      <c r="E1454" s="111" t="s">
        <v>448</v>
      </c>
      <c r="F1454" s="265">
        <v>42234</v>
      </c>
      <c r="G1454" s="265">
        <v>42283</v>
      </c>
      <c r="H1454" s="266">
        <f t="shared" si="115"/>
        <v>243.74</v>
      </c>
      <c r="I1454" s="266">
        <f t="shared" si="116"/>
        <v>0</v>
      </c>
      <c r="J1454" s="266">
        <v>1</v>
      </c>
      <c r="K1454" s="295">
        <f t="shared" si="117"/>
        <v>2.4374000000000002</v>
      </c>
      <c r="L1454" s="312">
        <f t="shared" si="118"/>
        <v>49</v>
      </c>
      <c r="M1454" s="263"/>
      <c r="N1454" s="263"/>
      <c r="O1454" s="29">
        <v>243.74</v>
      </c>
      <c r="P1454" s="29">
        <v>0</v>
      </c>
      <c r="Q1454" s="292">
        <v>43.87</v>
      </c>
      <c r="R1454" s="29">
        <v>287.61</v>
      </c>
      <c r="S1454" s="29">
        <v>0</v>
      </c>
      <c r="T1454" s="29">
        <v>1</v>
      </c>
      <c r="U1454" s="29">
        <v>2.8761000000000001</v>
      </c>
    </row>
    <row r="1455" spans="1:21">
      <c r="A1455" s="29">
        <v>12</v>
      </c>
      <c r="B1455" s="111">
        <v>1</v>
      </c>
      <c r="C1455" s="111">
        <v>308076</v>
      </c>
      <c r="D1455" s="111" t="s">
        <v>759</v>
      </c>
      <c r="E1455" s="111" t="s">
        <v>448</v>
      </c>
      <c r="F1455" s="265">
        <v>42234</v>
      </c>
      <c r="G1455" s="265">
        <v>42283</v>
      </c>
      <c r="H1455" s="266">
        <f t="shared" si="115"/>
        <v>6510.24</v>
      </c>
      <c r="I1455" s="266">
        <f t="shared" si="116"/>
        <v>0</v>
      </c>
      <c r="J1455" s="266">
        <v>1</v>
      </c>
      <c r="K1455" s="295">
        <f t="shared" si="117"/>
        <v>65.102400000000003</v>
      </c>
      <c r="L1455" s="312">
        <f t="shared" si="118"/>
        <v>49</v>
      </c>
      <c r="M1455" s="263"/>
      <c r="N1455" s="263"/>
      <c r="O1455" s="29">
        <v>6510.24</v>
      </c>
      <c r="P1455" s="29">
        <v>0</v>
      </c>
      <c r="Q1455" s="292">
        <v>1171.8399999999999</v>
      </c>
      <c r="R1455" s="29">
        <v>7682.08</v>
      </c>
      <c r="S1455" s="29">
        <v>0</v>
      </c>
      <c r="T1455" s="29">
        <v>1</v>
      </c>
      <c r="U1455" s="29">
        <v>76.820800000000006</v>
      </c>
    </row>
    <row r="1456" spans="1:21">
      <c r="A1456" s="29">
        <v>13</v>
      </c>
      <c r="B1456" s="111">
        <v>1</v>
      </c>
      <c r="C1456" s="111">
        <v>308075</v>
      </c>
      <c r="D1456" s="111" t="s">
        <v>759</v>
      </c>
      <c r="E1456" s="111" t="s">
        <v>448</v>
      </c>
      <c r="F1456" s="265">
        <v>42234</v>
      </c>
      <c r="G1456" s="265">
        <v>42283</v>
      </c>
      <c r="H1456" s="266">
        <f t="shared" si="115"/>
        <v>330.35</v>
      </c>
      <c r="I1456" s="266">
        <f t="shared" si="116"/>
        <v>0</v>
      </c>
      <c r="J1456" s="266">
        <v>1</v>
      </c>
      <c r="K1456" s="295">
        <f t="shared" si="117"/>
        <v>3.3035000000000001</v>
      </c>
      <c r="L1456" s="312">
        <f t="shared" si="118"/>
        <v>49</v>
      </c>
      <c r="M1456" s="263"/>
      <c r="N1456" s="263"/>
      <c r="O1456" s="29">
        <v>330.35</v>
      </c>
      <c r="P1456" s="29">
        <v>0</v>
      </c>
      <c r="Q1456" s="292">
        <v>59.46</v>
      </c>
      <c r="R1456" s="29">
        <v>389.81</v>
      </c>
      <c r="S1456" s="29">
        <v>0</v>
      </c>
      <c r="T1456" s="29">
        <v>1</v>
      </c>
      <c r="U1456" s="29">
        <v>3.8980999999999999</v>
      </c>
    </row>
    <row r="1457" spans="1:21">
      <c r="A1457" s="29">
        <v>14</v>
      </c>
      <c r="B1457" s="111">
        <v>1</v>
      </c>
      <c r="C1457" s="111">
        <v>308186</v>
      </c>
      <c r="D1457" s="111" t="s">
        <v>758</v>
      </c>
      <c r="E1457" s="111" t="s">
        <v>448</v>
      </c>
      <c r="F1457" s="265">
        <v>42235</v>
      </c>
      <c r="G1457" s="265">
        <v>42278</v>
      </c>
      <c r="H1457" s="266">
        <f t="shared" si="115"/>
        <v>748.43</v>
      </c>
      <c r="I1457" s="266">
        <f t="shared" si="116"/>
        <v>0</v>
      </c>
      <c r="J1457" s="266">
        <v>1</v>
      </c>
      <c r="K1457" s="295">
        <f t="shared" si="117"/>
        <v>7.4842999999999993</v>
      </c>
      <c r="L1457" s="312">
        <f t="shared" si="118"/>
        <v>43</v>
      </c>
      <c r="M1457" s="263"/>
      <c r="N1457" s="263"/>
      <c r="O1457" s="29">
        <v>748.43</v>
      </c>
      <c r="P1457" s="29">
        <v>0</v>
      </c>
      <c r="Q1457" s="292">
        <v>134.72</v>
      </c>
      <c r="R1457" s="29">
        <v>883.15</v>
      </c>
      <c r="S1457" s="29">
        <v>0</v>
      </c>
      <c r="T1457" s="29">
        <v>1</v>
      </c>
      <c r="U1457" s="29">
        <v>8.8315000000000001</v>
      </c>
    </row>
    <row r="1458" spans="1:21">
      <c r="A1458" s="29">
        <v>15</v>
      </c>
      <c r="B1458" s="111">
        <v>1</v>
      </c>
      <c r="C1458" s="111">
        <v>308187</v>
      </c>
      <c r="D1458" s="111" t="s">
        <v>758</v>
      </c>
      <c r="E1458" s="111" t="s">
        <v>448</v>
      </c>
      <c r="F1458" s="265">
        <v>42235</v>
      </c>
      <c r="G1458" s="265">
        <v>42278</v>
      </c>
      <c r="H1458" s="266">
        <f t="shared" si="115"/>
        <v>4142.12</v>
      </c>
      <c r="I1458" s="266">
        <f t="shared" si="116"/>
        <v>0</v>
      </c>
      <c r="J1458" s="266">
        <v>1</v>
      </c>
      <c r="K1458" s="295">
        <f t="shared" si="117"/>
        <v>41.421199999999999</v>
      </c>
      <c r="L1458" s="312">
        <f t="shared" si="118"/>
        <v>43</v>
      </c>
      <c r="M1458" s="263"/>
      <c r="N1458" s="263"/>
      <c r="O1458" s="29">
        <v>4142.12</v>
      </c>
      <c r="P1458" s="29">
        <v>0</v>
      </c>
      <c r="Q1458" s="292">
        <v>745.58</v>
      </c>
      <c r="R1458" s="29">
        <v>4887.7</v>
      </c>
      <c r="S1458" s="29">
        <v>0</v>
      </c>
      <c r="T1458" s="29">
        <v>1</v>
      </c>
      <c r="U1458" s="29">
        <v>48.877000000000002</v>
      </c>
    </row>
    <row r="1459" spans="1:21">
      <c r="A1459" s="29">
        <v>16</v>
      </c>
      <c r="B1459" s="111">
        <v>1</v>
      </c>
      <c r="C1459" s="111">
        <v>308188</v>
      </c>
      <c r="D1459" s="111" t="s">
        <v>758</v>
      </c>
      <c r="E1459" s="111" t="s">
        <v>448</v>
      </c>
      <c r="F1459" s="265">
        <v>42235</v>
      </c>
      <c r="G1459" s="265">
        <v>42278</v>
      </c>
      <c r="H1459" s="266">
        <f t="shared" si="115"/>
        <v>4613.9399999999996</v>
      </c>
      <c r="I1459" s="266">
        <f t="shared" si="116"/>
        <v>59.13</v>
      </c>
      <c r="J1459" s="266">
        <v>1</v>
      </c>
      <c r="K1459" s="295">
        <f t="shared" si="117"/>
        <v>45.548099999999998</v>
      </c>
      <c r="L1459" s="312">
        <f t="shared" si="118"/>
        <v>43</v>
      </c>
      <c r="M1459" s="263"/>
      <c r="N1459" s="263"/>
      <c r="O1459" s="29">
        <v>4613.9399999999996</v>
      </c>
      <c r="P1459" s="29">
        <v>0</v>
      </c>
      <c r="Q1459" s="292">
        <v>830.51</v>
      </c>
      <c r="R1459" s="29">
        <v>5444.45</v>
      </c>
      <c r="S1459" s="29">
        <v>59.13</v>
      </c>
      <c r="T1459" s="29">
        <v>1</v>
      </c>
      <c r="U1459" s="29">
        <v>53.853200000000001</v>
      </c>
    </row>
    <row r="1460" spans="1:21">
      <c r="A1460" s="29">
        <v>17</v>
      </c>
      <c r="B1460" s="111">
        <v>1</v>
      </c>
      <c r="C1460" s="111">
        <v>308240</v>
      </c>
      <c r="D1460" s="111" t="s">
        <v>759</v>
      </c>
      <c r="E1460" s="111" t="s">
        <v>448</v>
      </c>
      <c r="F1460" s="265">
        <v>42235</v>
      </c>
      <c r="G1460" s="265">
        <v>42286</v>
      </c>
      <c r="H1460" s="266">
        <f t="shared" si="115"/>
        <v>5764.55</v>
      </c>
      <c r="I1460" s="266">
        <f t="shared" si="116"/>
        <v>0</v>
      </c>
      <c r="J1460" s="266">
        <v>1</v>
      </c>
      <c r="K1460" s="295">
        <f t="shared" si="117"/>
        <v>57.645500000000006</v>
      </c>
      <c r="L1460" s="312">
        <f t="shared" si="118"/>
        <v>51</v>
      </c>
      <c r="M1460" s="263"/>
      <c r="N1460" s="263"/>
      <c r="O1460" s="29">
        <v>5764.55</v>
      </c>
      <c r="P1460" s="29">
        <v>0</v>
      </c>
      <c r="Q1460" s="292">
        <v>1037.6199999999999</v>
      </c>
      <c r="R1460" s="29">
        <v>6802.17</v>
      </c>
      <c r="S1460" s="29">
        <v>0</v>
      </c>
      <c r="T1460" s="29">
        <v>1</v>
      </c>
      <c r="U1460" s="29">
        <v>68.021699999999996</v>
      </c>
    </row>
    <row r="1461" spans="1:21">
      <c r="A1461" s="29">
        <v>18</v>
      </c>
      <c r="B1461" s="111">
        <v>1</v>
      </c>
      <c r="C1461" s="111">
        <v>308321</v>
      </c>
      <c r="D1461" s="111" t="s">
        <v>758</v>
      </c>
      <c r="E1461" s="111" t="s">
        <v>448</v>
      </c>
      <c r="F1461" s="265">
        <v>42236</v>
      </c>
      <c r="G1461" s="265">
        <v>42278</v>
      </c>
      <c r="H1461" s="266">
        <f t="shared" si="115"/>
        <v>3277.9</v>
      </c>
      <c r="I1461" s="266">
        <f t="shared" si="116"/>
        <v>0</v>
      </c>
      <c r="J1461" s="266">
        <v>1</v>
      </c>
      <c r="K1461" s="295">
        <f t="shared" si="117"/>
        <v>32.779000000000003</v>
      </c>
      <c r="L1461" s="312">
        <f t="shared" si="118"/>
        <v>42</v>
      </c>
      <c r="M1461" s="263"/>
      <c r="N1461" s="263"/>
      <c r="O1461" s="29">
        <v>3277.9</v>
      </c>
      <c r="P1461" s="29">
        <v>0</v>
      </c>
      <c r="Q1461" s="292">
        <v>590.02</v>
      </c>
      <c r="R1461" s="29">
        <v>3867.92</v>
      </c>
      <c r="S1461" s="29">
        <v>0</v>
      </c>
      <c r="T1461" s="29">
        <v>1</v>
      </c>
      <c r="U1461" s="29">
        <v>38.679200000000002</v>
      </c>
    </row>
    <row r="1462" spans="1:21">
      <c r="A1462" s="29">
        <v>19</v>
      </c>
      <c r="B1462" s="111">
        <v>1</v>
      </c>
      <c r="C1462" s="111">
        <v>308318</v>
      </c>
      <c r="D1462" s="111" t="s">
        <v>757</v>
      </c>
      <c r="E1462" s="111" t="s">
        <v>448</v>
      </c>
      <c r="F1462" s="265">
        <v>42236</v>
      </c>
      <c r="G1462" s="265">
        <v>42286</v>
      </c>
      <c r="H1462" s="266">
        <f t="shared" si="115"/>
        <v>105.05</v>
      </c>
      <c r="I1462" s="266">
        <f t="shared" si="116"/>
        <v>0</v>
      </c>
      <c r="J1462" s="266">
        <v>1</v>
      </c>
      <c r="K1462" s="295">
        <f t="shared" si="117"/>
        <v>1.0505</v>
      </c>
      <c r="L1462" s="312">
        <f t="shared" si="118"/>
        <v>50</v>
      </c>
      <c r="M1462" s="263"/>
      <c r="N1462" s="263"/>
      <c r="O1462" s="29">
        <v>105.05</v>
      </c>
      <c r="P1462" s="29">
        <v>0</v>
      </c>
      <c r="Q1462" s="292">
        <v>18.91</v>
      </c>
      <c r="R1462" s="29">
        <v>123.96</v>
      </c>
      <c r="S1462" s="29">
        <v>0</v>
      </c>
      <c r="T1462" s="29">
        <v>1</v>
      </c>
      <c r="U1462" s="29">
        <v>1.2396</v>
      </c>
    </row>
    <row r="1463" spans="1:21">
      <c r="A1463" s="29">
        <v>20</v>
      </c>
      <c r="B1463" s="111">
        <v>1</v>
      </c>
      <c r="C1463" s="111">
        <v>308319</v>
      </c>
      <c r="D1463" s="111" t="s">
        <v>757</v>
      </c>
      <c r="E1463" s="111" t="s">
        <v>448</v>
      </c>
      <c r="F1463" s="265">
        <v>42236</v>
      </c>
      <c r="G1463" s="265">
        <v>42286</v>
      </c>
      <c r="H1463" s="266">
        <f t="shared" si="115"/>
        <v>158.22999999999999</v>
      </c>
      <c r="I1463" s="266">
        <f t="shared" si="116"/>
        <v>0</v>
      </c>
      <c r="J1463" s="266">
        <v>1</v>
      </c>
      <c r="K1463" s="295">
        <f t="shared" si="117"/>
        <v>1.5823</v>
      </c>
      <c r="L1463" s="312">
        <f t="shared" si="118"/>
        <v>50</v>
      </c>
      <c r="M1463" s="263"/>
      <c r="N1463" s="263"/>
      <c r="O1463" s="29">
        <v>158.22999999999999</v>
      </c>
      <c r="P1463" s="29">
        <v>0</v>
      </c>
      <c r="Q1463" s="292">
        <v>28.48</v>
      </c>
      <c r="R1463" s="29">
        <v>186.71</v>
      </c>
      <c r="S1463" s="29">
        <v>0</v>
      </c>
      <c r="T1463" s="29">
        <v>1</v>
      </c>
      <c r="U1463" s="29">
        <v>1.8671</v>
      </c>
    </row>
    <row r="1464" spans="1:21">
      <c r="A1464" s="29">
        <v>21</v>
      </c>
      <c r="B1464" s="111">
        <v>1</v>
      </c>
      <c r="C1464" s="111">
        <v>308535</v>
      </c>
      <c r="D1464" s="111" t="s">
        <v>758</v>
      </c>
      <c r="E1464" s="111" t="s">
        <v>448</v>
      </c>
      <c r="F1464" s="265">
        <v>42238</v>
      </c>
      <c r="G1464" s="265">
        <v>42278</v>
      </c>
      <c r="H1464" s="266">
        <f t="shared" si="115"/>
        <v>8714.9500000000007</v>
      </c>
      <c r="I1464" s="266">
        <f t="shared" si="116"/>
        <v>0</v>
      </c>
      <c r="J1464" s="266">
        <v>1</v>
      </c>
      <c r="K1464" s="295">
        <f t="shared" si="117"/>
        <v>87.149500000000003</v>
      </c>
      <c r="L1464" s="312">
        <f t="shared" si="118"/>
        <v>40</v>
      </c>
      <c r="M1464" s="263"/>
      <c r="N1464" s="263"/>
      <c r="O1464" s="29">
        <v>8714.9500000000007</v>
      </c>
      <c r="P1464" s="29">
        <v>0</v>
      </c>
      <c r="Q1464" s="292">
        <v>1568.69</v>
      </c>
      <c r="R1464" s="29">
        <v>10283.64</v>
      </c>
      <c r="S1464" s="29">
        <v>0</v>
      </c>
      <c r="T1464" s="29">
        <v>1</v>
      </c>
      <c r="U1464" s="29">
        <v>102.8364</v>
      </c>
    </row>
    <row r="1465" spans="1:21">
      <c r="A1465" s="29">
        <v>22</v>
      </c>
      <c r="B1465" s="111">
        <v>1</v>
      </c>
      <c r="C1465" s="111">
        <v>308537</v>
      </c>
      <c r="D1465" s="111" t="s">
        <v>759</v>
      </c>
      <c r="E1465" s="111" t="s">
        <v>448</v>
      </c>
      <c r="F1465" s="265">
        <v>42238</v>
      </c>
      <c r="G1465" s="265">
        <v>42286</v>
      </c>
      <c r="H1465" s="266">
        <f t="shared" si="115"/>
        <v>3395</v>
      </c>
      <c r="I1465" s="266">
        <f t="shared" si="116"/>
        <v>0</v>
      </c>
      <c r="J1465" s="266">
        <v>1</v>
      </c>
      <c r="K1465" s="295">
        <f t="shared" si="117"/>
        <v>33.950000000000003</v>
      </c>
      <c r="L1465" s="312">
        <f t="shared" si="118"/>
        <v>48</v>
      </c>
      <c r="M1465" s="263"/>
      <c r="N1465" s="263"/>
      <c r="O1465" s="29">
        <v>3395</v>
      </c>
      <c r="P1465" s="29">
        <v>0</v>
      </c>
      <c r="Q1465" s="292">
        <v>611.1</v>
      </c>
      <c r="R1465" s="29">
        <v>4006.1</v>
      </c>
      <c r="S1465" s="29">
        <v>0</v>
      </c>
      <c r="T1465" s="29">
        <v>1</v>
      </c>
      <c r="U1465" s="29">
        <v>40.061</v>
      </c>
    </row>
    <row r="1466" spans="1:21">
      <c r="A1466" s="29">
        <v>23</v>
      </c>
      <c r="B1466" s="111">
        <v>1</v>
      </c>
      <c r="C1466" s="111">
        <v>308531</v>
      </c>
      <c r="D1466" s="111" t="s">
        <v>758</v>
      </c>
      <c r="E1466" s="111" t="s">
        <v>448</v>
      </c>
      <c r="F1466" s="265">
        <v>42238</v>
      </c>
      <c r="G1466" s="265">
        <v>42278</v>
      </c>
      <c r="H1466" s="266">
        <f t="shared" si="115"/>
        <v>1604.9</v>
      </c>
      <c r="I1466" s="266">
        <f t="shared" si="116"/>
        <v>0</v>
      </c>
      <c r="J1466" s="266">
        <v>1</v>
      </c>
      <c r="K1466" s="295">
        <f t="shared" si="117"/>
        <v>16.048999999999999</v>
      </c>
      <c r="L1466" s="312">
        <f t="shared" si="118"/>
        <v>40</v>
      </c>
      <c r="M1466" s="263"/>
      <c r="N1466" s="263"/>
      <c r="O1466" s="29">
        <v>1604.9</v>
      </c>
      <c r="P1466" s="29">
        <v>0</v>
      </c>
      <c r="Q1466" s="292">
        <v>288.88</v>
      </c>
      <c r="R1466" s="29">
        <v>1893.78</v>
      </c>
      <c r="S1466" s="29">
        <v>0</v>
      </c>
      <c r="T1466" s="29">
        <v>1</v>
      </c>
      <c r="U1466" s="29">
        <v>18.937799999999999</v>
      </c>
    </row>
    <row r="1467" spans="1:21">
      <c r="A1467" s="29">
        <v>24</v>
      </c>
      <c r="B1467" s="111">
        <v>1</v>
      </c>
      <c r="C1467" s="111">
        <v>308532</v>
      </c>
      <c r="D1467" s="111" t="s">
        <v>758</v>
      </c>
      <c r="E1467" s="111" t="s">
        <v>448</v>
      </c>
      <c r="F1467" s="265">
        <v>42238</v>
      </c>
      <c r="G1467" s="265">
        <v>42278</v>
      </c>
      <c r="H1467" s="266">
        <f t="shared" si="115"/>
        <v>7555.16</v>
      </c>
      <c r="I1467" s="266">
        <f t="shared" si="116"/>
        <v>0</v>
      </c>
      <c r="J1467" s="266">
        <v>1</v>
      </c>
      <c r="K1467" s="295">
        <f t="shared" si="117"/>
        <v>75.551599999999993</v>
      </c>
      <c r="L1467" s="312">
        <f t="shared" si="118"/>
        <v>40</v>
      </c>
      <c r="M1467" s="263"/>
      <c r="N1467" s="263"/>
      <c r="O1467" s="29">
        <v>7555.16</v>
      </c>
      <c r="P1467" s="29">
        <v>0</v>
      </c>
      <c r="Q1467" s="292">
        <v>1359.93</v>
      </c>
      <c r="R1467" s="29">
        <v>8915.09</v>
      </c>
      <c r="S1467" s="29">
        <v>0</v>
      </c>
      <c r="T1467" s="29">
        <v>1</v>
      </c>
      <c r="U1467" s="29">
        <v>89.150899999999993</v>
      </c>
    </row>
    <row r="1468" spans="1:21">
      <c r="A1468" s="29">
        <v>25</v>
      </c>
      <c r="B1468" s="111">
        <v>1</v>
      </c>
      <c r="C1468" s="111">
        <v>308528</v>
      </c>
      <c r="D1468" s="111" t="s">
        <v>759</v>
      </c>
      <c r="E1468" s="111" t="s">
        <v>448</v>
      </c>
      <c r="F1468" s="265">
        <v>42238</v>
      </c>
      <c r="G1468" s="265">
        <v>42286</v>
      </c>
      <c r="H1468" s="266">
        <f t="shared" si="115"/>
        <v>356.66</v>
      </c>
      <c r="I1468" s="266">
        <f t="shared" si="116"/>
        <v>0</v>
      </c>
      <c r="J1468" s="266">
        <v>1</v>
      </c>
      <c r="K1468" s="295">
        <f t="shared" si="117"/>
        <v>3.5666000000000002</v>
      </c>
      <c r="L1468" s="312">
        <f t="shared" si="118"/>
        <v>48</v>
      </c>
      <c r="M1468" s="263"/>
      <c r="N1468" s="263"/>
      <c r="O1468" s="29">
        <v>356.66</v>
      </c>
      <c r="P1468" s="29">
        <v>0</v>
      </c>
      <c r="Q1468" s="292">
        <v>64.2</v>
      </c>
      <c r="R1468" s="29">
        <v>420.86</v>
      </c>
      <c r="S1468" s="29">
        <v>0</v>
      </c>
      <c r="T1468" s="29">
        <v>1</v>
      </c>
      <c r="U1468" s="29">
        <v>4.2085999999999997</v>
      </c>
    </row>
    <row r="1469" spans="1:21">
      <c r="A1469" s="29">
        <v>26</v>
      </c>
      <c r="B1469" s="111">
        <v>1</v>
      </c>
      <c r="C1469" s="111">
        <v>308530</v>
      </c>
      <c r="D1469" s="111" t="s">
        <v>759</v>
      </c>
      <c r="E1469" s="111" t="s">
        <v>448</v>
      </c>
      <c r="F1469" s="265">
        <v>42238</v>
      </c>
      <c r="G1469" s="265">
        <v>42286</v>
      </c>
      <c r="H1469" s="266">
        <f t="shared" si="115"/>
        <v>9655.51</v>
      </c>
      <c r="I1469" s="266">
        <f t="shared" si="116"/>
        <v>666.36</v>
      </c>
      <c r="J1469" s="266">
        <v>1</v>
      </c>
      <c r="K1469" s="295">
        <f t="shared" si="117"/>
        <v>89.891499999999994</v>
      </c>
      <c r="L1469" s="312">
        <f t="shared" si="118"/>
        <v>48</v>
      </c>
      <c r="M1469" s="263"/>
      <c r="N1469" s="263"/>
      <c r="O1469" s="29">
        <v>9655.51</v>
      </c>
      <c r="P1469" s="29">
        <v>0</v>
      </c>
      <c r="Q1469" s="292">
        <v>1737.99</v>
      </c>
      <c r="R1469" s="29">
        <v>11393.5</v>
      </c>
      <c r="S1469" s="29">
        <v>666.36</v>
      </c>
      <c r="T1469" s="29">
        <v>1</v>
      </c>
      <c r="U1469" s="29">
        <v>107.2714</v>
      </c>
    </row>
    <row r="1470" spans="1:21">
      <c r="A1470" s="29">
        <v>27</v>
      </c>
      <c r="B1470" s="111">
        <v>1</v>
      </c>
      <c r="C1470" s="111">
        <v>308579</v>
      </c>
      <c r="D1470" s="111" t="s">
        <v>757</v>
      </c>
      <c r="E1470" s="111" t="s">
        <v>448</v>
      </c>
      <c r="F1470" s="265">
        <v>42240</v>
      </c>
      <c r="G1470" s="265">
        <v>42286</v>
      </c>
      <c r="H1470" s="266">
        <f t="shared" si="115"/>
        <v>295.68</v>
      </c>
      <c r="I1470" s="266">
        <f t="shared" si="116"/>
        <v>0</v>
      </c>
      <c r="J1470" s="266">
        <v>1</v>
      </c>
      <c r="K1470" s="295">
        <f t="shared" si="117"/>
        <v>2.9568000000000003</v>
      </c>
      <c r="L1470" s="312">
        <f t="shared" si="118"/>
        <v>46</v>
      </c>
      <c r="M1470" s="263"/>
      <c r="N1470" s="263"/>
      <c r="O1470" s="29">
        <v>295.68</v>
      </c>
      <c r="P1470" s="29">
        <v>0</v>
      </c>
      <c r="Q1470" s="292">
        <v>53.22</v>
      </c>
      <c r="R1470" s="29">
        <v>348.9</v>
      </c>
      <c r="S1470" s="29">
        <v>0</v>
      </c>
      <c r="T1470" s="29">
        <v>1</v>
      </c>
      <c r="U1470" s="29">
        <v>3.4889999999999999</v>
      </c>
    </row>
    <row r="1471" spans="1:21">
      <c r="A1471" s="29">
        <v>28</v>
      </c>
      <c r="B1471" s="111">
        <v>1</v>
      </c>
      <c r="C1471" s="111">
        <v>308589</v>
      </c>
      <c r="D1471" s="111" t="s">
        <v>757</v>
      </c>
      <c r="E1471" s="111" t="s">
        <v>448</v>
      </c>
      <c r="F1471" s="265">
        <v>42240</v>
      </c>
      <c r="G1471" s="265">
        <v>42286</v>
      </c>
      <c r="H1471" s="266">
        <f t="shared" si="115"/>
        <v>389.82</v>
      </c>
      <c r="I1471" s="266">
        <f t="shared" si="116"/>
        <v>0</v>
      </c>
      <c r="J1471" s="266">
        <v>1</v>
      </c>
      <c r="K1471" s="295">
        <f t="shared" si="117"/>
        <v>3.8982000000000001</v>
      </c>
      <c r="L1471" s="312">
        <f t="shared" si="118"/>
        <v>46</v>
      </c>
      <c r="M1471" s="263"/>
      <c r="N1471" s="263"/>
      <c r="O1471" s="29">
        <v>389.82</v>
      </c>
      <c r="P1471" s="29">
        <v>0</v>
      </c>
      <c r="Q1471" s="292">
        <v>70.17</v>
      </c>
      <c r="R1471" s="29">
        <v>459.99</v>
      </c>
      <c r="S1471" s="29">
        <v>0</v>
      </c>
      <c r="T1471" s="29">
        <v>1</v>
      </c>
      <c r="U1471" s="29">
        <v>4.5998999999999999</v>
      </c>
    </row>
    <row r="1472" spans="1:21">
      <c r="A1472" s="29">
        <v>29</v>
      </c>
      <c r="B1472" s="111">
        <v>1</v>
      </c>
      <c r="C1472" s="111">
        <v>308685</v>
      </c>
      <c r="D1472" s="111" t="s">
        <v>758</v>
      </c>
      <c r="E1472" s="111" t="s">
        <v>448</v>
      </c>
      <c r="F1472" s="265">
        <v>42241</v>
      </c>
      <c r="G1472" s="265">
        <v>42278</v>
      </c>
      <c r="H1472" s="266">
        <f t="shared" si="115"/>
        <v>1943.68</v>
      </c>
      <c r="I1472" s="266">
        <f t="shared" si="116"/>
        <v>0</v>
      </c>
      <c r="J1472" s="266">
        <v>1</v>
      </c>
      <c r="K1472" s="295">
        <f t="shared" si="117"/>
        <v>19.436800000000002</v>
      </c>
      <c r="L1472" s="312">
        <f t="shared" si="118"/>
        <v>37</v>
      </c>
      <c r="M1472" s="263"/>
      <c r="N1472" s="263"/>
      <c r="O1472" s="29">
        <v>1943.68</v>
      </c>
      <c r="P1472" s="29">
        <v>0</v>
      </c>
      <c r="Q1472" s="292">
        <v>349.86</v>
      </c>
      <c r="R1472" s="29">
        <v>2293.54</v>
      </c>
      <c r="S1472" s="29">
        <v>0</v>
      </c>
      <c r="T1472" s="29">
        <v>1</v>
      </c>
      <c r="U1472" s="29">
        <v>22.935400000000001</v>
      </c>
    </row>
    <row r="1473" spans="1:21">
      <c r="A1473" s="29">
        <v>30</v>
      </c>
      <c r="B1473" s="111">
        <v>1</v>
      </c>
      <c r="C1473" s="111">
        <v>308731</v>
      </c>
      <c r="D1473" s="111" t="s">
        <v>758</v>
      </c>
      <c r="E1473" s="111" t="s">
        <v>448</v>
      </c>
      <c r="F1473" s="265">
        <v>42241</v>
      </c>
      <c r="G1473" s="265">
        <v>42278</v>
      </c>
      <c r="H1473" s="266">
        <f t="shared" si="115"/>
        <v>1348.38</v>
      </c>
      <c r="I1473" s="266">
        <f t="shared" si="116"/>
        <v>0</v>
      </c>
      <c r="J1473" s="266">
        <v>1</v>
      </c>
      <c r="K1473" s="295">
        <f t="shared" si="117"/>
        <v>13.483800000000002</v>
      </c>
      <c r="L1473" s="312">
        <f t="shared" si="118"/>
        <v>37</v>
      </c>
      <c r="M1473" s="263"/>
      <c r="N1473" s="263"/>
      <c r="O1473" s="29">
        <v>1348.38</v>
      </c>
      <c r="P1473" s="29">
        <v>0</v>
      </c>
      <c r="Q1473" s="292">
        <v>242.71</v>
      </c>
      <c r="R1473" s="29">
        <v>1591.09</v>
      </c>
      <c r="S1473" s="29">
        <v>0</v>
      </c>
      <c r="T1473" s="29">
        <v>1</v>
      </c>
      <c r="U1473" s="29">
        <v>15.9109</v>
      </c>
    </row>
    <row r="1474" spans="1:21">
      <c r="A1474" s="29">
        <v>31</v>
      </c>
      <c r="B1474" s="111">
        <v>1</v>
      </c>
      <c r="C1474" s="111">
        <v>308744</v>
      </c>
      <c r="D1474" s="111" t="s">
        <v>757</v>
      </c>
      <c r="E1474" s="111" t="s">
        <v>448</v>
      </c>
      <c r="F1474" s="265">
        <v>42241</v>
      </c>
      <c r="G1474" s="265">
        <v>42286</v>
      </c>
      <c r="H1474" s="266">
        <f t="shared" si="115"/>
        <v>488.59</v>
      </c>
      <c r="I1474" s="266">
        <f t="shared" si="116"/>
        <v>0</v>
      </c>
      <c r="J1474" s="266">
        <v>1</v>
      </c>
      <c r="K1474" s="295">
        <f t="shared" si="117"/>
        <v>4.8858999999999995</v>
      </c>
      <c r="L1474" s="312">
        <f t="shared" si="118"/>
        <v>45</v>
      </c>
      <c r="M1474" s="263"/>
      <c r="N1474" s="263"/>
      <c r="O1474" s="29">
        <v>488.59</v>
      </c>
      <c r="P1474" s="29">
        <v>0</v>
      </c>
      <c r="Q1474" s="292">
        <v>87.95</v>
      </c>
      <c r="R1474" s="29">
        <v>576.54</v>
      </c>
      <c r="S1474" s="29">
        <v>0</v>
      </c>
      <c r="T1474" s="29">
        <v>1</v>
      </c>
      <c r="U1474" s="29">
        <v>5.7653999999999996</v>
      </c>
    </row>
    <row r="1475" spans="1:21">
      <c r="A1475" s="29">
        <v>32</v>
      </c>
      <c r="B1475" s="111">
        <v>1</v>
      </c>
      <c r="C1475" s="111">
        <v>308794</v>
      </c>
      <c r="D1475" s="111" t="s">
        <v>758</v>
      </c>
      <c r="E1475" s="111" t="s">
        <v>448</v>
      </c>
      <c r="F1475" s="265">
        <v>42242</v>
      </c>
      <c r="G1475" s="265">
        <v>42278</v>
      </c>
      <c r="H1475" s="266">
        <f t="shared" si="115"/>
        <v>1356.12</v>
      </c>
      <c r="I1475" s="266">
        <f t="shared" si="116"/>
        <v>0</v>
      </c>
      <c r="J1475" s="266">
        <v>1</v>
      </c>
      <c r="K1475" s="295">
        <f t="shared" si="117"/>
        <v>13.561199999999999</v>
      </c>
      <c r="L1475" s="312">
        <f t="shared" si="118"/>
        <v>36</v>
      </c>
      <c r="M1475" s="263"/>
      <c r="N1475" s="263"/>
      <c r="O1475" s="29">
        <v>1356.12</v>
      </c>
      <c r="P1475" s="29">
        <v>0</v>
      </c>
      <c r="Q1475" s="292">
        <v>244.1</v>
      </c>
      <c r="R1475" s="29">
        <v>1600.22</v>
      </c>
      <c r="S1475" s="29">
        <v>0</v>
      </c>
      <c r="T1475" s="29">
        <v>1</v>
      </c>
      <c r="U1475" s="29">
        <v>16.002199999999998</v>
      </c>
    </row>
    <row r="1476" spans="1:21">
      <c r="A1476" s="29">
        <v>33</v>
      </c>
      <c r="B1476" s="111">
        <v>1</v>
      </c>
      <c r="C1476" s="111">
        <v>308793</v>
      </c>
      <c r="D1476" s="111" t="s">
        <v>759</v>
      </c>
      <c r="E1476" s="111" t="s">
        <v>448</v>
      </c>
      <c r="F1476" s="265">
        <v>42242</v>
      </c>
      <c r="G1476" s="265">
        <v>42286</v>
      </c>
      <c r="H1476" s="266">
        <f t="shared" ref="H1476:H1507" si="119">(O1476+P1476)</f>
        <v>4340.16</v>
      </c>
      <c r="I1476" s="266">
        <f t="shared" ref="I1476:I1507" si="120">S1476</f>
        <v>0</v>
      </c>
      <c r="J1476" s="266">
        <v>1</v>
      </c>
      <c r="K1476" s="295">
        <f t="shared" ref="K1476:K1507" si="121">(H1476-I1476)*J1476%</f>
        <v>43.401600000000002</v>
      </c>
      <c r="L1476" s="312">
        <f t="shared" ref="L1476:L1507" si="122">G1476-F1476</f>
        <v>44</v>
      </c>
      <c r="M1476" s="263"/>
      <c r="N1476" s="263"/>
      <c r="O1476" s="29">
        <v>4340.16</v>
      </c>
      <c r="P1476" s="29">
        <v>0</v>
      </c>
      <c r="Q1476" s="292">
        <v>781.23</v>
      </c>
      <c r="R1476" s="29">
        <v>5121.3900000000003</v>
      </c>
      <c r="S1476" s="29">
        <v>0</v>
      </c>
      <c r="T1476" s="29">
        <v>1</v>
      </c>
      <c r="U1476" s="29">
        <v>51.213900000000002</v>
      </c>
    </row>
    <row r="1477" spans="1:21">
      <c r="A1477" s="29">
        <v>34</v>
      </c>
      <c r="B1477" s="111">
        <v>1</v>
      </c>
      <c r="C1477" s="111">
        <v>309062</v>
      </c>
      <c r="D1477" s="111" t="s">
        <v>758</v>
      </c>
      <c r="E1477" s="111" t="s">
        <v>448</v>
      </c>
      <c r="F1477" s="265">
        <v>42244</v>
      </c>
      <c r="G1477" s="265">
        <v>42278</v>
      </c>
      <c r="H1477" s="266">
        <f t="shared" si="119"/>
        <v>393.08</v>
      </c>
      <c r="I1477" s="266">
        <f t="shared" si="120"/>
        <v>0</v>
      </c>
      <c r="J1477" s="266">
        <v>1</v>
      </c>
      <c r="K1477" s="295">
        <f t="shared" si="121"/>
        <v>3.9308000000000001</v>
      </c>
      <c r="L1477" s="312">
        <f t="shared" si="122"/>
        <v>34</v>
      </c>
      <c r="M1477" s="263"/>
      <c r="N1477" s="263"/>
      <c r="O1477" s="29">
        <v>393.08</v>
      </c>
      <c r="P1477" s="29">
        <v>0</v>
      </c>
      <c r="Q1477" s="292">
        <v>70.75</v>
      </c>
      <c r="R1477" s="29">
        <v>463.83</v>
      </c>
      <c r="S1477" s="29">
        <v>0</v>
      </c>
      <c r="T1477" s="29">
        <v>1</v>
      </c>
      <c r="U1477" s="29">
        <v>4.6383000000000001</v>
      </c>
    </row>
    <row r="1478" spans="1:21">
      <c r="A1478" s="29">
        <v>35</v>
      </c>
      <c r="B1478" s="111">
        <v>1</v>
      </c>
      <c r="C1478" s="111">
        <v>309063</v>
      </c>
      <c r="D1478" s="111" t="s">
        <v>758</v>
      </c>
      <c r="E1478" s="111" t="s">
        <v>448</v>
      </c>
      <c r="F1478" s="265">
        <v>42244</v>
      </c>
      <c r="G1478" s="265">
        <v>42278</v>
      </c>
      <c r="H1478" s="266">
        <f t="shared" si="119"/>
        <v>2296.5</v>
      </c>
      <c r="I1478" s="266">
        <f t="shared" si="120"/>
        <v>0</v>
      </c>
      <c r="J1478" s="266">
        <v>1</v>
      </c>
      <c r="K1478" s="295">
        <f t="shared" si="121"/>
        <v>22.965</v>
      </c>
      <c r="L1478" s="312">
        <f t="shared" si="122"/>
        <v>34</v>
      </c>
      <c r="M1478" s="263"/>
      <c r="N1478" s="263"/>
      <c r="O1478" s="29">
        <v>2296.5</v>
      </c>
      <c r="P1478" s="29">
        <v>0</v>
      </c>
      <c r="Q1478" s="292">
        <v>413.37</v>
      </c>
      <c r="R1478" s="29">
        <v>2709.87</v>
      </c>
      <c r="S1478" s="29">
        <v>0</v>
      </c>
      <c r="T1478" s="29">
        <v>1</v>
      </c>
      <c r="U1478" s="29">
        <v>27.098700000000001</v>
      </c>
    </row>
    <row r="1479" spans="1:21">
      <c r="A1479" s="29">
        <v>36</v>
      </c>
      <c r="B1479" s="111">
        <v>1</v>
      </c>
      <c r="C1479" s="111">
        <v>309064</v>
      </c>
      <c r="D1479" s="111" t="s">
        <v>758</v>
      </c>
      <c r="E1479" s="111" t="s">
        <v>448</v>
      </c>
      <c r="F1479" s="265">
        <v>42244</v>
      </c>
      <c r="G1479" s="265">
        <v>42278</v>
      </c>
      <c r="H1479" s="266">
        <f t="shared" si="119"/>
        <v>9982.09</v>
      </c>
      <c r="I1479" s="266">
        <f t="shared" si="120"/>
        <v>0</v>
      </c>
      <c r="J1479" s="266">
        <v>1</v>
      </c>
      <c r="K1479" s="295">
        <f t="shared" si="121"/>
        <v>99.820900000000009</v>
      </c>
      <c r="L1479" s="312">
        <f t="shared" si="122"/>
        <v>34</v>
      </c>
      <c r="M1479" s="263"/>
      <c r="N1479" s="263"/>
      <c r="O1479" s="29">
        <v>9982.09</v>
      </c>
      <c r="P1479" s="29">
        <v>0</v>
      </c>
      <c r="Q1479" s="292">
        <v>1796.78</v>
      </c>
      <c r="R1479" s="29">
        <v>11778.87</v>
      </c>
      <c r="S1479" s="29">
        <v>0</v>
      </c>
      <c r="T1479" s="29">
        <v>1</v>
      </c>
      <c r="U1479" s="29">
        <v>117.78870000000001</v>
      </c>
    </row>
    <row r="1480" spans="1:21">
      <c r="A1480" s="29">
        <v>37</v>
      </c>
      <c r="B1480" s="111">
        <v>1</v>
      </c>
      <c r="C1480" s="111">
        <v>309065</v>
      </c>
      <c r="D1480" s="111" t="s">
        <v>758</v>
      </c>
      <c r="E1480" s="111" t="s">
        <v>448</v>
      </c>
      <c r="F1480" s="265">
        <v>42244</v>
      </c>
      <c r="G1480" s="265">
        <v>42278</v>
      </c>
      <c r="H1480" s="266">
        <f t="shared" si="119"/>
        <v>3008.21</v>
      </c>
      <c r="I1480" s="266">
        <f t="shared" si="120"/>
        <v>0</v>
      </c>
      <c r="J1480" s="266">
        <v>1</v>
      </c>
      <c r="K1480" s="295">
        <f t="shared" si="121"/>
        <v>30.082100000000001</v>
      </c>
      <c r="L1480" s="312">
        <f t="shared" si="122"/>
        <v>34</v>
      </c>
      <c r="M1480" s="263"/>
      <c r="N1480" s="263"/>
      <c r="O1480" s="29">
        <v>3008.21</v>
      </c>
      <c r="P1480" s="29">
        <v>0</v>
      </c>
      <c r="Q1480" s="292">
        <v>541.48</v>
      </c>
      <c r="R1480" s="29">
        <v>3549.69</v>
      </c>
      <c r="S1480" s="29">
        <v>0</v>
      </c>
      <c r="T1480" s="29">
        <v>1</v>
      </c>
      <c r="U1480" s="29">
        <v>35.496899999999997</v>
      </c>
    </row>
    <row r="1481" spans="1:21">
      <c r="A1481" s="29">
        <v>38</v>
      </c>
      <c r="B1481" s="111">
        <v>1</v>
      </c>
      <c r="C1481" s="111">
        <v>309167</v>
      </c>
      <c r="D1481" s="111" t="s">
        <v>759</v>
      </c>
      <c r="E1481" s="111" t="s">
        <v>448</v>
      </c>
      <c r="F1481" s="265">
        <v>42245</v>
      </c>
      <c r="G1481" s="265">
        <v>42293</v>
      </c>
      <c r="H1481" s="266">
        <f t="shared" si="119"/>
        <v>9138.7800000000007</v>
      </c>
      <c r="I1481" s="266">
        <f t="shared" si="120"/>
        <v>0</v>
      </c>
      <c r="J1481" s="266">
        <v>1</v>
      </c>
      <c r="K1481" s="295">
        <f t="shared" si="121"/>
        <v>91.387800000000013</v>
      </c>
      <c r="L1481" s="312">
        <f t="shared" si="122"/>
        <v>48</v>
      </c>
      <c r="M1481" s="263"/>
      <c r="N1481" s="263"/>
      <c r="O1481" s="29">
        <v>9138.7800000000007</v>
      </c>
      <c r="P1481" s="29">
        <v>0</v>
      </c>
      <c r="Q1481" s="292">
        <v>1644.98</v>
      </c>
      <c r="R1481" s="29">
        <v>10783.76</v>
      </c>
      <c r="S1481" s="29">
        <v>0</v>
      </c>
      <c r="T1481" s="29">
        <v>1</v>
      </c>
      <c r="U1481" s="29">
        <v>107.83759999999999</v>
      </c>
    </row>
    <row r="1482" spans="1:21">
      <c r="A1482" s="29">
        <v>39</v>
      </c>
      <c r="B1482" s="111">
        <v>1</v>
      </c>
      <c r="C1482" s="111">
        <v>309168</v>
      </c>
      <c r="D1482" s="111" t="s">
        <v>759</v>
      </c>
      <c r="E1482" s="111" t="s">
        <v>448</v>
      </c>
      <c r="F1482" s="265">
        <v>42245</v>
      </c>
      <c r="G1482" s="265">
        <v>42293</v>
      </c>
      <c r="H1482" s="266">
        <f t="shared" si="119"/>
        <v>278.72000000000003</v>
      </c>
      <c r="I1482" s="266">
        <f t="shared" si="120"/>
        <v>0</v>
      </c>
      <c r="J1482" s="266">
        <v>1</v>
      </c>
      <c r="K1482" s="295">
        <f t="shared" si="121"/>
        <v>2.7872000000000003</v>
      </c>
      <c r="L1482" s="312">
        <f t="shared" si="122"/>
        <v>48</v>
      </c>
      <c r="M1482" s="263"/>
      <c r="N1482" s="263"/>
      <c r="O1482" s="29">
        <v>278.72000000000003</v>
      </c>
      <c r="P1482" s="29">
        <v>0</v>
      </c>
      <c r="Q1482" s="292">
        <v>50.17</v>
      </c>
      <c r="R1482" s="29">
        <v>328.89</v>
      </c>
      <c r="S1482" s="29">
        <v>0</v>
      </c>
      <c r="T1482" s="29">
        <v>1</v>
      </c>
      <c r="U1482" s="29">
        <v>3.2888999999999999</v>
      </c>
    </row>
    <row r="1483" spans="1:21">
      <c r="A1483" s="29">
        <v>40</v>
      </c>
      <c r="B1483" s="111">
        <v>1</v>
      </c>
      <c r="C1483" s="111">
        <v>309189</v>
      </c>
      <c r="D1483" s="111" t="s">
        <v>758</v>
      </c>
      <c r="E1483" s="111" t="s">
        <v>448</v>
      </c>
      <c r="F1483" s="265">
        <v>42245</v>
      </c>
      <c r="G1483" s="265">
        <v>42278</v>
      </c>
      <c r="H1483" s="266">
        <f t="shared" si="119"/>
        <v>1338.99</v>
      </c>
      <c r="I1483" s="266">
        <f t="shared" si="120"/>
        <v>0</v>
      </c>
      <c r="J1483" s="266">
        <v>1</v>
      </c>
      <c r="K1483" s="295">
        <f t="shared" si="121"/>
        <v>13.389900000000001</v>
      </c>
      <c r="L1483" s="312">
        <f t="shared" si="122"/>
        <v>33</v>
      </c>
      <c r="M1483" s="263"/>
      <c r="N1483" s="263"/>
      <c r="O1483" s="29">
        <v>1338.99</v>
      </c>
      <c r="P1483" s="29">
        <v>0</v>
      </c>
      <c r="Q1483" s="292">
        <v>241.02</v>
      </c>
      <c r="R1483" s="29">
        <v>1580.01</v>
      </c>
      <c r="S1483" s="29">
        <v>0</v>
      </c>
      <c r="T1483" s="29">
        <v>1</v>
      </c>
      <c r="U1483" s="29">
        <v>15.8001</v>
      </c>
    </row>
    <row r="1484" spans="1:21">
      <c r="A1484" s="29">
        <v>41</v>
      </c>
      <c r="B1484" s="111">
        <v>1</v>
      </c>
      <c r="C1484" s="111">
        <v>309280</v>
      </c>
      <c r="D1484" s="111" t="s">
        <v>758</v>
      </c>
      <c r="E1484" s="111" t="s">
        <v>448</v>
      </c>
      <c r="F1484" s="265">
        <v>42247</v>
      </c>
      <c r="G1484" s="265">
        <v>42278</v>
      </c>
      <c r="H1484" s="266">
        <f t="shared" si="119"/>
        <v>1251.69</v>
      </c>
      <c r="I1484" s="266">
        <f t="shared" si="120"/>
        <v>0</v>
      </c>
      <c r="J1484" s="266">
        <v>1</v>
      </c>
      <c r="K1484" s="295">
        <f t="shared" si="121"/>
        <v>12.516900000000001</v>
      </c>
      <c r="L1484" s="312">
        <f t="shared" si="122"/>
        <v>31</v>
      </c>
      <c r="M1484" s="263"/>
      <c r="N1484" s="263"/>
      <c r="O1484" s="29">
        <v>1251.69</v>
      </c>
      <c r="P1484" s="29">
        <v>0</v>
      </c>
      <c r="Q1484" s="292">
        <v>225.3</v>
      </c>
      <c r="R1484" s="29">
        <v>1476.99</v>
      </c>
      <c r="S1484" s="29">
        <v>0</v>
      </c>
      <c r="T1484" s="29">
        <v>1</v>
      </c>
      <c r="U1484" s="29">
        <v>14.7699</v>
      </c>
    </row>
    <row r="1485" spans="1:21">
      <c r="A1485" s="29">
        <v>42</v>
      </c>
      <c r="B1485" s="111">
        <v>1</v>
      </c>
      <c r="C1485" s="111">
        <v>309281</v>
      </c>
      <c r="D1485" s="111" t="s">
        <v>758</v>
      </c>
      <c r="E1485" s="111" t="s">
        <v>448</v>
      </c>
      <c r="F1485" s="265">
        <v>42247</v>
      </c>
      <c r="G1485" s="265">
        <v>42278</v>
      </c>
      <c r="H1485" s="266">
        <f t="shared" si="119"/>
        <v>3282.7</v>
      </c>
      <c r="I1485" s="266">
        <f t="shared" si="120"/>
        <v>0</v>
      </c>
      <c r="J1485" s="266">
        <v>1</v>
      </c>
      <c r="K1485" s="295">
        <f t="shared" si="121"/>
        <v>32.826999999999998</v>
      </c>
      <c r="L1485" s="312">
        <f t="shared" si="122"/>
        <v>31</v>
      </c>
      <c r="M1485" s="263"/>
      <c r="N1485" s="263"/>
      <c r="O1485" s="29">
        <v>3282.7</v>
      </c>
      <c r="P1485" s="29">
        <v>0</v>
      </c>
      <c r="Q1485" s="292">
        <v>590.89</v>
      </c>
      <c r="R1485" s="29">
        <v>3873.59</v>
      </c>
      <c r="S1485" s="29">
        <v>0</v>
      </c>
      <c r="T1485" s="29">
        <v>1</v>
      </c>
      <c r="U1485" s="29">
        <v>38.735900000000001</v>
      </c>
    </row>
    <row r="1486" spans="1:21">
      <c r="A1486" s="29">
        <v>43</v>
      </c>
      <c r="B1486" s="111">
        <v>1</v>
      </c>
      <c r="C1486" s="111">
        <v>309382</v>
      </c>
      <c r="D1486" s="111" t="s">
        <v>758</v>
      </c>
      <c r="E1486" s="111" t="s">
        <v>448</v>
      </c>
      <c r="F1486" s="265">
        <v>42247</v>
      </c>
      <c r="G1486" s="265">
        <v>42278</v>
      </c>
      <c r="H1486" s="266">
        <f t="shared" si="119"/>
        <v>12738.93</v>
      </c>
      <c r="I1486" s="266">
        <f t="shared" si="120"/>
        <v>0</v>
      </c>
      <c r="J1486" s="266">
        <v>1</v>
      </c>
      <c r="K1486" s="295">
        <f t="shared" si="121"/>
        <v>127.38930000000001</v>
      </c>
      <c r="L1486" s="312">
        <f t="shared" si="122"/>
        <v>31</v>
      </c>
      <c r="M1486" s="263"/>
      <c r="N1486" s="263"/>
      <c r="O1486" s="29">
        <v>12738.93</v>
      </c>
      <c r="P1486" s="29">
        <v>0</v>
      </c>
      <c r="Q1486" s="292">
        <v>2293.0100000000002</v>
      </c>
      <c r="R1486" s="29">
        <v>15031.94</v>
      </c>
      <c r="S1486" s="29">
        <v>0</v>
      </c>
      <c r="T1486" s="29">
        <v>1</v>
      </c>
      <c r="U1486" s="29">
        <v>150.3194</v>
      </c>
    </row>
    <row r="1487" spans="1:21">
      <c r="A1487" s="29">
        <v>44</v>
      </c>
      <c r="B1487" s="111">
        <v>1</v>
      </c>
      <c r="C1487" s="111">
        <v>309383</v>
      </c>
      <c r="D1487" s="111" t="s">
        <v>759</v>
      </c>
      <c r="E1487" s="111" t="s">
        <v>448</v>
      </c>
      <c r="F1487" s="265">
        <v>42247</v>
      </c>
      <c r="G1487" s="265">
        <v>42300</v>
      </c>
      <c r="H1487" s="266">
        <f t="shared" si="119"/>
        <v>3295.94</v>
      </c>
      <c r="I1487" s="266">
        <f t="shared" si="120"/>
        <v>0</v>
      </c>
      <c r="J1487" s="266">
        <v>1</v>
      </c>
      <c r="K1487" s="295">
        <f t="shared" si="121"/>
        <v>32.959400000000002</v>
      </c>
      <c r="L1487" s="312">
        <f t="shared" si="122"/>
        <v>53</v>
      </c>
      <c r="M1487" s="263"/>
      <c r="N1487" s="263"/>
      <c r="O1487" s="29">
        <v>3295.94</v>
      </c>
      <c r="P1487" s="29">
        <v>0</v>
      </c>
      <c r="Q1487" s="292">
        <v>593.27</v>
      </c>
      <c r="R1487" s="29">
        <v>3889.21</v>
      </c>
      <c r="S1487" s="29">
        <v>0</v>
      </c>
      <c r="T1487" s="29">
        <v>1</v>
      </c>
      <c r="U1487" s="29">
        <v>38.892099999999999</v>
      </c>
    </row>
    <row r="1488" spans="1:21">
      <c r="A1488" s="29">
        <v>45</v>
      </c>
      <c r="B1488" s="111">
        <v>1</v>
      </c>
      <c r="C1488" s="111">
        <v>309456</v>
      </c>
      <c r="D1488" s="111" t="s">
        <v>759</v>
      </c>
      <c r="E1488" s="111" t="s">
        <v>448</v>
      </c>
      <c r="F1488" s="265">
        <v>42247</v>
      </c>
      <c r="G1488" s="265">
        <v>42300</v>
      </c>
      <c r="H1488" s="266">
        <f t="shared" si="119"/>
        <v>316.69</v>
      </c>
      <c r="I1488" s="266">
        <f t="shared" si="120"/>
        <v>0</v>
      </c>
      <c r="J1488" s="266">
        <v>1</v>
      </c>
      <c r="K1488" s="295">
        <f t="shared" si="121"/>
        <v>3.1669</v>
      </c>
      <c r="L1488" s="312">
        <f t="shared" si="122"/>
        <v>53</v>
      </c>
      <c r="M1488" s="263"/>
      <c r="N1488" s="263"/>
      <c r="O1488" s="29">
        <v>316.69</v>
      </c>
      <c r="P1488" s="29">
        <v>0</v>
      </c>
      <c r="Q1488" s="292">
        <v>57</v>
      </c>
      <c r="R1488" s="29">
        <v>373.69</v>
      </c>
      <c r="S1488" s="29">
        <v>0</v>
      </c>
      <c r="T1488" s="29">
        <v>1</v>
      </c>
      <c r="U1488" s="29">
        <v>3.7368999999999999</v>
      </c>
    </row>
    <row r="1489" spans="1:21">
      <c r="A1489" s="29">
        <v>46</v>
      </c>
      <c r="B1489" s="111">
        <v>1</v>
      </c>
      <c r="C1489" s="111">
        <v>309459</v>
      </c>
      <c r="D1489" s="111" t="s">
        <v>759</v>
      </c>
      <c r="E1489" s="111" t="s">
        <v>448</v>
      </c>
      <c r="F1489" s="265">
        <v>42247</v>
      </c>
      <c r="G1489" s="265">
        <v>42300</v>
      </c>
      <c r="H1489" s="266">
        <f t="shared" si="119"/>
        <v>191.32</v>
      </c>
      <c r="I1489" s="266">
        <f t="shared" si="120"/>
        <v>0</v>
      </c>
      <c r="J1489" s="266">
        <v>1</v>
      </c>
      <c r="K1489" s="295">
        <f t="shared" si="121"/>
        <v>1.9132</v>
      </c>
      <c r="L1489" s="312">
        <f t="shared" si="122"/>
        <v>53</v>
      </c>
      <c r="M1489" s="263"/>
      <c r="N1489" s="263"/>
      <c r="O1489" s="29">
        <v>191.32</v>
      </c>
      <c r="P1489" s="29">
        <v>0</v>
      </c>
      <c r="Q1489" s="292">
        <v>34.44</v>
      </c>
      <c r="R1489" s="29">
        <v>225.76</v>
      </c>
      <c r="S1489" s="29">
        <v>0</v>
      </c>
      <c r="T1489" s="29">
        <v>1</v>
      </c>
      <c r="U1489" s="29">
        <v>2.2576000000000001</v>
      </c>
    </row>
    <row r="1490" spans="1:21">
      <c r="A1490" s="29">
        <v>47</v>
      </c>
      <c r="B1490" s="111">
        <v>1</v>
      </c>
      <c r="C1490" s="111">
        <v>309536</v>
      </c>
      <c r="D1490" s="111" t="s">
        <v>757</v>
      </c>
      <c r="E1490" s="111" t="s">
        <v>448</v>
      </c>
      <c r="F1490" s="265">
        <v>42249</v>
      </c>
      <c r="G1490" s="265">
        <v>42286</v>
      </c>
      <c r="H1490" s="266">
        <f t="shared" si="119"/>
        <v>414.28</v>
      </c>
      <c r="I1490" s="266">
        <f t="shared" si="120"/>
        <v>0</v>
      </c>
      <c r="J1490" s="266">
        <v>1</v>
      </c>
      <c r="K1490" s="295">
        <f t="shared" si="121"/>
        <v>4.1427999999999994</v>
      </c>
      <c r="L1490" s="312">
        <f t="shared" si="122"/>
        <v>37</v>
      </c>
      <c r="M1490" s="263"/>
      <c r="N1490" s="263"/>
      <c r="O1490" s="29">
        <v>414.28</v>
      </c>
      <c r="P1490" s="29">
        <v>0</v>
      </c>
      <c r="Q1490" s="292">
        <v>74.569999999999993</v>
      </c>
      <c r="R1490" s="29">
        <v>488.85</v>
      </c>
      <c r="S1490" s="29">
        <v>0</v>
      </c>
      <c r="T1490" s="29">
        <v>1</v>
      </c>
      <c r="U1490" s="29">
        <v>4.8884999999999996</v>
      </c>
    </row>
    <row r="1491" spans="1:21">
      <c r="A1491" s="29">
        <v>48</v>
      </c>
      <c r="B1491" s="111">
        <v>1</v>
      </c>
      <c r="C1491" s="111">
        <v>309537</v>
      </c>
      <c r="D1491" s="111" t="s">
        <v>758</v>
      </c>
      <c r="E1491" s="111" t="s">
        <v>448</v>
      </c>
      <c r="F1491" s="265">
        <v>42249</v>
      </c>
      <c r="G1491" s="265">
        <v>42293</v>
      </c>
      <c r="H1491" s="266">
        <f t="shared" si="119"/>
        <v>952.25</v>
      </c>
      <c r="I1491" s="266">
        <f t="shared" si="120"/>
        <v>0</v>
      </c>
      <c r="J1491" s="266">
        <v>1</v>
      </c>
      <c r="K1491" s="295">
        <f t="shared" si="121"/>
        <v>9.5225000000000009</v>
      </c>
      <c r="L1491" s="312">
        <f t="shared" si="122"/>
        <v>44</v>
      </c>
      <c r="M1491" s="263"/>
      <c r="N1491" s="263"/>
      <c r="O1491" s="29">
        <v>952.25</v>
      </c>
      <c r="P1491" s="29">
        <v>0</v>
      </c>
      <c r="Q1491" s="292">
        <v>171.41</v>
      </c>
      <c r="R1491" s="29">
        <v>1123.6600000000001</v>
      </c>
      <c r="S1491" s="29">
        <v>0</v>
      </c>
      <c r="T1491" s="29">
        <v>1</v>
      </c>
      <c r="U1491" s="29">
        <v>11.236599999999999</v>
      </c>
    </row>
    <row r="1492" spans="1:21">
      <c r="A1492" s="29">
        <v>49</v>
      </c>
      <c r="B1492" s="111">
        <v>1</v>
      </c>
      <c r="C1492" s="111">
        <v>309557</v>
      </c>
      <c r="D1492" s="111" t="s">
        <v>759</v>
      </c>
      <c r="E1492" s="111" t="s">
        <v>448</v>
      </c>
      <c r="F1492" s="265">
        <v>42249</v>
      </c>
      <c r="G1492" s="265">
        <v>42300</v>
      </c>
      <c r="H1492" s="266">
        <f t="shared" si="119"/>
        <v>1091.04</v>
      </c>
      <c r="I1492" s="266">
        <f t="shared" si="120"/>
        <v>0</v>
      </c>
      <c r="J1492" s="266">
        <v>1</v>
      </c>
      <c r="K1492" s="295">
        <f t="shared" si="121"/>
        <v>10.910399999999999</v>
      </c>
      <c r="L1492" s="312">
        <f t="shared" si="122"/>
        <v>51</v>
      </c>
      <c r="M1492" s="263"/>
      <c r="N1492" s="263"/>
      <c r="O1492" s="29">
        <v>1091.04</v>
      </c>
      <c r="P1492" s="29">
        <v>0</v>
      </c>
      <c r="Q1492" s="292">
        <v>196.39</v>
      </c>
      <c r="R1492" s="29">
        <v>1287.43</v>
      </c>
      <c r="S1492" s="29">
        <v>0</v>
      </c>
      <c r="T1492" s="29">
        <v>1</v>
      </c>
      <c r="U1492" s="29">
        <v>12.8743</v>
      </c>
    </row>
    <row r="1493" spans="1:21">
      <c r="A1493" s="29">
        <v>50</v>
      </c>
      <c r="B1493" s="111">
        <v>1</v>
      </c>
      <c r="C1493" s="111">
        <v>309558</v>
      </c>
      <c r="D1493" s="111" t="s">
        <v>759</v>
      </c>
      <c r="E1493" s="111" t="s">
        <v>448</v>
      </c>
      <c r="F1493" s="265">
        <v>42249</v>
      </c>
      <c r="G1493" s="265">
        <v>42300</v>
      </c>
      <c r="H1493" s="266">
        <f t="shared" si="119"/>
        <v>63.15</v>
      </c>
      <c r="I1493" s="266">
        <f t="shared" si="120"/>
        <v>0</v>
      </c>
      <c r="J1493" s="266">
        <v>1</v>
      </c>
      <c r="K1493" s="295">
        <f t="shared" si="121"/>
        <v>0.63149999999999995</v>
      </c>
      <c r="L1493" s="312">
        <f t="shared" si="122"/>
        <v>51</v>
      </c>
      <c r="M1493" s="263"/>
      <c r="N1493" s="263"/>
      <c r="O1493" s="29">
        <v>63.15</v>
      </c>
      <c r="P1493" s="29">
        <v>0</v>
      </c>
      <c r="Q1493" s="292">
        <v>11.37</v>
      </c>
      <c r="R1493" s="29">
        <v>74.52</v>
      </c>
      <c r="S1493" s="29">
        <v>0</v>
      </c>
      <c r="T1493" s="29">
        <v>1</v>
      </c>
      <c r="U1493" s="29">
        <v>0.74519999999999997</v>
      </c>
    </row>
    <row r="1494" spans="1:21">
      <c r="A1494" s="29">
        <v>51</v>
      </c>
      <c r="B1494" s="111">
        <v>1</v>
      </c>
      <c r="C1494" s="111">
        <v>309559</v>
      </c>
      <c r="D1494" s="111" t="s">
        <v>759</v>
      </c>
      <c r="E1494" s="111" t="s">
        <v>448</v>
      </c>
      <c r="F1494" s="265">
        <v>42249</v>
      </c>
      <c r="G1494" s="265">
        <v>42300</v>
      </c>
      <c r="H1494" s="266">
        <f t="shared" si="119"/>
        <v>217.76</v>
      </c>
      <c r="I1494" s="266">
        <f t="shared" si="120"/>
        <v>0</v>
      </c>
      <c r="J1494" s="266">
        <v>1</v>
      </c>
      <c r="K1494" s="295">
        <f t="shared" si="121"/>
        <v>2.1776</v>
      </c>
      <c r="L1494" s="312">
        <f t="shared" si="122"/>
        <v>51</v>
      </c>
      <c r="M1494" s="263"/>
      <c r="N1494" s="263"/>
      <c r="O1494" s="29">
        <v>217.76</v>
      </c>
      <c r="P1494" s="29">
        <v>0</v>
      </c>
      <c r="Q1494" s="292">
        <v>39.200000000000003</v>
      </c>
      <c r="R1494" s="29">
        <v>256.95999999999998</v>
      </c>
      <c r="S1494" s="29">
        <v>0</v>
      </c>
      <c r="T1494" s="29">
        <v>1</v>
      </c>
      <c r="U1494" s="29">
        <v>2.5695999999999999</v>
      </c>
    </row>
    <row r="1495" spans="1:21">
      <c r="A1495" s="29">
        <v>52</v>
      </c>
      <c r="B1495" s="111">
        <v>1</v>
      </c>
      <c r="C1495" s="111">
        <v>309651</v>
      </c>
      <c r="D1495" s="111" t="s">
        <v>757</v>
      </c>
      <c r="E1495" s="111" t="s">
        <v>448</v>
      </c>
      <c r="F1495" s="265">
        <v>42250</v>
      </c>
      <c r="G1495" s="265">
        <v>42286</v>
      </c>
      <c r="H1495" s="266">
        <f t="shared" si="119"/>
        <v>669.62</v>
      </c>
      <c r="I1495" s="266">
        <f t="shared" si="120"/>
        <v>0</v>
      </c>
      <c r="J1495" s="266">
        <v>1</v>
      </c>
      <c r="K1495" s="295">
        <f t="shared" si="121"/>
        <v>6.6962000000000002</v>
      </c>
      <c r="L1495" s="312">
        <f t="shared" si="122"/>
        <v>36</v>
      </c>
      <c r="M1495" s="263"/>
      <c r="N1495" s="263"/>
      <c r="O1495" s="29">
        <v>669.62</v>
      </c>
      <c r="P1495" s="29">
        <v>0</v>
      </c>
      <c r="Q1495" s="292">
        <v>120.53</v>
      </c>
      <c r="R1495" s="29">
        <v>790.15</v>
      </c>
      <c r="S1495" s="29">
        <v>0</v>
      </c>
      <c r="T1495" s="29">
        <v>1</v>
      </c>
      <c r="U1495" s="29">
        <v>7.9015000000000004</v>
      </c>
    </row>
    <row r="1496" spans="1:21">
      <c r="A1496" s="29">
        <v>53</v>
      </c>
      <c r="B1496" s="111">
        <v>1</v>
      </c>
      <c r="C1496" s="111">
        <v>309650</v>
      </c>
      <c r="D1496" s="111" t="s">
        <v>758</v>
      </c>
      <c r="E1496" s="111" t="s">
        <v>448</v>
      </c>
      <c r="F1496" s="265">
        <v>42250</v>
      </c>
      <c r="G1496" s="265">
        <v>42293</v>
      </c>
      <c r="H1496" s="266">
        <f t="shared" si="119"/>
        <v>885.61</v>
      </c>
      <c r="I1496" s="266">
        <f t="shared" si="120"/>
        <v>0</v>
      </c>
      <c r="J1496" s="266">
        <v>1</v>
      </c>
      <c r="K1496" s="295">
        <f t="shared" si="121"/>
        <v>8.8560999999999996</v>
      </c>
      <c r="L1496" s="312">
        <f t="shared" si="122"/>
        <v>43</v>
      </c>
      <c r="M1496" s="263"/>
      <c r="N1496" s="263"/>
      <c r="O1496" s="29">
        <v>885.61</v>
      </c>
      <c r="P1496" s="29">
        <v>0</v>
      </c>
      <c r="Q1496" s="292">
        <v>159.41</v>
      </c>
      <c r="R1496" s="29">
        <v>1045.02</v>
      </c>
      <c r="S1496" s="29">
        <v>0</v>
      </c>
      <c r="T1496" s="29">
        <v>1</v>
      </c>
      <c r="U1496" s="29">
        <v>10.450200000000001</v>
      </c>
    </row>
    <row r="1497" spans="1:21">
      <c r="A1497" s="29">
        <v>54</v>
      </c>
      <c r="B1497" s="111">
        <v>1</v>
      </c>
      <c r="C1497" s="111">
        <v>309663</v>
      </c>
      <c r="D1497" s="111" t="s">
        <v>758</v>
      </c>
      <c r="E1497" s="111" t="s">
        <v>448</v>
      </c>
      <c r="F1497" s="265">
        <v>42250</v>
      </c>
      <c r="G1497" s="265">
        <v>42293</v>
      </c>
      <c r="H1497" s="266">
        <f t="shared" si="119"/>
        <v>396.56</v>
      </c>
      <c r="I1497" s="266">
        <f t="shared" si="120"/>
        <v>0</v>
      </c>
      <c r="J1497" s="266">
        <v>1</v>
      </c>
      <c r="K1497" s="295">
        <f t="shared" si="121"/>
        <v>3.9656000000000002</v>
      </c>
      <c r="L1497" s="312">
        <f t="shared" si="122"/>
        <v>43</v>
      </c>
      <c r="M1497" s="263"/>
      <c r="N1497" s="263"/>
      <c r="O1497" s="29">
        <v>396.56</v>
      </c>
      <c r="P1497" s="29">
        <v>0</v>
      </c>
      <c r="Q1497" s="292">
        <v>71.38</v>
      </c>
      <c r="R1497" s="29">
        <v>467.94</v>
      </c>
      <c r="S1497" s="29">
        <v>0</v>
      </c>
      <c r="T1497" s="29">
        <v>1</v>
      </c>
      <c r="U1497" s="29">
        <v>4.6794000000000002</v>
      </c>
    </row>
    <row r="1498" spans="1:21">
      <c r="A1498" s="29">
        <v>55</v>
      </c>
      <c r="B1498" s="111">
        <v>1</v>
      </c>
      <c r="C1498" s="111">
        <v>309749</v>
      </c>
      <c r="D1498" s="111" t="s">
        <v>758</v>
      </c>
      <c r="E1498" s="111" t="s">
        <v>448</v>
      </c>
      <c r="F1498" s="265">
        <v>42251</v>
      </c>
      <c r="G1498" s="265">
        <v>42293</v>
      </c>
      <c r="H1498" s="266">
        <f t="shared" si="119"/>
        <v>6961.17</v>
      </c>
      <c r="I1498" s="266">
        <f t="shared" si="120"/>
        <v>0</v>
      </c>
      <c r="J1498" s="266">
        <v>1</v>
      </c>
      <c r="K1498" s="295">
        <f t="shared" si="121"/>
        <v>69.611699999999999</v>
      </c>
      <c r="L1498" s="312">
        <f t="shared" si="122"/>
        <v>42</v>
      </c>
      <c r="M1498" s="263"/>
      <c r="N1498" s="263"/>
      <c r="O1498" s="29">
        <v>6961.17</v>
      </c>
      <c r="P1498" s="29">
        <v>0</v>
      </c>
      <c r="Q1498" s="292">
        <v>1253.01</v>
      </c>
      <c r="R1498" s="29">
        <v>8214.18</v>
      </c>
      <c r="S1498" s="29">
        <v>0</v>
      </c>
      <c r="T1498" s="29">
        <v>1</v>
      </c>
      <c r="U1498" s="29">
        <v>82.141800000000003</v>
      </c>
    </row>
    <row r="1499" spans="1:21">
      <c r="A1499" s="29">
        <v>56</v>
      </c>
      <c r="B1499" s="111">
        <v>1</v>
      </c>
      <c r="C1499" s="111">
        <v>309748</v>
      </c>
      <c r="D1499" s="111" t="s">
        <v>758</v>
      </c>
      <c r="E1499" s="111" t="s">
        <v>448</v>
      </c>
      <c r="F1499" s="265">
        <v>42251</v>
      </c>
      <c r="G1499" s="265">
        <v>42293</v>
      </c>
      <c r="H1499" s="266">
        <f t="shared" si="119"/>
        <v>4713.3499999999995</v>
      </c>
      <c r="I1499" s="266">
        <f t="shared" si="120"/>
        <v>0</v>
      </c>
      <c r="J1499" s="266">
        <v>1</v>
      </c>
      <c r="K1499" s="295">
        <f t="shared" si="121"/>
        <v>47.133499999999998</v>
      </c>
      <c r="L1499" s="312">
        <f t="shared" si="122"/>
        <v>42</v>
      </c>
      <c r="M1499" s="263"/>
      <c r="N1499" s="263"/>
      <c r="O1499" s="29">
        <v>4544.49</v>
      </c>
      <c r="P1499" s="29">
        <v>168.86</v>
      </c>
      <c r="Q1499" s="292">
        <v>818.01</v>
      </c>
      <c r="R1499" s="29">
        <v>5531.36</v>
      </c>
      <c r="S1499" s="29">
        <v>0</v>
      </c>
      <c r="T1499" s="29">
        <v>1</v>
      </c>
      <c r="U1499" s="29">
        <v>55.313600000000001</v>
      </c>
    </row>
    <row r="1500" spans="1:21">
      <c r="A1500" s="29">
        <v>57</v>
      </c>
      <c r="B1500" s="111">
        <v>1</v>
      </c>
      <c r="C1500" s="111">
        <v>309747</v>
      </c>
      <c r="D1500" s="111" t="s">
        <v>758</v>
      </c>
      <c r="E1500" s="111" t="s">
        <v>448</v>
      </c>
      <c r="F1500" s="265">
        <v>42251</v>
      </c>
      <c r="G1500" s="265">
        <v>42293</v>
      </c>
      <c r="H1500" s="266">
        <f t="shared" si="119"/>
        <v>5832.29</v>
      </c>
      <c r="I1500" s="266">
        <f t="shared" si="120"/>
        <v>0</v>
      </c>
      <c r="J1500" s="266">
        <v>1</v>
      </c>
      <c r="K1500" s="295">
        <f t="shared" si="121"/>
        <v>58.322900000000004</v>
      </c>
      <c r="L1500" s="312">
        <f t="shared" si="122"/>
        <v>42</v>
      </c>
      <c r="M1500" s="263"/>
      <c r="N1500" s="263"/>
      <c r="O1500" s="29">
        <v>5832.29</v>
      </c>
      <c r="P1500" s="29">
        <v>0</v>
      </c>
      <c r="Q1500" s="292">
        <v>1049.81</v>
      </c>
      <c r="R1500" s="29">
        <v>6882.1</v>
      </c>
      <c r="S1500" s="29">
        <v>0</v>
      </c>
      <c r="T1500" s="29">
        <v>1</v>
      </c>
      <c r="U1500" s="29">
        <v>68.820999999999998</v>
      </c>
    </row>
    <row r="1501" spans="1:21">
      <c r="A1501" s="29">
        <v>58</v>
      </c>
      <c r="B1501" s="111">
        <v>1</v>
      </c>
      <c r="C1501" s="111">
        <v>309777</v>
      </c>
      <c r="D1501" s="111" t="s">
        <v>758</v>
      </c>
      <c r="E1501" s="111" t="s">
        <v>448</v>
      </c>
      <c r="F1501" s="265">
        <v>42251</v>
      </c>
      <c r="G1501" s="265">
        <v>42293</v>
      </c>
      <c r="H1501" s="266">
        <f t="shared" si="119"/>
        <v>1330.36</v>
      </c>
      <c r="I1501" s="266">
        <f t="shared" si="120"/>
        <v>0</v>
      </c>
      <c r="J1501" s="266">
        <v>1</v>
      </c>
      <c r="K1501" s="295">
        <f t="shared" si="121"/>
        <v>13.303599999999999</v>
      </c>
      <c r="L1501" s="312">
        <f t="shared" si="122"/>
        <v>42</v>
      </c>
      <c r="M1501" s="263"/>
      <c r="N1501" s="263"/>
      <c r="O1501" s="29">
        <v>1330.36</v>
      </c>
      <c r="P1501" s="29">
        <v>0</v>
      </c>
      <c r="Q1501" s="292">
        <v>239.46</v>
      </c>
      <c r="R1501" s="29">
        <v>1569.82</v>
      </c>
      <c r="S1501" s="29">
        <v>0</v>
      </c>
      <c r="T1501" s="29">
        <v>1</v>
      </c>
      <c r="U1501" s="29">
        <v>15.6982</v>
      </c>
    </row>
    <row r="1502" spans="1:21">
      <c r="A1502" s="29">
        <v>59</v>
      </c>
      <c r="B1502" s="111">
        <v>1</v>
      </c>
      <c r="C1502" s="111">
        <v>309839</v>
      </c>
      <c r="D1502" s="111" t="s">
        <v>759</v>
      </c>
      <c r="E1502" s="111" t="s">
        <v>448</v>
      </c>
      <c r="F1502" s="265">
        <v>42252</v>
      </c>
      <c r="G1502" s="265">
        <v>42300</v>
      </c>
      <c r="H1502" s="266">
        <f t="shared" si="119"/>
        <v>60.96</v>
      </c>
      <c r="I1502" s="266">
        <f t="shared" si="120"/>
        <v>0</v>
      </c>
      <c r="J1502" s="266">
        <v>1</v>
      </c>
      <c r="K1502" s="295">
        <f t="shared" si="121"/>
        <v>0.60960000000000003</v>
      </c>
      <c r="L1502" s="312">
        <f t="shared" si="122"/>
        <v>48</v>
      </c>
      <c r="M1502" s="263"/>
      <c r="N1502" s="263"/>
      <c r="O1502" s="29">
        <v>60.96</v>
      </c>
      <c r="P1502" s="29">
        <v>0</v>
      </c>
      <c r="Q1502" s="292">
        <v>10.97</v>
      </c>
      <c r="R1502" s="29">
        <v>71.930000000000007</v>
      </c>
      <c r="S1502" s="29">
        <v>0</v>
      </c>
      <c r="T1502" s="29">
        <v>1</v>
      </c>
      <c r="U1502" s="29">
        <v>0.71930000000000005</v>
      </c>
    </row>
    <row r="1503" spans="1:21">
      <c r="A1503" s="29">
        <v>60</v>
      </c>
      <c r="B1503" s="111">
        <v>1</v>
      </c>
      <c r="C1503" s="111">
        <v>309840</v>
      </c>
      <c r="D1503" s="111" t="s">
        <v>759</v>
      </c>
      <c r="E1503" s="111" t="s">
        <v>448</v>
      </c>
      <c r="F1503" s="265">
        <v>42252</v>
      </c>
      <c r="G1503" s="265">
        <v>42300</v>
      </c>
      <c r="H1503" s="266">
        <f t="shared" si="119"/>
        <v>1258.8800000000001</v>
      </c>
      <c r="I1503" s="266">
        <f t="shared" si="120"/>
        <v>0</v>
      </c>
      <c r="J1503" s="266">
        <v>1</v>
      </c>
      <c r="K1503" s="295">
        <f t="shared" si="121"/>
        <v>12.588800000000001</v>
      </c>
      <c r="L1503" s="312">
        <f t="shared" si="122"/>
        <v>48</v>
      </c>
      <c r="M1503" s="263"/>
      <c r="N1503" s="263"/>
      <c r="O1503" s="29">
        <v>1258.8800000000001</v>
      </c>
      <c r="P1503" s="29">
        <v>0</v>
      </c>
      <c r="Q1503" s="292">
        <v>226.6</v>
      </c>
      <c r="R1503" s="29">
        <v>1485.48</v>
      </c>
      <c r="S1503" s="29">
        <v>0</v>
      </c>
      <c r="T1503" s="29">
        <v>1</v>
      </c>
      <c r="U1503" s="29">
        <v>14.854799999999999</v>
      </c>
    </row>
    <row r="1504" spans="1:21">
      <c r="A1504" s="29">
        <v>61</v>
      </c>
      <c r="B1504" s="111">
        <v>1</v>
      </c>
      <c r="C1504" s="111">
        <v>309838</v>
      </c>
      <c r="D1504" s="111" t="s">
        <v>759</v>
      </c>
      <c r="E1504" s="111" t="s">
        <v>448</v>
      </c>
      <c r="F1504" s="265">
        <v>42252</v>
      </c>
      <c r="G1504" s="265">
        <v>42300</v>
      </c>
      <c r="H1504" s="266">
        <f t="shared" si="119"/>
        <v>1050.47</v>
      </c>
      <c r="I1504" s="266">
        <f t="shared" si="120"/>
        <v>0</v>
      </c>
      <c r="J1504" s="266">
        <v>1</v>
      </c>
      <c r="K1504" s="295">
        <f t="shared" si="121"/>
        <v>10.5047</v>
      </c>
      <c r="L1504" s="312">
        <f t="shared" si="122"/>
        <v>48</v>
      </c>
      <c r="M1504" s="263"/>
      <c r="N1504" s="263"/>
      <c r="O1504" s="29">
        <v>1050.47</v>
      </c>
      <c r="P1504" s="29">
        <v>0</v>
      </c>
      <c r="Q1504" s="292">
        <v>189.08</v>
      </c>
      <c r="R1504" s="29">
        <v>1239.55</v>
      </c>
      <c r="S1504" s="29">
        <v>0</v>
      </c>
      <c r="T1504" s="29">
        <v>1</v>
      </c>
      <c r="U1504" s="29">
        <v>12.3955</v>
      </c>
    </row>
    <row r="1505" spans="1:21">
      <c r="A1505" s="29">
        <v>62</v>
      </c>
      <c r="B1505" s="111">
        <v>1</v>
      </c>
      <c r="C1505" s="111">
        <v>309891</v>
      </c>
      <c r="D1505" s="111" t="s">
        <v>758</v>
      </c>
      <c r="E1505" s="111" t="s">
        <v>448</v>
      </c>
      <c r="F1505" s="265">
        <v>42254</v>
      </c>
      <c r="G1505" s="265">
        <v>42293</v>
      </c>
      <c r="H1505" s="266">
        <f t="shared" si="119"/>
        <v>497.11</v>
      </c>
      <c r="I1505" s="266">
        <f t="shared" si="120"/>
        <v>0</v>
      </c>
      <c r="J1505" s="266">
        <v>1</v>
      </c>
      <c r="K1505" s="295">
        <f t="shared" si="121"/>
        <v>4.9710999999999999</v>
      </c>
      <c r="L1505" s="312">
        <f t="shared" si="122"/>
        <v>39</v>
      </c>
      <c r="M1505" s="263"/>
      <c r="N1505" s="263"/>
      <c r="O1505" s="29">
        <v>497.11</v>
      </c>
      <c r="P1505" s="29">
        <v>0</v>
      </c>
      <c r="Q1505" s="292">
        <v>89.48</v>
      </c>
      <c r="R1505" s="29">
        <v>586.59</v>
      </c>
      <c r="S1505" s="29">
        <v>0</v>
      </c>
      <c r="T1505" s="29">
        <v>1</v>
      </c>
      <c r="U1505" s="29">
        <v>5.8658999999999999</v>
      </c>
    </row>
    <row r="1506" spans="1:21">
      <c r="A1506" s="29">
        <v>63</v>
      </c>
      <c r="B1506" s="111">
        <v>1</v>
      </c>
      <c r="C1506" s="111">
        <v>309868</v>
      </c>
      <c r="D1506" s="111" t="s">
        <v>759</v>
      </c>
      <c r="E1506" s="111" t="s">
        <v>448</v>
      </c>
      <c r="F1506" s="265">
        <v>42254</v>
      </c>
      <c r="G1506" s="265">
        <v>42300</v>
      </c>
      <c r="H1506" s="266">
        <f t="shared" si="119"/>
        <v>368.15</v>
      </c>
      <c r="I1506" s="266">
        <f t="shared" si="120"/>
        <v>0</v>
      </c>
      <c r="J1506" s="266">
        <v>1</v>
      </c>
      <c r="K1506" s="295">
        <f t="shared" si="121"/>
        <v>3.6814999999999998</v>
      </c>
      <c r="L1506" s="312">
        <f t="shared" si="122"/>
        <v>46</v>
      </c>
      <c r="M1506" s="263"/>
      <c r="N1506" s="263"/>
      <c r="O1506" s="29">
        <v>368.15</v>
      </c>
      <c r="P1506" s="29">
        <v>0</v>
      </c>
      <c r="Q1506" s="292">
        <v>66.27</v>
      </c>
      <c r="R1506" s="29">
        <v>434.42</v>
      </c>
      <c r="S1506" s="29">
        <v>0</v>
      </c>
      <c r="T1506" s="29">
        <v>1</v>
      </c>
      <c r="U1506" s="29">
        <v>4.3441999999999998</v>
      </c>
    </row>
    <row r="1507" spans="1:21">
      <c r="A1507" s="29">
        <v>64</v>
      </c>
      <c r="B1507" s="111">
        <v>1</v>
      </c>
      <c r="C1507" s="111">
        <v>309869</v>
      </c>
      <c r="D1507" s="111" t="s">
        <v>759</v>
      </c>
      <c r="E1507" s="111" t="s">
        <v>448</v>
      </c>
      <c r="F1507" s="265">
        <v>42254</v>
      </c>
      <c r="G1507" s="265">
        <v>42300</v>
      </c>
      <c r="H1507" s="266">
        <f t="shared" si="119"/>
        <v>894.25</v>
      </c>
      <c r="I1507" s="266">
        <f t="shared" si="120"/>
        <v>0</v>
      </c>
      <c r="J1507" s="266">
        <v>1</v>
      </c>
      <c r="K1507" s="295">
        <f t="shared" si="121"/>
        <v>8.9425000000000008</v>
      </c>
      <c r="L1507" s="312">
        <f t="shared" si="122"/>
        <v>46</v>
      </c>
      <c r="M1507" s="263"/>
      <c r="N1507" s="263"/>
      <c r="O1507" s="29">
        <v>894.25</v>
      </c>
      <c r="P1507" s="29">
        <v>0</v>
      </c>
      <c r="Q1507" s="292">
        <v>160.97</v>
      </c>
      <c r="R1507" s="29">
        <v>1055.22</v>
      </c>
      <c r="S1507" s="29">
        <v>0</v>
      </c>
      <c r="T1507" s="29">
        <v>1</v>
      </c>
      <c r="U1507" s="29">
        <v>10.552199999999999</v>
      </c>
    </row>
    <row r="1508" spans="1:21">
      <c r="A1508" s="29">
        <v>65</v>
      </c>
      <c r="B1508" s="111">
        <v>1</v>
      </c>
      <c r="C1508" s="111">
        <v>309930</v>
      </c>
      <c r="D1508" s="111" t="s">
        <v>758</v>
      </c>
      <c r="E1508" s="111" t="s">
        <v>448</v>
      </c>
      <c r="F1508" s="265">
        <v>42255</v>
      </c>
      <c r="G1508" s="265">
        <v>42293</v>
      </c>
      <c r="H1508" s="266">
        <f t="shared" ref="H1508:H1539" si="123">(O1508+P1508)</f>
        <v>2249.33</v>
      </c>
      <c r="I1508" s="266">
        <f t="shared" ref="I1508:I1539" si="124">S1508</f>
        <v>0</v>
      </c>
      <c r="J1508" s="266">
        <v>1</v>
      </c>
      <c r="K1508" s="295">
        <f t="shared" ref="K1508:K1539" si="125">(H1508-I1508)*J1508%</f>
        <v>22.493300000000001</v>
      </c>
      <c r="L1508" s="312">
        <f t="shared" ref="L1508:L1539" si="126">G1508-F1508</f>
        <v>38</v>
      </c>
      <c r="M1508" s="263"/>
      <c r="N1508" s="263"/>
      <c r="O1508" s="29">
        <v>2249.33</v>
      </c>
      <c r="P1508" s="29">
        <v>0</v>
      </c>
      <c r="Q1508" s="292">
        <v>404.88</v>
      </c>
      <c r="R1508" s="29">
        <v>2654.21</v>
      </c>
      <c r="S1508" s="29">
        <v>0</v>
      </c>
      <c r="T1508" s="29">
        <v>1</v>
      </c>
      <c r="U1508" s="29">
        <v>26.542100000000001</v>
      </c>
    </row>
    <row r="1509" spans="1:21">
      <c r="A1509" s="29">
        <v>66</v>
      </c>
      <c r="B1509" s="111">
        <v>1</v>
      </c>
      <c r="C1509" s="111">
        <v>309931</v>
      </c>
      <c r="D1509" s="111" t="s">
        <v>758</v>
      </c>
      <c r="E1509" s="111" t="s">
        <v>448</v>
      </c>
      <c r="F1509" s="265">
        <v>42255</v>
      </c>
      <c r="G1509" s="265">
        <v>42293</v>
      </c>
      <c r="H1509" s="266">
        <f t="shared" si="123"/>
        <v>4729.05</v>
      </c>
      <c r="I1509" s="266">
        <f t="shared" si="124"/>
        <v>0</v>
      </c>
      <c r="J1509" s="266">
        <v>1</v>
      </c>
      <c r="K1509" s="295">
        <f t="shared" si="125"/>
        <v>47.290500000000002</v>
      </c>
      <c r="L1509" s="312">
        <f t="shared" si="126"/>
        <v>38</v>
      </c>
      <c r="M1509" s="263"/>
      <c r="N1509" s="263"/>
      <c r="O1509" s="29">
        <v>4729.05</v>
      </c>
      <c r="P1509" s="29">
        <v>0</v>
      </c>
      <c r="Q1509" s="292">
        <v>851.23</v>
      </c>
      <c r="R1509" s="29">
        <v>5580.28</v>
      </c>
      <c r="S1509" s="29">
        <v>0</v>
      </c>
      <c r="T1509" s="29">
        <v>1</v>
      </c>
      <c r="U1509" s="29">
        <v>55.802799999999998</v>
      </c>
    </row>
    <row r="1510" spans="1:21">
      <c r="A1510" s="29">
        <v>67</v>
      </c>
      <c r="B1510" s="111">
        <v>1</v>
      </c>
      <c r="C1510" s="111">
        <v>310008</v>
      </c>
      <c r="D1510" s="111" t="s">
        <v>759</v>
      </c>
      <c r="E1510" s="111" t="s">
        <v>448</v>
      </c>
      <c r="F1510" s="265">
        <v>42255</v>
      </c>
      <c r="G1510" s="265">
        <v>42300</v>
      </c>
      <c r="H1510" s="266">
        <f t="shared" si="123"/>
        <v>2960.31</v>
      </c>
      <c r="I1510" s="266">
        <f t="shared" si="124"/>
        <v>0</v>
      </c>
      <c r="J1510" s="266">
        <v>1</v>
      </c>
      <c r="K1510" s="295">
        <f t="shared" si="125"/>
        <v>29.603100000000001</v>
      </c>
      <c r="L1510" s="312">
        <f t="shared" si="126"/>
        <v>45</v>
      </c>
      <c r="M1510" s="263"/>
      <c r="N1510" s="263"/>
      <c r="O1510" s="29">
        <v>2960.31</v>
      </c>
      <c r="P1510" s="29">
        <v>0</v>
      </c>
      <c r="Q1510" s="292">
        <v>532.86</v>
      </c>
      <c r="R1510" s="29">
        <v>3493.17</v>
      </c>
      <c r="S1510" s="29">
        <v>0</v>
      </c>
      <c r="T1510" s="29">
        <v>1</v>
      </c>
      <c r="U1510" s="29">
        <v>34.931699999999999</v>
      </c>
    </row>
    <row r="1511" spans="1:21">
      <c r="A1511" s="29">
        <v>68</v>
      </c>
      <c r="B1511" s="111">
        <v>1</v>
      </c>
      <c r="C1511" s="111">
        <v>310034</v>
      </c>
      <c r="D1511" s="111" t="s">
        <v>760</v>
      </c>
      <c r="E1511" s="111" t="s">
        <v>448</v>
      </c>
      <c r="F1511" s="265">
        <v>42256</v>
      </c>
      <c r="G1511" s="265">
        <v>42300</v>
      </c>
      <c r="H1511" s="266">
        <f t="shared" si="123"/>
        <v>779.56</v>
      </c>
      <c r="I1511" s="266">
        <f t="shared" si="124"/>
        <v>0</v>
      </c>
      <c r="J1511" s="266">
        <v>1</v>
      </c>
      <c r="K1511" s="295">
        <f t="shared" si="125"/>
        <v>7.7955999999999994</v>
      </c>
      <c r="L1511" s="312">
        <f t="shared" si="126"/>
        <v>44</v>
      </c>
      <c r="M1511" s="263"/>
      <c r="N1511" s="263"/>
      <c r="O1511" s="29">
        <v>779.56</v>
      </c>
      <c r="P1511" s="29">
        <v>0</v>
      </c>
      <c r="Q1511" s="292">
        <v>140.32</v>
      </c>
      <c r="R1511" s="29">
        <v>919.88</v>
      </c>
      <c r="S1511" s="29">
        <v>0</v>
      </c>
      <c r="T1511" s="29">
        <v>1</v>
      </c>
      <c r="U1511" s="29">
        <v>9.1988000000000003</v>
      </c>
    </row>
    <row r="1512" spans="1:21">
      <c r="A1512" s="29">
        <v>69</v>
      </c>
      <c r="B1512" s="111">
        <v>1</v>
      </c>
      <c r="C1512" s="111">
        <v>310054</v>
      </c>
      <c r="D1512" s="111" t="s">
        <v>757</v>
      </c>
      <c r="E1512" s="111" t="s">
        <v>448</v>
      </c>
      <c r="F1512" s="265">
        <v>42256</v>
      </c>
      <c r="G1512" s="265">
        <v>42300</v>
      </c>
      <c r="H1512" s="266">
        <f t="shared" si="123"/>
        <v>187.87</v>
      </c>
      <c r="I1512" s="266">
        <f t="shared" si="124"/>
        <v>0</v>
      </c>
      <c r="J1512" s="266">
        <v>1</v>
      </c>
      <c r="K1512" s="295">
        <f t="shared" si="125"/>
        <v>1.8787</v>
      </c>
      <c r="L1512" s="312">
        <f t="shared" si="126"/>
        <v>44</v>
      </c>
      <c r="M1512" s="263"/>
      <c r="N1512" s="263"/>
      <c r="O1512" s="29">
        <v>187.87</v>
      </c>
      <c r="P1512" s="29">
        <v>0</v>
      </c>
      <c r="Q1512" s="292">
        <v>33.82</v>
      </c>
      <c r="R1512" s="29">
        <v>221.69</v>
      </c>
      <c r="S1512" s="29">
        <v>0</v>
      </c>
      <c r="T1512" s="29">
        <v>1</v>
      </c>
      <c r="U1512" s="29">
        <v>2.2168999999999999</v>
      </c>
    </row>
    <row r="1513" spans="1:21">
      <c r="A1513" s="29">
        <v>70</v>
      </c>
      <c r="B1513" s="111">
        <v>1</v>
      </c>
      <c r="C1513" s="111">
        <v>310023</v>
      </c>
      <c r="D1513" s="111" t="s">
        <v>759</v>
      </c>
      <c r="E1513" s="111" t="s">
        <v>448</v>
      </c>
      <c r="F1513" s="265">
        <v>42256</v>
      </c>
      <c r="G1513" s="265">
        <v>42300</v>
      </c>
      <c r="H1513" s="266">
        <f t="shared" si="123"/>
        <v>656.7</v>
      </c>
      <c r="I1513" s="266">
        <f t="shared" si="124"/>
        <v>0</v>
      </c>
      <c r="J1513" s="266">
        <v>1</v>
      </c>
      <c r="K1513" s="295">
        <f t="shared" si="125"/>
        <v>6.5670000000000002</v>
      </c>
      <c r="L1513" s="312">
        <f t="shared" si="126"/>
        <v>44</v>
      </c>
      <c r="M1513" s="263"/>
      <c r="N1513" s="263"/>
      <c r="O1513" s="29">
        <v>656.7</v>
      </c>
      <c r="P1513" s="29">
        <v>0</v>
      </c>
      <c r="Q1513" s="292">
        <v>118.21</v>
      </c>
      <c r="R1513" s="29">
        <v>774.91</v>
      </c>
      <c r="S1513" s="29">
        <v>0</v>
      </c>
      <c r="T1513" s="29">
        <v>1</v>
      </c>
      <c r="U1513" s="29">
        <v>7.7491000000000003</v>
      </c>
    </row>
    <row r="1514" spans="1:21">
      <c r="A1514" s="29">
        <v>71</v>
      </c>
      <c r="B1514" s="111">
        <v>1</v>
      </c>
      <c r="C1514" s="111">
        <v>310035</v>
      </c>
      <c r="D1514" s="111" t="s">
        <v>757</v>
      </c>
      <c r="E1514" s="111" t="s">
        <v>448</v>
      </c>
      <c r="F1514" s="265">
        <v>42256</v>
      </c>
      <c r="G1514" s="265">
        <v>42300</v>
      </c>
      <c r="H1514" s="266">
        <f t="shared" si="123"/>
        <v>1062.49</v>
      </c>
      <c r="I1514" s="266">
        <f t="shared" si="124"/>
        <v>0</v>
      </c>
      <c r="J1514" s="266">
        <v>1</v>
      </c>
      <c r="K1514" s="295">
        <f t="shared" si="125"/>
        <v>10.6249</v>
      </c>
      <c r="L1514" s="312">
        <f t="shared" si="126"/>
        <v>44</v>
      </c>
      <c r="M1514" s="263"/>
      <c r="N1514" s="263"/>
      <c r="O1514" s="29">
        <v>1062.49</v>
      </c>
      <c r="P1514" s="29">
        <v>0</v>
      </c>
      <c r="Q1514" s="292">
        <v>191.25</v>
      </c>
      <c r="R1514" s="29">
        <v>1253.74</v>
      </c>
      <c r="S1514" s="29">
        <v>0</v>
      </c>
      <c r="T1514" s="29">
        <v>1</v>
      </c>
      <c r="U1514" s="29">
        <v>12.5374</v>
      </c>
    </row>
    <row r="1515" spans="1:21">
      <c r="A1515" s="29">
        <v>72</v>
      </c>
      <c r="B1515" s="111">
        <v>1</v>
      </c>
      <c r="C1515" s="111">
        <v>310288</v>
      </c>
      <c r="D1515" s="111" t="s">
        <v>758</v>
      </c>
      <c r="E1515" s="111" t="s">
        <v>448</v>
      </c>
      <c r="F1515" s="265">
        <v>42258</v>
      </c>
      <c r="G1515" s="265">
        <v>42293</v>
      </c>
      <c r="H1515" s="266">
        <f t="shared" si="123"/>
        <v>5183.18</v>
      </c>
      <c r="I1515" s="266">
        <f t="shared" si="124"/>
        <v>0</v>
      </c>
      <c r="J1515" s="266">
        <v>1</v>
      </c>
      <c r="K1515" s="295">
        <f t="shared" si="125"/>
        <v>51.831800000000001</v>
      </c>
      <c r="L1515" s="312">
        <f t="shared" si="126"/>
        <v>35</v>
      </c>
      <c r="M1515" s="263"/>
      <c r="N1515" s="263"/>
      <c r="O1515" s="29">
        <v>5183.18</v>
      </c>
      <c r="P1515" s="29">
        <v>0</v>
      </c>
      <c r="Q1515" s="292">
        <v>932.97</v>
      </c>
      <c r="R1515" s="29">
        <v>6116.15</v>
      </c>
      <c r="S1515" s="29">
        <v>0</v>
      </c>
      <c r="T1515" s="29">
        <v>1</v>
      </c>
      <c r="U1515" s="29">
        <v>61.161499999999997</v>
      </c>
    </row>
    <row r="1516" spans="1:21">
      <c r="A1516" s="29">
        <v>73</v>
      </c>
      <c r="B1516" s="111">
        <v>1</v>
      </c>
      <c r="C1516" s="111">
        <v>310274</v>
      </c>
      <c r="D1516" s="111" t="s">
        <v>757</v>
      </c>
      <c r="E1516" s="111" t="s">
        <v>448</v>
      </c>
      <c r="F1516" s="265">
        <v>42258</v>
      </c>
      <c r="G1516" s="265">
        <v>42300</v>
      </c>
      <c r="H1516" s="266">
        <f t="shared" si="123"/>
        <v>326.05</v>
      </c>
      <c r="I1516" s="266">
        <f t="shared" si="124"/>
        <v>0</v>
      </c>
      <c r="J1516" s="266">
        <v>1</v>
      </c>
      <c r="K1516" s="295">
        <f t="shared" si="125"/>
        <v>3.2605000000000004</v>
      </c>
      <c r="L1516" s="312">
        <f t="shared" si="126"/>
        <v>42</v>
      </c>
      <c r="M1516" s="263"/>
      <c r="N1516" s="263"/>
      <c r="O1516" s="29">
        <v>326.05</v>
      </c>
      <c r="P1516" s="29">
        <v>0</v>
      </c>
      <c r="Q1516" s="292">
        <v>58.69</v>
      </c>
      <c r="R1516" s="29">
        <v>384.74</v>
      </c>
      <c r="S1516" s="29">
        <v>0</v>
      </c>
      <c r="T1516" s="29">
        <v>1</v>
      </c>
      <c r="U1516" s="29">
        <v>3.8473999999999999</v>
      </c>
    </row>
    <row r="1517" spans="1:21">
      <c r="A1517" s="29">
        <v>74</v>
      </c>
      <c r="B1517" s="111">
        <v>1</v>
      </c>
      <c r="C1517" s="111">
        <v>310291</v>
      </c>
      <c r="D1517" s="111" t="s">
        <v>758</v>
      </c>
      <c r="E1517" s="111" t="s">
        <v>448</v>
      </c>
      <c r="F1517" s="265">
        <v>42258</v>
      </c>
      <c r="G1517" s="265">
        <v>42293</v>
      </c>
      <c r="H1517" s="266">
        <f t="shared" si="123"/>
        <v>4771.6499999999996</v>
      </c>
      <c r="I1517" s="266">
        <f t="shared" si="124"/>
        <v>0</v>
      </c>
      <c r="J1517" s="266">
        <v>1</v>
      </c>
      <c r="K1517" s="295">
        <f t="shared" si="125"/>
        <v>47.716499999999996</v>
      </c>
      <c r="L1517" s="312">
        <f t="shared" si="126"/>
        <v>35</v>
      </c>
      <c r="M1517" s="263"/>
      <c r="N1517" s="263"/>
      <c r="O1517" s="29">
        <v>4771.6499999999996</v>
      </c>
      <c r="P1517" s="29">
        <v>0</v>
      </c>
      <c r="Q1517" s="292">
        <v>858.9</v>
      </c>
      <c r="R1517" s="29">
        <v>5630.55</v>
      </c>
      <c r="S1517" s="29">
        <v>0</v>
      </c>
      <c r="T1517" s="29">
        <v>1</v>
      </c>
      <c r="U1517" s="29">
        <v>56.305500000000002</v>
      </c>
    </row>
    <row r="1518" spans="1:21">
      <c r="A1518" s="29">
        <v>75</v>
      </c>
      <c r="B1518" s="111">
        <v>6</v>
      </c>
      <c r="C1518" s="111">
        <v>1084</v>
      </c>
      <c r="D1518" s="111" t="s">
        <v>381</v>
      </c>
      <c r="E1518" s="111" t="s">
        <v>382</v>
      </c>
      <c r="F1518" s="265">
        <v>42261</v>
      </c>
      <c r="G1518" s="265">
        <v>42297</v>
      </c>
      <c r="H1518" s="266">
        <f t="shared" si="123"/>
        <v>3525.42</v>
      </c>
      <c r="I1518" s="266">
        <f t="shared" si="124"/>
        <v>0</v>
      </c>
      <c r="J1518" s="266">
        <v>1</v>
      </c>
      <c r="K1518" s="295">
        <f t="shared" si="125"/>
        <v>35.254200000000004</v>
      </c>
      <c r="L1518" s="312">
        <f t="shared" si="126"/>
        <v>36</v>
      </c>
      <c r="M1518" s="263"/>
      <c r="N1518" s="263"/>
      <c r="O1518" s="29">
        <v>3525.42</v>
      </c>
      <c r="P1518" s="29">
        <v>0</v>
      </c>
      <c r="Q1518" s="292">
        <v>634.58000000000004</v>
      </c>
      <c r="R1518" s="29">
        <v>4160</v>
      </c>
      <c r="S1518" s="29">
        <v>0</v>
      </c>
      <c r="T1518" s="29">
        <v>1</v>
      </c>
      <c r="U1518" s="29">
        <v>41.6</v>
      </c>
    </row>
    <row r="1519" spans="1:21">
      <c r="A1519" s="29">
        <v>76</v>
      </c>
      <c r="B1519" s="111">
        <v>6</v>
      </c>
      <c r="C1519" s="111">
        <v>1083</v>
      </c>
      <c r="D1519" s="111" t="s">
        <v>381</v>
      </c>
      <c r="E1519" s="111" t="s">
        <v>382</v>
      </c>
      <c r="F1519" s="265">
        <v>42261</v>
      </c>
      <c r="G1519" s="265">
        <v>42297</v>
      </c>
      <c r="H1519" s="266">
        <f t="shared" si="123"/>
        <v>6881.36</v>
      </c>
      <c r="I1519" s="266">
        <f t="shared" si="124"/>
        <v>0</v>
      </c>
      <c r="J1519" s="266">
        <v>1</v>
      </c>
      <c r="K1519" s="295">
        <f t="shared" si="125"/>
        <v>68.813599999999994</v>
      </c>
      <c r="L1519" s="312">
        <f t="shared" si="126"/>
        <v>36</v>
      </c>
      <c r="M1519" s="263"/>
      <c r="N1519" s="263"/>
      <c r="O1519" s="29">
        <v>6881.36</v>
      </c>
      <c r="P1519" s="29">
        <v>0</v>
      </c>
      <c r="Q1519" s="292">
        <v>1238.6400000000001</v>
      </c>
      <c r="R1519" s="29">
        <v>8120</v>
      </c>
      <c r="S1519" s="29">
        <v>0</v>
      </c>
      <c r="T1519" s="29">
        <v>1</v>
      </c>
      <c r="U1519" s="29">
        <v>81.2</v>
      </c>
    </row>
    <row r="1520" spans="1:21">
      <c r="A1520" s="29">
        <v>77</v>
      </c>
      <c r="B1520" s="111">
        <v>6</v>
      </c>
      <c r="C1520" s="111">
        <v>1086</v>
      </c>
      <c r="D1520" s="111" t="s">
        <v>381</v>
      </c>
      <c r="E1520" s="111" t="s">
        <v>382</v>
      </c>
      <c r="F1520" s="265">
        <v>42261</v>
      </c>
      <c r="G1520" s="265">
        <v>42297</v>
      </c>
      <c r="H1520" s="266">
        <f t="shared" si="123"/>
        <v>6711.86</v>
      </c>
      <c r="I1520" s="266">
        <f t="shared" si="124"/>
        <v>0</v>
      </c>
      <c r="J1520" s="266">
        <v>1</v>
      </c>
      <c r="K1520" s="295">
        <f t="shared" si="125"/>
        <v>67.118600000000001</v>
      </c>
      <c r="L1520" s="312">
        <f t="shared" si="126"/>
        <v>36</v>
      </c>
      <c r="M1520" s="263"/>
      <c r="N1520" s="263"/>
      <c r="O1520" s="29">
        <v>6711.86</v>
      </c>
      <c r="P1520" s="29">
        <v>0</v>
      </c>
      <c r="Q1520" s="292">
        <v>1208.1400000000001</v>
      </c>
      <c r="R1520" s="29">
        <v>7920</v>
      </c>
      <c r="S1520" s="29">
        <v>0</v>
      </c>
      <c r="T1520" s="29">
        <v>1</v>
      </c>
      <c r="U1520" s="29">
        <v>79.2</v>
      </c>
    </row>
    <row r="1521" spans="1:21">
      <c r="A1521" s="29">
        <v>78</v>
      </c>
      <c r="B1521" s="111">
        <v>1</v>
      </c>
      <c r="C1521" s="111">
        <v>310537</v>
      </c>
      <c r="D1521" s="111" t="s">
        <v>758</v>
      </c>
      <c r="E1521" s="111" t="s">
        <v>448</v>
      </c>
      <c r="F1521" s="265">
        <v>42262</v>
      </c>
      <c r="G1521" s="265">
        <v>42293</v>
      </c>
      <c r="H1521" s="266">
        <f t="shared" si="123"/>
        <v>1401.06</v>
      </c>
      <c r="I1521" s="266">
        <f t="shared" si="124"/>
        <v>0</v>
      </c>
      <c r="J1521" s="266">
        <v>1</v>
      </c>
      <c r="K1521" s="295">
        <f t="shared" si="125"/>
        <v>14.0106</v>
      </c>
      <c r="L1521" s="312">
        <f t="shared" si="126"/>
        <v>31</v>
      </c>
      <c r="M1521" s="263"/>
      <c r="N1521" s="263"/>
      <c r="O1521" s="29">
        <v>1401.06</v>
      </c>
      <c r="P1521" s="29">
        <v>0</v>
      </c>
      <c r="Q1521" s="292">
        <v>252.19</v>
      </c>
      <c r="R1521" s="29">
        <v>1653.25</v>
      </c>
      <c r="S1521" s="29">
        <v>0</v>
      </c>
      <c r="T1521" s="29">
        <v>1</v>
      </c>
      <c r="U1521" s="29">
        <v>16.532499999999999</v>
      </c>
    </row>
    <row r="1522" spans="1:21">
      <c r="A1522" s="29">
        <v>79</v>
      </c>
      <c r="B1522" s="111">
        <v>1</v>
      </c>
      <c r="C1522" s="111">
        <v>310593</v>
      </c>
      <c r="D1522" s="111" t="s">
        <v>758</v>
      </c>
      <c r="E1522" s="111" t="s">
        <v>448</v>
      </c>
      <c r="F1522" s="265">
        <v>42263</v>
      </c>
      <c r="G1522" s="265">
        <v>42308</v>
      </c>
      <c r="H1522" s="266">
        <f t="shared" si="123"/>
        <v>1895.22</v>
      </c>
      <c r="I1522" s="266">
        <f t="shared" si="124"/>
        <v>0</v>
      </c>
      <c r="J1522" s="266">
        <v>1</v>
      </c>
      <c r="K1522" s="295">
        <f t="shared" si="125"/>
        <v>18.952200000000001</v>
      </c>
      <c r="L1522" s="312">
        <f t="shared" si="126"/>
        <v>45</v>
      </c>
      <c r="M1522" s="263"/>
      <c r="N1522" s="263"/>
      <c r="O1522" s="29">
        <v>1895.22</v>
      </c>
      <c r="P1522" s="29">
        <v>0</v>
      </c>
      <c r="Q1522" s="292">
        <v>341.14</v>
      </c>
      <c r="R1522" s="29">
        <v>2236.36</v>
      </c>
      <c r="S1522" s="29">
        <v>0</v>
      </c>
      <c r="T1522" s="29">
        <v>1</v>
      </c>
      <c r="U1522" s="29">
        <v>22.363600000000002</v>
      </c>
    </row>
    <row r="1523" spans="1:21">
      <c r="A1523" s="29">
        <v>80</v>
      </c>
      <c r="B1523" s="111">
        <v>6</v>
      </c>
      <c r="C1523" s="111">
        <v>1089</v>
      </c>
      <c r="D1523" s="111" t="s">
        <v>381</v>
      </c>
      <c r="E1523" s="111" t="s">
        <v>382</v>
      </c>
      <c r="F1523" s="265">
        <v>42263</v>
      </c>
      <c r="G1523" s="265">
        <v>42284</v>
      </c>
      <c r="H1523" s="266">
        <f t="shared" si="123"/>
        <v>4424.1499999999996</v>
      </c>
      <c r="I1523" s="266">
        <f t="shared" si="124"/>
        <v>0</v>
      </c>
      <c r="J1523" s="266">
        <v>1</v>
      </c>
      <c r="K1523" s="295">
        <f t="shared" si="125"/>
        <v>44.241499999999995</v>
      </c>
      <c r="L1523" s="312">
        <f t="shared" si="126"/>
        <v>21</v>
      </c>
      <c r="M1523" s="263"/>
      <c r="N1523" s="263"/>
      <c r="O1523" s="29">
        <v>4424.1499999999996</v>
      </c>
      <c r="P1523" s="29">
        <v>0</v>
      </c>
      <c r="Q1523" s="292">
        <v>796.35</v>
      </c>
      <c r="R1523" s="29">
        <v>5220.5</v>
      </c>
      <c r="S1523" s="29">
        <v>0</v>
      </c>
      <c r="T1523" s="29">
        <v>1</v>
      </c>
      <c r="U1523" s="29">
        <v>52.204999999999998</v>
      </c>
    </row>
    <row r="1524" spans="1:21">
      <c r="A1524" s="29">
        <v>81</v>
      </c>
      <c r="B1524" s="111">
        <v>1</v>
      </c>
      <c r="C1524" s="111">
        <v>310609</v>
      </c>
      <c r="D1524" s="111" t="s">
        <v>758</v>
      </c>
      <c r="E1524" s="111" t="s">
        <v>448</v>
      </c>
      <c r="F1524" s="265">
        <v>42263</v>
      </c>
      <c r="G1524" s="265">
        <v>42308</v>
      </c>
      <c r="H1524" s="266">
        <f t="shared" si="123"/>
        <v>2902.55</v>
      </c>
      <c r="I1524" s="266">
        <f t="shared" si="124"/>
        <v>0</v>
      </c>
      <c r="J1524" s="266">
        <v>1</v>
      </c>
      <c r="K1524" s="295">
        <f t="shared" si="125"/>
        <v>29.025500000000001</v>
      </c>
      <c r="L1524" s="312">
        <f t="shared" si="126"/>
        <v>45</v>
      </c>
      <c r="M1524" s="263"/>
      <c r="N1524" s="263"/>
      <c r="O1524" s="29">
        <v>2902.55</v>
      </c>
      <c r="P1524" s="29">
        <v>0</v>
      </c>
      <c r="Q1524" s="292">
        <v>522.46</v>
      </c>
      <c r="R1524" s="29">
        <v>3425.01</v>
      </c>
      <c r="S1524" s="29">
        <v>0</v>
      </c>
      <c r="T1524" s="29">
        <v>1</v>
      </c>
      <c r="U1524" s="29">
        <v>34.250100000000003</v>
      </c>
    </row>
    <row r="1525" spans="1:21">
      <c r="A1525" s="29">
        <v>82</v>
      </c>
      <c r="B1525" s="111">
        <v>1</v>
      </c>
      <c r="C1525" s="111">
        <v>310689</v>
      </c>
      <c r="D1525" s="111" t="s">
        <v>758</v>
      </c>
      <c r="E1525" s="111" t="s">
        <v>448</v>
      </c>
      <c r="F1525" s="265">
        <v>42264</v>
      </c>
      <c r="G1525" s="265">
        <v>42308</v>
      </c>
      <c r="H1525" s="266">
        <f t="shared" si="123"/>
        <v>603.66999999999996</v>
      </c>
      <c r="I1525" s="266">
        <f t="shared" si="124"/>
        <v>0</v>
      </c>
      <c r="J1525" s="266">
        <v>1</v>
      </c>
      <c r="K1525" s="295">
        <f t="shared" si="125"/>
        <v>6.0366999999999997</v>
      </c>
      <c r="L1525" s="312">
        <f t="shared" si="126"/>
        <v>44</v>
      </c>
      <c r="M1525" s="263"/>
      <c r="N1525" s="263"/>
      <c r="O1525" s="29">
        <v>603.66999999999996</v>
      </c>
      <c r="P1525" s="29">
        <v>0</v>
      </c>
      <c r="Q1525" s="292">
        <v>108.66</v>
      </c>
      <c r="R1525" s="29">
        <v>712.33</v>
      </c>
      <c r="S1525" s="29">
        <v>0</v>
      </c>
      <c r="T1525" s="29">
        <v>1</v>
      </c>
      <c r="U1525" s="29">
        <v>7.1233000000000004</v>
      </c>
    </row>
    <row r="1526" spans="1:21">
      <c r="A1526" s="29">
        <v>83</v>
      </c>
      <c r="B1526" s="111">
        <v>1</v>
      </c>
      <c r="C1526" s="111">
        <v>310712</v>
      </c>
      <c r="D1526" s="111" t="s">
        <v>758</v>
      </c>
      <c r="E1526" s="111" t="s">
        <v>448</v>
      </c>
      <c r="F1526" s="265">
        <v>42264</v>
      </c>
      <c r="G1526" s="265">
        <v>42308</v>
      </c>
      <c r="H1526" s="266">
        <f t="shared" si="123"/>
        <v>9838.43</v>
      </c>
      <c r="I1526" s="266">
        <f t="shared" si="124"/>
        <v>0</v>
      </c>
      <c r="J1526" s="266">
        <v>1</v>
      </c>
      <c r="K1526" s="295">
        <f t="shared" si="125"/>
        <v>98.38430000000001</v>
      </c>
      <c r="L1526" s="312">
        <f t="shared" si="126"/>
        <v>44</v>
      </c>
      <c r="M1526" s="263"/>
      <c r="N1526" s="263"/>
      <c r="O1526" s="29">
        <v>9838.43</v>
      </c>
      <c r="P1526" s="29">
        <v>0</v>
      </c>
      <c r="Q1526" s="292">
        <v>1770.92</v>
      </c>
      <c r="R1526" s="29">
        <v>11609.35</v>
      </c>
      <c r="S1526" s="29">
        <v>0</v>
      </c>
      <c r="T1526" s="29">
        <v>1</v>
      </c>
      <c r="U1526" s="29">
        <v>116.09350000000001</v>
      </c>
    </row>
    <row r="1527" spans="1:21">
      <c r="A1527" s="29">
        <v>84</v>
      </c>
      <c r="B1527" s="111">
        <v>1</v>
      </c>
      <c r="C1527" s="111">
        <v>310711</v>
      </c>
      <c r="D1527" s="111" t="s">
        <v>758</v>
      </c>
      <c r="E1527" s="111" t="s">
        <v>448</v>
      </c>
      <c r="F1527" s="265">
        <v>42264</v>
      </c>
      <c r="G1527" s="265">
        <v>42308</v>
      </c>
      <c r="H1527" s="266">
        <f t="shared" si="123"/>
        <v>6567.26</v>
      </c>
      <c r="I1527" s="266">
        <f t="shared" si="124"/>
        <v>0</v>
      </c>
      <c r="J1527" s="266">
        <v>1</v>
      </c>
      <c r="K1527" s="295">
        <f t="shared" si="125"/>
        <v>65.672600000000003</v>
      </c>
      <c r="L1527" s="312">
        <f t="shared" si="126"/>
        <v>44</v>
      </c>
      <c r="M1527" s="263"/>
      <c r="N1527" s="263"/>
      <c r="O1527" s="29">
        <v>6567.26</v>
      </c>
      <c r="P1527" s="29">
        <v>0</v>
      </c>
      <c r="Q1527" s="292">
        <v>1182.1099999999999</v>
      </c>
      <c r="R1527" s="29">
        <v>7749.37</v>
      </c>
      <c r="S1527" s="29">
        <v>0</v>
      </c>
      <c r="T1527" s="29">
        <v>1</v>
      </c>
      <c r="U1527" s="29">
        <v>77.493700000000004</v>
      </c>
    </row>
    <row r="1528" spans="1:21">
      <c r="A1528" s="29">
        <v>85</v>
      </c>
      <c r="B1528" s="111">
        <v>1</v>
      </c>
      <c r="C1528" s="111">
        <v>310714</v>
      </c>
      <c r="D1528" s="111" t="s">
        <v>760</v>
      </c>
      <c r="E1528" s="111" t="s">
        <v>448</v>
      </c>
      <c r="F1528" s="265">
        <v>42264</v>
      </c>
      <c r="G1528" s="265">
        <v>42300</v>
      </c>
      <c r="H1528" s="266">
        <f t="shared" si="123"/>
        <v>362.76</v>
      </c>
      <c r="I1528" s="266">
        <f t="shared" si="124"/>
        <v>0</v>
      </c>
      <c r="J1528" s="266">
        <v>1</v>
      </c>
      <c r="K1528" s="295">
        <f t="shared" si="125"/>
        <v>3.6276000000000002</v>
      </c>
      <c r="L1528" s="312">
        <f t="shared" si="126"/>
        <v>36</v>
      </c>
      <c r="M1528" s="263"/>
      <c r="N1528" s="263"/>
      <c r="O1528" s="29">
        <v>362.76</v>
      </c>
      <c r="P1528" s="29">
        <v>0</v>
      </c>
      <c r="Q1528" s="292">
        <v>65.3</v>
      </c>
      <c r="R1528" s="29">
        <v>428.06</v>
      </c>
      <c r="S1528" s="29">
        <v>0</v>
      </c>
      <c r="T1528" s="29">
        <v>1</v>
      </c>
      <c r="U1528" s="29">
        <v>4.2805999999999997</v>
      </c>
    </row>
    <row r="1529" spans="1:21">
      <c r="A1529" s="29">
        <v>86</v>
      </c>
      <c r="B1529" s="111">
        <v>1</v>
      </c>
      <c r="C1529" s="111">
        <v>310768</v>
      </c>
      <c r="D1529" s="111" t="s">
        <v>757</v>
      </c>
      <c r="E1529" s="111" t="s">
        <v>448</v>
      </c>
      <c r="F1529" s="265">
        <v>42264</v>
      </c>
      <c r="G1529" s="265">
        <v>42300</v>
      </c>
      <c r="H1529" s="266">
        <f t="shared" si="123"/>
        <v>664.07</v>
      </c>
      <c r="I1529" s="266">
        <f t="shared" si="124"/>
        <v>0</v>
      </c>
      <c r="J1529" s="266">
        <v>1</v>
      </c>
      <c r="K1529" s="295">
        <f t="shared" si="125"/>
        <v>6.6407000000000007</v>
      </c>
      <c r="L1529" s="312">
        <f t="shared" si="126"/>
        <v>36</v>
      </c>
      <c r="M1529" s="263"/>
      <c r="N1529" s="263"/>
      <c r="O1529" s="29">
        <v>664.07</v>
      </c>
      <c r="P1529" s="29">
        <v>0</v>
      </c>
      <c r="Q1529" s="292">
        <v>119.53</v>
      </c>
      <c r="R1529" s="29">
        <v>783.6</v>
      </c>
      <c r="S1529" s="29">
        <v>0</v>
      </c>
      <c r="T1529" s="29">
        <v>1</v>
      </c>
      <c r="U1529" s="29">
        <v>7.8360000000000003</v>
      </c>
    </row>
    <row r="1530" spans="1:21">
      <c r="A1530" s="29">
        <v>87</v>
      </c>
      <c r="B1530" s="111">
        <v>1</v>
      </c>
      <c r="C1530" s="111">
        <v>310849</v>
      </c>
      <c r="D1530" s="111" t="s">
        <v>758</v>
      </c>
      <c r="E1530" s="111" t="s">
        <v>448</v>
      </c>
      <c r="F1530" s="265">
        <v>42265</v>
      </c>
      <c r="G1530" s="265">
        <v>42308</v>
      </c>
      <c r="H1530" s="266">
        <f t="shared" si="123"/>
        <v>6250.59</v>
      </c>
      <c r="I1530" s="266">
        <f t="shared" si="124"/>
        <v>0</v>
      </c>
      <c r="J1530" s="266">
        <v>1</v>
      </c>
      <c r="K1530" s="295">
        <f t="shared" si="125"/>
        <v>62.505900000000004</v>
      </c>
      <c r="L1530" s="312">
        <f t="shared" si="126"/>
        <v>43</v>
      </c>
      <c r="M1530" s="263"/>
      <c r="N1530" s="263"/>
      <c r="O1530" s="29">
        <v>6250.59</v>
      </c>
      <c r="P1530" s="29">
        <v>0</v>
      </c>
      <c r="Q1530" s="292">
        <v>1125.1099999999999</v>
      </c>
      <c r="R1530" s="29">
        <v>7375.7</v>
      </c>
      <c r="S1530" s="29">
        <v>0</v>
      </c>
      <c r="T1530" s="29">
        <v>1</v>
      </c>
      <c r="U1530" s="29">
        <v>73.757000000000005</v>
      </c>
    </row>
    <row r="1531" spans="1:21">
      <c r="A1531" s="29">
        <v>88</v>
      </c>
      <c r="B1531" s="111">
        <v>1</v>
      </c>
      <c r="C1531" s="111">
        <v>310912</v>
      </c>
      <c r="D1531" s="111" t="s">
        <v>758</v>
      </c>
      <c r="E1531" s="111" t="s">
        <v>448</v>
      </c>
      <c r="F1531" s="265">
        <v>42266</v>
      </c>
      <c r="G1531" s="265">
        <v>42308</v>
      </c>
      <c r="H1531" s="266">
        <f t="shared" si="123"/>
        <v>134.22</v>
      </c>
      <c r="I1531" s="266">
        <f t="shared" si="124"/>
        <v>0</v>
      </c>
      <c r="J1531" s="266">
        <v>1</v>
      </c>
      <c r="K1531" s="295">
        <f t="shared" si="125"/>
        <v>1.3422000000000001</v>
      </c>
      <c r="L1531" s="312">
        <f t="shared" si="126"/>
        <v>42</v>
      </c>
      <c r="M1531" s="263"/>
      <c r="N1531" s="263"/>
      <c r="O1531" s="29">
        <v>134.22</v>
      </c>
      <c r="P1531" s="29">
        <v>0</v>
      </c>
      <c r="Q1531" s="292">
        <v>24.16</v>
      </c>
      <c r="R1531" s="29">
        <v>158.38</v>
      </c>
      <c r="S1531" s="29">
        <v>0</v>
      </c>
      <c r="T1531" s="29">
        <v>1</v>
      </c>
      <c r="U1531" s="29">
        <v>1.5838000000000001</v>
      </c>
    </row>
    <row r="1532" spans="1:21">
      <c r="A1532" s="29">
        <v>89</v>
      </c>
      <c r="B1532" s="111">
        <v>1</v>
      </c>
      <c r="C1532" s="111">
        <v>310911</v>
      </c>
      <c r="D1532" s="111" t="s">
        <v>758</v>
      </c>
      <c r="E1532" s="111" t="s">
        <v>448</v>
      </c>
      <c r="F1532" s="265">
        <v>42266</v>
      </c>
      <c r="G1532" s="265">
        <v>42308</v>
      </c>
      <c r="H1532" s="266">
        <f t="shared" si="123"/>
        <v>6247.19</v>
      </c>
      <c r="I1532" s="266">
        <f t="shared" si="124"/>
        <v>0</v>
      </c>
      <c r="J1532" s="266">
        <v>1</v>
      </c>
      <c r="K1532" s="295">
        <f t="shared" si="125"/>
        <v>62.471899999999998</v>
      </c>
      <c r="L1532" s="312">
        <f t="shared" si="126"/>
        <v>42</v>
      </c>
      <c r="M1532" s="263"/>
      <c r="N1532" s="263"/>
      <c r="O1532" s="29">
        <v>6247.19</v>
      </c>
      <c r="P1532" s="29">
        <v>0</v>
      </c>
      <c r="Q1532" s="292">
        <v>1124.49</v>
      </c>
      <c r="R1532" s="29">
        <v>7371.68</v>
      </c>
      <c r="S1532" s="29">
        <v>0</v>
      </c>
      <c r="T1532" s="29">
        <v>1</v>
      </c>
      <c r="U1532" s="29">
        <v>73.716800000000006</v>
      </c>
    </row>
    <row r="1533" spans="1:21">
      <c r="A1533" s="29">
        <v>90</v>
      </c>
      <c r="B1533" s="111">
        <v>1</v>
      </c>
      <c r="C1533" s="111">
        <v>310910</v>
      </c>
      <c r="D1533" s="111" t="s">
        <v>758</v>
      </c>
      <c r="E1533" s="111" t="s">
        <v>448</v>
      </c>
      <c r="F1533" s="265">
        <v>42266</v>
      </c>
      <c r="G1533" s="265">
        <v>42308</v>
      </c>
      <c r="H1533" s="266">
        <f t="shared" si="123"/>
        <v>3650.01</v>
      </c>
      <c r="I1533" s="266">
        <f t="shared" si="124"/>
        <v>0</v>
      </c>
      <c r="J1533" s="266">
        <v>1</v>
      </c>
      <c r="K1533" s="295">
        <f t="shared" si="125"/>
        <v>36.500100000000003</v>
      </c>
      <c r="L1533" s="312">
        <f t="shared" si="126"/>
        <v>42</v>
      </c>
      <c r="M1533" s="263"/>
      <c r="N1533" s="263"/>
      <c r="O1533" s="29">
        <v>3650.01</v>
      </c>
      <c r="P1533" s="29">
        <v>0</v>
      </c>
      <c r="Q1533" s="292">
        <v>657</v>
      </c>
      <c r="R1533" s="29">
        <v>4307.01</v>
      </c>
      <c r="S1533" s="29">
        <v>0</v>
      </c>
      <c r="T1533" s="29">
        <v>1</v>
      </c>
      <c r="U1533" s="29">
        <v>43.070099999999996</v>
      </c>
    </row>
    <row r="1534" spans="1:21">
      <c r="A1534" s="29">
        <v>91</v>
      </c>
      <c r="B1534" s="111">
        <v>1</v>
      </c>
      <c r="C1534" s="111">
        <v>310958</v>
      </c>
      <c r="D1534" s="111" t="s">
        <v>758</v>
      </c>
      <c r="E1534" s="111" t="s">
        <v>448</v>
      </c>
      <c r="F1534" s="265">
        <v>42268</v>
      </c>
      <c r="G1534" s="265">
        <v>42308</v>
      </c>
      <c r="H1534" s="266">
        <f t="shared" si="123"/>
        <v>1115.82</v>
      </c>
      <c r="I1534" s="266">
        <f t="shared" si="124"/>
        <v>0</v>
      </c>
      <c r="J1534" s="266">
        <v>1</v>
      </c>
      <c r="K1534" s="295">
        <f t="shared" si="125"/>
        <v>11.158199999999999</v>
      </c>
      <c r="L1534" s="312">
        <f t="shared" si="126"/>
        <v>40</v>
      </c>
      <c r="M1534" s="263"/>
      <c r="N1534" s="263"/>
      <c r="O1534" s="29">
        <v>1115.82</v>
      </c>
      <c r="P1534" s="29">
        <v>0</v>
      </c>
      <c r="Q1534" s="292">
        <v>200.85</v>
      </c>
      <c r="R1534" s="29">
        <v>1316.67</v>
      </c>
      <c r="S1534" s="29">
        <v>0</v>
      </c>
      <c r="T1534" s="29">
        <v>1</v>
      </c>
      <c r="U1534" s="29">
        <v>13.166700000000001</v>
      </c>
    </row>
    <row r="1535" spans="1:21">
      <c r="A1535" s="29">
        <v>92</v>
      </c>
      <c r="B1535" s="111">
        <v>1</v>
      </c>
      <c r="C1535" s="111">
        <v>310974</v>
      </c>
      <c r="D1535" s="111" t="s">
        <v>759</v>
      </c>
      <c r="E1535" s="111" t="s">
        <v>448</v>
      </c>
      <c r="F1535" s="265">
        <v>42268</v>
      </c>
      <c r="G1535" s="265">
        <v>42300</v>
      </c>
      <c r="H1535" s="266">
        <f t="shared" si="123"/>
        <v>254.04</v>
      </c>
      <c r="I1535" s="266">
        <f t="shared" si="124"/>
        <v>0</v>
      </c>
      <c r="J1535" s="266">
        <v>1</v>
      </c>
      <c r="K1535" s="295">
        <f t="shared" si="125"/>
        <v>2.5404</v>
      </c>
      <c r="L1535" s="312">
        <f t="shared" si="126"/>
        <v>32</v>
      </c>
      <c r="M1535" s="263"/>
      <c r="N1535" s="263"/>
      <c r="O1535" s="29">
        <v>254.04</v>
      </c>
      <c r="P1535" s="29">
        <v>0</v>
      </c>
      <c r="Q1535" s="292">
        <v>45.73</v>
      </c>
      <c r="R1535" s="29">
        <v>299.77</v>
      </c>
      <c r="S1535" s="29">
        <v>0</v>
      </c>
      <c r="T1535" s="29">
        <v>1</v>
      </c>
      <c r="U1535" s="29">
        <v>2.9977</v>
      </c>
    </row>
    <row r="1536" spans="1:21">
      <c r="A1536" s="29">
        <v>93</v>
      </c>
      <c r="B1536" s="111">
        <v>1</v>
      </c>
      <c r="C1536" s="111">
        <v>310977</v>
      </c>
      <c r="D1536" s="111" t="s">
        <v>759</v>
      </c>
      <c r="E1536" s="111" t="s">
        <v>448</v>
      </c>
      <c r="F1536" s="265">
        <v>42268</v>
      </c>
      <c r="G1536" s="265">
        <v>42300</v>
      </c>
      <c r="H1536" s="266">
        <f t="shared" si="123"/>
        <v>254.04</v>
      </c>
      <c r="I1536" s="266">
        <f t="shared" si="124"/>
        <v>0</v>
      </c>
      <c r="J1536" s="266">
        <v>1</v>
      </c>
      <c r="K1536" s="295">
        <f t="shared" si="125"/>
        <v>2.5404</v>
      </c>
      <c r="L1536" s="312">
        <f t="shared" si="126"/>
        <v>32</v>
      </c>
      <c r="M1536" s="263"/>
      <c r="N1536" s="263"/>
      <c r="O1536" s="29">
        <v>254.04</v>
      </c>
      <c r="P1536" s="29">
        <v>0</v>
      </c>
      <c r="Q1536" s="292">
        <v>45.73</v>
      </c>
      <c r="R1536" s="29">
        <v>299.77</v>
      </c>
      <c r="S1536" s="29">
        <v>0</v>
      </c>
      <c r="T1536" s="29">
        <v>1</v>
      </c>
      <c r="U1536" s="29">
        <v>2.9977</v>
      </c>
    </row>
    <row r="1537" spans="1:21">
      <c r="A1537" s="29">
        <v>94</v>
      </c>
      <c r="B1537" s="111">
        <v>1</v>
      </c>
      <c r="C1537" s="111">
        <v>311052</v>
      </c>
      <c r="D1537" s="111" t="s">
        <v>758</v>
      </c>
      <c r="E1537" s="111" t="s">
        <v>448</v>
      </c>
      <c r="F1537" s="265">
        <v>42269</v>
      </c>
      <c r="G1537" s="265">
        <v>42308</v>
      </c>
      <c r="H1537" s="266">
        <f t="shared" si="123"/>
        <v>2669.82</v>
      </c>
      <c r="I1537" s="266">
        <f t="shared" si="124"/>
        <v>0</v>
      </c>
      <c r="J1537" s="266">
        <v>1</v>
      </c>
      <c r="K1537" s="295">
        <f t="shared" si="125"/>
        <v>26.698200000000003</v>
      </c>
      <c r="L1537" s="312">
        <f t="shared" si="126"/>
        <v>39</v>
      </c>
      <c r="M1537" s="263"/>
      <c r="N1537" s="263"/>
      <c r="O1537" s="29">
        <v>2669.82</v>
      </c>
      <c r="P1537" s="29">
        <v>0</v>
      </c>
      <c r="Q1537" s="292">
        <v>480.57</v>
      </c>
      <c r="R1537" s="29">
        <v>3150.39</v>
      </c>
      <c r="S1537" s="29">
        <v>0</v>
      </c>
      <c r="T1537" s="29">
        <v>1</v>
      </c>
      <c r="U1537" s="29">
        <v>31.503900000000002</v>
      </c>
    </row>
    <row r="1538" spans="1:21">
      <c r="A1538" s="29">
        <v>95</v>
      </c>
      <c r="B1538" s="111">
        <v>1</v>
      </c>
      <c r="C1538" s="111">
        <v>311131</v>
      </c>
      <c r="D1538" s="111" t="s">
        <v>760</v>
      </c>
      <c r="E1538" s="111" t="s">
        <v>448</v>
      </c>
      <c r="F1538" s="265">
        <v>42269</v>
      </c>
      <c r="G1538" s="265">
        <v>42300</v>
      </c>
      <c r="H1538" s="266">
        <f t="shared" si="123"/>
        <v>123.02</v>
      </c>
      <c r="I1538" s="266">
        <f t="shared" si="124"/>
        <v>0</v>
      </c>
      <c r="J1538" s="266">
        <v>1</v>
      </c>
      <c r="K1538" s="295">
        <f t="shared" si="125"/>
        <v>1.2302</v>
      </c>
      <c r="L1538" s="312">
        <f t="shared" si="126"/>
        <v>31</v>
      </c>
      <c r="M1538" s="263"/>
      <c r="N1538" s="263"/>
      <c r="O1538" s="29">
        <v>123.02</v>
      </c>
      <c r="P1538" s="29">
        <v>0</v>
      </c>
      <c r="Q1538" s="292">
        <v>22.14</v>
      </c>
      <c r="R1538" s="29">
        <v>145.16</v>
      </c>
      <c r="S1538" s="29">
        <v>0</v>
      </c>
      <c r="T1538" s="29">
        <v>1</v>
      </c>
      <c r="U1538" s="29">
        <v>1.4516</v>
      </c>
    </row>
    <row r="1539" spans="1:21">
      <c r="A1539" s="29">
        <v>96</v>
      </c>
      <c r="B1539" s="111">
        <v>1</v>
      </c>
      <c r="C1539" s="111">
        <v>311238</v>
      </c>
      <c r="D1539" s="111" t="s">
        <v>772</v>
      </c>
      <c r="E1539" s="111" t="s">
        <v>448</v>
      </c>
      <c r="F1539" s="265">
        <v>42270</v>
      </c>
      <c r="G1539" s="265">
        <v>42278</v>
      </c>
      <c r="H1539" s="266">
        <f t="shared" si="123"/>
        <v>8136</v>
      </c>
      <c r="I1539" s="266">
        <f t="shared" si="124"/>
        <v>0</v>
      </c>
      <c r="J1539" s="266">
        <v>0.5</v>
      </c>
      <c r="K1539" s="295">
        <f t="shared" si="125"/>
        <v>40.68</v>
      </c>
      <c r="L1539" s="312">
        <f t="shared" si="126"/>
        <v>8</v>
      </c>
      <c r="M1539" s="263"/>
      <c r="N1539" s="263"/>
      <c r="O1539" s="29">
        <v>8136</v>
      </c>
      <c r="P1539" s="29">
        <v>0</v>
      </c>
      <c r="Q1539" s="292">
        <v>1464.48</v>
      </c>
      <c r="R1539" s="29">
        <v>9600.48</v>
      </c>
      <c r="S1539" s="29">
        <v>0</v>
      </c>
      <c r="T1539" s="29">
        <v>1</v>
      </c>
      <c r="U1539" s="29">
        <v>96.004800000000003</v>
      </c>
    </row>
    <row r="1540" spans="1:21">
      <c r="A1540" s="29">
        <v>97</v>
      </c>
      <c r="B1540" s="111">
        <v>1</v>
      </c>
      <c r="C1540" s="111">
        <v>311087</v>
      </c>
      <c r="D1540" s="111" t="s">
        <v>760</v>
      </c>
      <c r="E1540" s="111" t="s">
        <v>448</v>
      </c>
      <c r="F1540" s="265">
        <v>42269</v>
      </c>
      <c r="G1540" s="265">
        <v>42300</v>
      </c>
      <c r="H1540" s="266">
        <f t="shared" ref="H1540:H1573" si="127">(O1540+P1540)</f>
        <v>745.14</v>
      </c>
      <c r="I1540" s="266">
        <f t="shared" ref="I1540:I1573" si="128">S1540</f>
        <v>0</v>
      </c>
      <c r="J1540" s="266">
        <v>1</v>
      </c>
      <c r="K1540" s="295">
        <f t="shared" ref="K1540:K1553" si="129">(H1540-I1540)*J1540%</f>
        <v>7.4513999999999996</v>
      </c>
      <c r="L1540" s="312">
        <f t="shared" ref="L1540:L1573" si="130">G1540-F1540</f>
        <v>31</v>
      </c>
      <c r="M1540" s="263"/>
      <c r="N1540" s="263"/>
      <c r="O1540" s="29">
        <v>745.14</v>
      </c>
      <c r="P1540" s="29">
        <v>0</v>
      </c>
      <c r="Q1540" s="292">
        <v>134.13</v>
      </c>
      <c r="R1540" s="29">
        <v>879.27</v>
      </c>
      <c r="S1540" s="29">
        <v>0</v>
      </c>
      <c r="T1540" s="29">
        <v>1</v>
      </c>
      <c r="U1540" s="29">
        <v>8.7927</v>
      </c>
    </row>
    <row r="1541" spans="1:21">
      <c r="A1541" s="29">
        <v>98</v>
      </c>
      <c r="B1541" s="111">
        <v>1</v>
      </c>
      <c r="C1541" s="111">
        <v>311209</v>
      </c>
      <c r="D1541" s="111" t="s">
        <v>758</v>
      </c>
      <c r="E1541" s="111" t="s">
        <v>448</v>
      </c>
      <c r="F1541" s="265">
        <v>42270</v>
      </c>
      <c r="G1541" s="265">
        <v>42308</v>
      </c>
      <c r="H1541" s="266">
        <f t="shared" si="127"/>
        <v>338.48</v>
      </c>
      <c r="I1541" s="266">
        <f t="shared" si="128"/>
        <v>0</v>
      </c>
      <c r="J1541" s="266">
        <v>1</v>
      </c>
      <c r="K1541" s="295">
        <f t="shared" si="129"/>
        <v>3.3848000000000003</v>
      </c>
      <c r="L1541" s="312">
        <f t="shared" si="130"/>
        <v>38</v>
      </c>
      <c r="M1541" s="263"/>
      <c r="N1541" s="263"/>
      <c r="O1541" s="29">
        <v>338.48</v>
      </c>
      <c r="P1541" s="29">
        <v>0</v>
      </c>
      <c r="Q1541" s="292">
        <v>60.93</v>
      </c>
      <c r="R1541" s="29">
        <v>399.41</v>
      </c>
      <c r="S1541" s="29">
        <v>0</v>
      </c>
      <c r="T1541" s="29">
        <v>1</v>
      </c>
      <c r="U1541" s="29">
        <v>3.9941</v>
      </c>
    </row>
    <row r="1542" spans="1:21">
      <c r="A1542" s="29">
        <v>99</v>
      </c>
      <c r="B1542" s="111">
        <v>1</v>
      </c>
      <c r="C1542" s="111">
        <v>311175</v>
      </c>
      <c r="D1542" s="111" t="s">
        <v>758</v>
      </c>
      <c r="E1542" s="111" t="s">
        <v>448</v>
      </c>
      <c r="F1542" s="265">
        <v>42270</v>
      </c>
      <c r="G1542" s="265">
        <v>42308</v>
      </c>
      <c r="H1542" s="266">
        <f t="shared" si="127"/>
        <v>660.57</v>
      </c>
      <c r="I1542" s="266">
        <f t="shared" si="128"/>
        <v>0</v>
      </c>
      <c r="J1542" s="266">
        <v>1</v>
      </c>
      <c r="K1542" s="295">
        <f t="shared" si="129"/>
        <v>6.6057000000000006</v>
      </c>
      <c r="L1542" s="312">
        <f t="shared" si="130"/>
        <v>38</v>
      </c>
      <c r="M1542" s="263"/>
      <c r="N1542" s="263"/>
      <c r="O1542" s="29">
        <v>660.57</v>
      </c>
      <c r="P1542" s="29">
        <v>0</v>
      </c>
      <c r="Q1542" s="292">
        <v>118.9</v>
      </c>
      <c r="R1542" s="29">
        <v>779.47</v>
      </c>
      <c r="S1542" s="29">
        <v>0</v>
      </c>
      <c r="T1542" s="29">
        <v>1</v>
      </c>
      <c r="U1542" s="29">
        <v>7.7946999999999997</v>
      </c>
    </row>
    <row r="1543" spans="1:21">
      <c r="A1543" s="29">
        <v>100</v>
      </c>
      <c r="B1543" s="111">
        <v>1</v>
      </c>
      <c r="C1543" s="111">
        <v>311255</v>
      </c>
      <c r="D1543" s="111" t="s">
        <v>758</v>
      </c>
      <c r="E1543" s="111" t="s">
        <v>448</v>
      </c>
      <c r="F1543" s="265">
        <v>42271</v>
      </c>
      <c r="G1543" s="265">
        <v>42308</v>
      </c>
      <c r="H1543" s="266">
        <f t="shared" si="127"/>
        <v>995.68</v>
      </c>
      <c r="I1543" s="266">
        <f t="shared" si="128"/>
        <v>0</v>
      </c>
      <c r="J1543" s="266">
        <v>1</v>
      </c>
      <c r="K1543" s="295">
        <f t="shared" si="129"/>
        <v>9.9567999999999994</v>
      </c>
      <c r="L1543" s="312">
        <f t="shared" si="130"/>
        <v>37</v>
      </c>
      <c r="M1543" s="263"/>
      <c r="N1543" s="263"/>
      <c r="O1543" s="29">
        <v>995.68</v>
      </c>
      <c r="P1543" s="29">
        <v>0</v>
      </c>
      <c r="Q1543" s="292">
        <v>179.22</v>
      </c>
      <c r="R1543" s="29">
        <v>1174.9000000000001</v>
      </c>
      <c r="S1543" s="29">
        <v>0</v>
      </c>
      <c r="T1543" s="29">
        <v>1</v>
      </c>
      <c r="U1543" s="29">
        <v>11.749000000000001</v>
      </c>
    </row>
    <row r="1544" spans="1:21">
      <c r="A1544" s="29">
        <v>101</v>
      </c>
      <c r="B1544" s="111">
        <v>1</v>
      </c>
      <c r="C1544" s="111">
        <v>311250</v>
      </c>
      <c r="D1544" s="111" t="s">
        <v>772</v>
      </c>
      <c r="E1544" s="111" t="s">
        <v>448</v>
      </c>
      <c r="F1544" s="265">
        <v>42271</v>
      </c>
      <c r="G1544" s="265">
        <v>42278</v>
      </c>
      <c r="H1544" s="266">
        <f t="shared" si="127"/>
        <v>12204</v>
      </c>
      <c r="I1544" s="266">
        <f t="shared" si="128"/>
        <v>0</v>
      </c>
      <c r="J1544" s="266">
        <v>0.5</v>
      </c>
      <c r="K1544" s="295">
        <f t="shared" si="129"/>
        <v>61.02</v>
      </c>
      <c r="L1544" s="312">
        <f t="shared" si="130"/>
        <v>7</v>
      </c>
      <c r="M1544" s="263"/>
      <c r="N1544" s="263"/>
      <c r="O1544" s="29">
        <v>12204</v>
      </c>
      <c r="P1544" s="29">
        <v>0</v>
      </c>
      <c r="Q1544" s="292">
        <v>2196.7199999999998</v>
      </c>
      <c r="R1544" s="29">
        <v>14400.72</v>
      </c>
      <c r="S1544" s="29">
        <v>0</v>
      </c>
      <c r="T1544" s="29">
        <v>1</v>
      </c>
      <c r="U1544" s="29">
        <v>144.00720000000001</v>
      </c>
    </row>
    <row r="1545" spans="1:21">
      <c r="A1545" s="29">
        <v>102</v>
      </c>
      <c r="B1545" s="111">
        <v>1</v>
      </c>
      <c r="C1545" s="111">
        <v>311391</v>
      </c>
      <c r="D1545" s="111" t="s">
        <v>758</v>
      </c>
      <c r="E1545" s="111" t="s">
        <v>448</v>
      </c>
      <c r="F1545" s="265">
        <v>42272</v>
      </c>
      <c r="G1545" s="265">
        <v>42308</v>
      </c>
      <c r="H1545" s="266">
        <f t="shared" si="127"/>
        <v>935.54</v>
      </c>
      <c r="I1545" s="266">
        <f t="shared" si="128"/>
        <v>0</v>
      </c>
      <c r="J1545" s="266">
        <v>1</v>
      </c>
      <c r="K1545" s="295">
        <f t="shared" si="129"/>
        <v>9.3553999999999995</v>
      </c>
      <c r="L1545" s="312">
        <f t="shared" si="130"/>
        <v>36</v>
      </c>
      <c r="M1545" s="263"/>
      <c r="N1545" s="263"/>
      <c r="O1545" s="29">
        <v>935.54</v>
      </c>
      <c r="P1545" s="29">
        <v>0</v>
      </c>
      <c r="Q1545" s="292">
        <v>168.4</v>
      </c>
      <c r="R1545" s="29">
        <v>1103.94</v>
      </c>
      <c r="S1545" s="29">
        <v>0</v>
      </c>
      <c r="T1545" s="29">
        <v>1</v>
      </c>
      <c r="U1545" s="29">
        <v>11.039400000000001</v>
      </c>
    </row>
    <row r="1546" spans="1:21">
      <c r="A1546" s="29">
        <v>103</v>
      </c>
      <c r="B1546" s="111">
        <v>1</v>
      </c>
      <c r="C1546" s="111">
        <v>311386</v>
      </c>
      <c r="D1546" s="111" t="s">
        <v>758</v>
      </c>
      <c r="E1546" s="111" t="s">
        <v>448</v>
      </c>
      <c r="F1546" s="265">
        <v>42272</v>
      </c>
      <c r="G1546" s="265">
        <v>42308</v>
      </c>
      <c r="H1546" s="266">
        <f t="shared" si="127"/>
        <v>7074.64</v>
      </c>
      <c r="I1546" s="266">
        <f t="shared" si="128"/>
        <v>0</v>
      </c>
      <c r="J1546" s="266">
        <v>1</v>
      </c>
      <c r="K1546" s="295">
        <f t="shared" si="129"/>
        <v>70.746400000000008</v>
      </c>
      <c r="L1546" s="312">
        <f t="shared" si="130"/>
        <v>36</v>
      </c>
      <c r="M1546" s="263"/>
      <c r="N1546" s="263"/>
      <c r="O1546" s="29">
        <v>6821.35</v>
      </c>
      <c r="P1546" s="29">
        <v>253.29</v>
      </c>
      <c r="Q1546" s="292">
        <v>1227.8399999999999</v>
      </c>
      <c r="R1546" s="29">
        <v>8302.48</v>
      </c>
      <c r="S1546" s="29">
        <v>0</v>
      </c>
      <c r="T1546" s="29">
        <v>1</v>
      </c>
      <c r="U1546" s="29">
        <v>83.024799999999999</v>
      </c>
    </row>
    <row r="1547" spans="1:21">
      <c r="A1547" s="29">
        <v>104</v>
      </c>
      <c r="B1547" s="111">
        <v>1</v>
      </c>
      <c r="C1547" s="111">
        <v>311384</v>
      </c>
      <c r="D1547" s="111" t="s">
        <v>758</v>
      </c>
      <c r="E1547" s="111" t="s">
        <v>448</v>
      </c>
      <c r="F1547" s="265">
        <v>42272</v>
      </c>
      <c r="G1547" s="265">
        <v>42308</v>
      </c>
      <c r="H1547" s="266">
        <f t="shared" si="127"/>
        <v>5148.32</v>
      </c>
      <c r="I1547" s="266">
        <f t="shared" si="128"/>
        <v>0</v>
      </c>
      <c r="J1547" s="266">
        <v>1</v>
      </c>
      <c r="K1547" s="295">
        <f t="shared" si="129"/>
        <v>51.483199999999997</v>
      </c>
      <c r="L1547" s="312">
        <f t="shared" si="130"/>
        <v>36</v>
      </c>
      <c r="M1547" s="263"/>
      <c r="N1547" s="263"/>
      <c r="O1547" s="29">
        <v>5148.32</v>
      </c>
      <c r="P1547" s="29">
        <v>0</v>
      </c>
      <c r="Q1547" s="292">
        <v>926.7</v>
      </c>
      <c r="R1547" s="29">
        <v>6075.02</v>
      </c>
      <c r="S1547" s="29">
        <v>0</v>
      </c>
      <c r="T1547" s="29">
        <v>1</v>
      </c>
      <c r="U1547" s="29">
        <v>60.7502</v>
      </c>
    </row>
    <row r="1548" spans="1:21">
      <c r="A1548" s="29">
        <v>105</v>
      </c>
      <c r="B1548" s="111">
        <v>1</v>
      </c>
      <c r="C1548" s="111">
        <v>311385</v>
      </c>
      <c r="D1548" s="111" t="s">
        <v>758</v>
      </c>
      <c r="E1548" s="111" t="s">
        <v>448</v>
      </c>
      <c r="F1548" s="265">
        <v>42272</v>
      </c>
      <c r="G1548" s="265">
        <v>42308</v>
      </c>
      <c r="H1548" s="266">
        <f t="shared" si="127"/>
        <v>3158.7</v>
      </c>
      <c r="I1548" s="266">
        <f t="shared" si="128"/>
        <v>0</v>
      </c>
      <c r="J1548" s="266">
        <v>1</v>
      </c>
      <c r="K1548" s="295">
        <f t="shared" si="129"/>
        <v>31.587</v>
      </c>
      <c r="L1548" s="312">
        <f t="shared" si="130"/>
        <v>36</v>
      </c>
      <c r="M1548" s="263"/>
      <c r="N1548" s="263"/>
      <c r="O1548" s="29">
        <v>3158.7</v>
      </c>
      <c r="P1548" s="29">
        <v>0</v>
      </c>
      <c r="Q1548" s="292">
        <v>568.57000000000005</v>
      </c>
      <c r="R1548" s="29">
        <v>3727.27</v>
      </c>
      <c r="S1548" s="29">
        <v>0</v>
      </c>
      <c r="T1548" s="29">
        <v>1</v>
      </c>
      <c r="U1548" s="29">
        <v>37.2727</v>
      </c>
    </row>
    <row r="1549" spans="1:21">
      <c r="A1549" s="29">
        <v>106</v>
      </c>
      <c r="B1549" s="111">
        <v>1</v>
      </c>
      <c r="C1549" s="111">
        <v>311415</v>
      </c>
      <c r="D1549" s="111" t="s">
        <v>758</v>
      </c>
      <c r="E1549" s="111" t="s">
        <v>448</v>
      </c>
      <c r="F1549" s="265">
        <v>42272</v>
      </c>
      <c r="G1549" s="265">
        <v>42308</v>
      </c>
      <c r="H1549" s="266">
        <f t="shared" si="127"/>
        <v>221.59</v>
      </c>
      <c r="I1549" s="266">
        <f t="shared" si="128"/>
        <v>0</v>
      </c>
      <c r="J1549" s="266">
        <v>1</v>
      </c>
      <c r="K1549" s="295">
        <f t="shared" si="129"/>
        <v>2.2159</v>
      </c>
      <c r="L1549" s="312">
        <f t="shared" si="130"/>
        <v>36</v>
      </c>
      <c r="M1549" s="263"/>
      <c r="N1549" s="263"/>
      <c r="O1549" s="29">
        <v>221.59</v>
      </c>
      <c r="P1549" s="29">
        <v>0</v>
      </c>
      <c r="Q1549" s="292">
        <v>39.89</v>
      </c>
      <c r="R1549" s="29">
        <v>261.48</v>
      </c>
      <c r="S1549" s="29">
        <v>0</v>
      </c>
      <c r="T1549" s="29">
        <v>1</v>
      </c>
      <c r="U1549" s="29">
        <v>2.6147999999999998</v>
      </c>
    </row>
    <row r="1550" spans="1:21">
      <c r="A1550" s="29">
        <v>107</v>
      </c>
      <c r="B1550" s="111">
        <v>1</v>
      </c>
      <c r="C1550" s="111">
        <v>311631</v>
      </c>
      <c r="D1550" s="111" t="s">
        <v>758</v>
      </c>
      <c r="E1550" s="111" t="s">
        <v>448</v>
      </c>
      <c r="F1550" s="265">
        <v>42275</v>
      </c>
      <c r="G1550" s="265">
        <v>42308</v>
      </c>
      <c r="H1550" s="266">
        <f t="shared" si="127"/>
        <v>1162.3</v>
      </c>
      <c r="I1550" s="266">
        <f t="shared" si="128"/>
        <v>0</v>
      </c>
      <c r="J1550" s="266">
        <v>1</v>
      </c>
      <c r="K1550" s="295">
        <f t="shared" si="129"/>
        <v>11.622999999999999</v>
      </c>
      <c r="L1550" s="312">
        <f t="shared" si="130"/>
        <v>33</v>
      </c>
      <c r="M1550" s="263"/>
      <c r="N1550" s="263"/>
      <c r="O1550" s="29">
        <v>1162.3</v>
      </c>
      <c r="P1550" s="29">
        <v>0</v>
      </c>
      <c r="Q1550" s="292">
        <v>209.21</v>
      </c>
      <c r="R1550" s="29">
        <v>1371.51</v>
      </c>
      <c r="S1550" s="29">
        <v>0</v>
      </c>
      <c r="T1550" s="29">
        <v>1</v>
      </c>
      <c r="U1550" s="29">
        <v>13.7151</v>
      </c>
    </row>
    <row r="1551" spans="1:21">
      <c r="A1551" s="29">
        <v>108</v>
      </c>
      <c r="B1551" s="111">
        <v>1</v>
      </c>
      <c r="C1551" s="111">
        <v>311637</v>
      </c>
      <c r="D1551" s="111" t="s">
        <v>758</v>
      </c>
      <c r="E1551" s="111" t="s">
        <v>448</v>
      </c>
      <c r="F1551" s="265">
        <v>42275</v>
      </c>
      <c r="G1551" s="265">
        <v>42308</v>
      </c>
      <c r="H1551" s="266">
        <f t="shared" si="127"/>
        <v>866.54</v>
      </c>
      <c r="I1551" s="266">
        <f t="shared" si="128"/>
        <v>0</v>
      </c>
      <c r="J1551" s="266">
        <v>1</v>
      </c>
      <c r="K1551" s="295">
        <f t="shared" si="129"/>
        <v>8.6654</v>
      </c>
      <c r="L1551" s="312">
        <f t="shared" si="130"/>
        <v>33</v>
      </c>
      <c r="M1551" s="263"/>
      <c r="N1551" s="263"/>
      <c r="O1551" s="29">
        <v>866.54</v>
      </c>
      <c r="P1551" s="29">
        <v>0</v>
      </c>
      <c r="Q1551" s="292">
        <v>155.97999999999999</v>
      </c>
      <c r="R1551" s="29">
        <v>1022.52</v>
      </c>
      <c r="S1551" s="29">
        <v>0</v>
      </c>
      <c r="T1551" s="29">
        <v>1</v>
      </c>
      <c r="U1551" s="29">
        <v>10.225199999999999</v>
      </c>
    </row>
    <row r="1552" spans="1:21">
      <c r="A1552" s="29">
        <v>109</v>
      </c>
      <c r="B1552" s="111">
        <v>1</v>
      </c>
      <c r="C1552" s="111">
        <v>311566</v>
      </c>
      <c r="D1552" s="111" t="s">
        <v>758</v>
      </c>
      <c r="E1552" s="111" t="s">
        <v>448</v>
      </c>
      <c r="F1552" s="265">
        <v>42273</v>
      </c>
      <c r="G1552" s="265">
        <v>42308</v>
      </c>
      <c r="H1552" s="266">
        <f t="shared" si="127"/>
        <v>272.73</v>
      </c>
      <c r="I1552" s="266">
        <f t="shared" si="128"/>
        <v>0</v>
      </c>
      <c r="J1552" s="266">
        <v>1</v>
      </c>
      <c r="K1552" s="295">
        <f t="shared" si="129"/>
        <v>2.7273000000000001</v>
      </c>
      <c r="L1552" s="312">
        <f t="shared" si="130"/>
        <v>35</v>
      </c>
      <c r="M1552" s="263"/>
      <c r="N1552" s="263"/>
      <c r="O1552" s="29">
        <v>272.73</v>
      </c>
      <c r="P1552" s="29">
        <v>0</v>
      </c>
      <c r="Q1552" s="292">
        <v>49.09</v>
      </c>
      <c r="R1552" s="29">
        <v>321.82</v>
      </c>
      <c r="S1552" s="29">
        <v>0</v>
      </c>
      <c r="T1552" s="29">
        <v>1</v>
      </c>
      <c r="U1552" s="29">
        <v>3.2181999999999999</v>
      </c>
    </row>
    <row r="1553" spans="1:21">
      <c r="A1553" s="29">
        <v>110</v>
      </c>
      <c r="B1553" s="111">
        <v>1</v>
      </c>
      <c r="C1553" s="111">
        <v>312026</v>
      </c>
      <c r="D1553" s="111" t="s">
        <v>772</v>
      </c>
      <c r="E1553" s="111" t="s">
        <v>448</v>
      </c>
      <c r="F1553" s="265">
        <v>42277</v>
      </c>
      <c r="G1553" s="265">
        <v>42298</v>
      </c>
      <c r="H1553" s="266">
        <f t="shared" si="127"/>
        <v>1272.6500000000001</v>
      </c>
      <c r="I1553" s="266">
        <f t="shared" si="128"/>
        <v>0</v>
      </c>
      <c r="J1553" s="266">
        <v>1</v>
      </c>
      <c r="K1553" s="295">
        <f t="shared" si="129"/>
        <v>12.726500000000001</v>
      </c>
      <c r="L1553" s="312">
        <f t="shared" si="130"/>
        <v>21</v>
      </c>
      <c r="M1553" s="263"/>
      <c r="N1553" s="263"/>
      <c r="O1553" s="29">
        <v>1272.6500000000001</v>
      </c>
      <c r="P1553" s="29">
        <v>0</v>
      </c>
      <c r="Q1553" s="292">
        <v>229.08</v>
      </c>
      <c r="R1553" s="29">
        <v>1501.73</v>
      </c>
      <c r="S1553" s="29">
        <v>0</v>
      </c>
      <c r="T1553" s="29">
        <v>1</v>
      </c>
      <c r="U1553" s="29">
        <v>15.017300000000001</v>
      </c>
    </row>
    <row r="1554" spans="1:21">
      <c r="A1554" s="29">
        <v>111</v>
      </c>
      <c r="B1554" s="111">
        <v>1</v>
      </c>
      <c r="C1554" s="111">
        <v>311671</v>
      </c>
      <c r="D1554" s="111" t="s">
        <v>764</v>
      </c>
      <c r="E1554" s="111" t="s">
        <v>448</v>
      </c>
      <c r="F1554" s="265">
        <v>42275</v>
      </c>
      <c r="G1554" s="265">
        <v>42290</v>
      </c>
      <c r="H1554" s="266">
        <f t="shared" si="127"/>
        <v>7844.73</v>
      </c>
      <c r="I1554" s="266">
        <f t="shared" si="128"/>
        <v>0</v>
      </c>
      <c r="J1554" s="266">
        <v>0.5</v>
      </c>
      <c r="K1554" s="295">
        <v>47.93</v>
      </c>
      <c r="L1554" s="312">
        <f t="shared" si="130"/>
        <v>15</v>
      </c>
      <c r="M1554" s="263"/>
      <c r="N1554" s="263"/>
      <c r="O1554" s="29">
        <v>7844.73</v>
      </c>
      <c r="P1554" s="29">
        <v>0</v>
      </c>
      <c r="Q1554" s="292">
        <v>1412.05</v>
      </c>
      <c r="R1554" s="29">
        <v>9256.7800000000007</v>
      </c>
      <c r="S1554" s="29">
        <v>0</v>
      </c>
      <c r="T1554" s="29">
        <v>1</v>
      </c>
      <c r="U1554" s="29">
        <v>92.567800000000005</v>
      </c>
    </row>
    <row r="1555" spans="1:21">
      <c r="A1555" s="29">
        <v>112</v>
      </c>
      <c r="B1555" s="111">
        <v>1</v>
      </c>
      <c r="C1555" s="111">
        <v>311775</v>
      </c>
      <c r="D1555" s="111" t="s">
        <v>758</v>
      </c>
      <c r="E1555" s="111" t="s">
        <v>448</v>
      </c>
      <c r="F1555" s="265">
        <v>42276</v>
      </c>
      <c r="G1555" s="265">
        <v>42308</v>
      </c>
      <c r="H1555" s="266">
        <f t="shared" si="127"/>
        <v>193.64</v>
      </c>
      <c r="I1555" s="266">
        <f t="shared" si="128"/>
        <v>0</v>
      </c>
      <c r="J1555" s="266">
        <v>1</v>
      </c>
      <c r="K1555" s="295">
        <f t="shared" ref="K1555:K1570" si="131">(H1555-I1555)*J1555%</f>
        <v>1.9363999999999999</v>
      </c>
      <c r="L1555" s="312">
        <f t="shared" si="130"/>
        <v>32</v>
      </c>
      <c r="M1555" s="263"/>
      <c r="N1555" s="263"/>
      <c r="O1555" s="29">
        <v>193.64</v>
      </c>
      <c r="P1555" s="29">
        <v>0</v>
      </c>
      <c r="Q1555" s="292">
        <v>34.86</v>
      </c>
      <c r="R1555" s="29">
        <v>228.5</v>
      </c>
      <c r="S1555" s="29">
        <v>0</v>
      </c>
      <c r="T1555" s="29">
        <v>1</v>
      </c>
      <c r="U1555" s="29">
        <v>2.2850000000000001</v>
      </c>
    </row>
    <row r="1556" spans="1:21">
      <c r="A1556" s="29">
        <v>113</v>
      </c>
      <c r="B1556" s="111">
        <v>6</v>
      </c>
      <c r="C1556" s="111">
        <v>1111</v>
      </c>
      <c r="D1556" s="111" t="s">
        <v>458</v>
      </c>
      <c r="E1556" s="111" t="s">
        <v>448</v>
      </c>
      <c r="F1556" s="265">
        <v>42277</v>
      </c>
      <c r="G1556" s="265">
        <v>42291</v>
      </c>
      <c r="H1556" s="266">
        <f t="shared" si="127"/>
        <v>4983.05</v>
      </c>
      <c r="I1556" s="266">
        <f t="shared" si="128"/>
        <v>0</v>
      </c>
      <c r="J1556" s="266">
        <v>1</v>
      </c>
      <c r="K1556" s="295">
        <f t="shared" si="131"/>
        <v>49.830500000000001</v>
      </c>
      <c r="L1556" s="312">
        <f t="shared" si="130"/>
        <v>14</v>
      </c>
      <c r="M1556" s="263"/>
      <c r="N1556" s="263"/>
      <c r="O1556" s="29">
        <v>4983.05</v>
      </c>
      <c r="P1556" s="29">
        <v>0</v>
      </c>
      <c r="Q1556" s="292">
        <v>896.95</v>
      </c>
      <c r="R1556" s="29">
        <v>5880</v>
      </c>
      <c r="S1556" s="29">
        <v>0</v>
      </c>
      <c r="T1556" s="29">
        <v>1</v>
      </c>
      <c r="U1556" s="29">
        <v>58.8</v>
      </c>
    </row>
    <row r="1557" spans="1:21">
      <c r="A1557" s="29">
        <v>114</v>
      </c>
      <c r="B1557" s="111">
        <v>1</v>
      </c>
      <c r="C1557" s="111">
        <v>311923</v>
      </c>
      <c r="D1557" s="111" t="s">
        <v>758</v>
      </c>
      <c r="E1557" s="111" t="s">
        <v>448</v>
      </c>
      <c r="F1557" s="265">
        <v>42277</v>
      </c>
      <c r="G1557" s="265">
        <v>42293</v>
      </c>
      <c r="H1557" s="266">
        <f t="shared" si="127"/>
        <v>350.92</v>
      </c>
      <c r="I1557" s="266">
        <f t="shared" si="128"/>
        <v>0</v>
      </c>
      <c r="J1557" s="266">
        <v>1</v>
      </c>
      <c r="K1557" s="295">
        <f t="shared" si="131"/>
        <v>3.5092000000000003</v>
      </c>
      <c r="L1557" s="312">
        <f t="shared" si="130"/>
        <v>16</v>
      </c>
      <c r="M1557" s="263"/>
      <c r="N1557" s="263"/>
      <c r="O1557" s="29">
        <v>350.92</v>
      </c>
      <c r="P1557" s="29">
        <v>0</v>
      </c>
      <c r="Q1557" s="292">
        <v>63.17</v>
      </c>
      <c r="R1557" s="29">
        <v>414.09</v>
      </c>
      <c r="S1557" s="29">
        <v>0</v>
      </c>
      <c r="T1557" s="29">
        <v>1</v>
      </c>
      <c r="U1557" s="29">
        <v>4.1409000000000002</v>
      </c>
    </row>
    <row r="1558" spans="1:21">
      <c r="A1558" s="29">
        <v>115</v>
      </c>
      <c r="B1558" s="111">
        <v>1</v>
      </c>
      <c r="C1558" s="111">
        <v>311925</v>
      </c>
      <c r="D1558" s="111" t="s">
        <v>764</v>
      </c>
      <c r="E1558" s="111" t="s">
        <v>448</v>
      </c>
      <c r="F1558" s="265">
        <v>42277</v>
      </c>
      <c r="G1558" s="265">
        <v>42290</v>
      </c>
      <c r="H1558" s="266">
        <f t="shared" si="127"/>
        <v>678</v>
      </c>
      <c r="I1558" s="266">
        <f t="shared" si="128"/>
        <v>0</v>
      </c>
      <c r="J1558" s="266">
        <v>0.5</v>
      </c>
      <c r="K1558" s="295">
        <f t="shared" si="131"/>
        <v>3.39</v>
      </c>
      <c r="L1558" s="312">
        <f t="shared" si="130"/>
        <v>13</v>
      </c>
      <c r="M1558" s="263"/>
      <c r="N1558" s="263"/>
      <c r="O1558" s="29">
        <v>678</v>
      </c>
      <c r="P1558" s="29">
        <v>0</v>
      </c>
      <c r="Q1558" s="292">
        <v>122.04</v>
      </c>
      <c r="R1558" s="29">
        <v>800.04</v>
      </c>
      <c r="S1558" s="29">
        <v>0</v>
      </c>
      <c r="T1558" s="29">
        <v>1</v>
      </c>
      <c r="U1558" s="29">
        <v>8.0004000000000008</v>
      </c>
    </row>
    <row r="1559" spans="1:21">
      <c r="A1559" s="29">
        <v>116</v>
      </c>
      <c r="B1559" s="111">
        <v>1</v>
      </c>
      <c r="C1559" s="111">
        <v>311924</v>
      </c>
      <c r="D1559" s="111" t="s">
        <v>758</v>
      </c>
      <c r="E1559" s="111" t="s">
        <v>448</v>
      </c>
      <c r="F1559" s="265">
        <v>42277</v>
      </c>
      <c r="G1559" s="265">
        <v>42308</v>
      </c>
      <c r="H1559" s="266">
        <f t="shared" si="127"/>
        <v>4439.3999999999996</v>
      </c>
      <c r="I1559" s="266">
        <f t="shared" si="128"/>
        <v>0</v>
      </c>
      <c r="J1559" s="266">
        <v>1</v>
      </c>
      <c r="K1559" s="295">
        <f t="shared" si="131"/>
        <v>44.393999999999998</v>
      </c>
      <c r="L1559" s="312">
        <f t="shared" si="130"/>
        <v>31</v>
      </c>
      <c r="M1559" s="263"/>
      <c r="N1559" s="263"/>
      <c r="O1559" s="29">
        <v>4439.3999999999996</v>
      </c>
      <c r="P1559" s="29">
        <v>0</v>
      </c>
      <c r="Q1559" s="292">
        <v>799.09</v>
      </c>
      <c r="R1559" s="29">
        <v>5238.49</v>
      </c>
      <c r="S1559" s="29">
        <v>0</v>
      </c>
      <c r="T1559" s="29">
        <v>1</v>
      </c>
      <c r="U1559" s="29">
        <v>52.384900000000002</v>
      </c>
    </row>
    <row r="1560" spans="1:21">
      <c r="A1560" s="29">
        <v>117</v>
      </c>
      <c r="B1560" s="111">
        <v>6</v>
      </c>
      <c r="C1560" s="111">
        <v>1110</v>
      </c>
      <c r="D1560" s="111" t="s">
        <v>458</v>
      </c>
      <c r="E1560" s="111" t="s">
        <v>448</v>
      </c>
      <c r="F1560" s="265">
        <v>42277</v>
      </c>
      <c r="G1560" s="265">
        <v>42291</v>
      </c>
      <c r="H1560" s="266">
        <f t="shared" si="127"/>
        <v>6616.02</v>
      </c>
      <c r="I1560" s="266">
        <f t="shared" si="128"/>
        <v>0</v>
      </c>
      <c r="J1560" s="266">
        <v>1</v>
      </c>
      <c r="K1560" s="295">
        <f t="shared" si="131"/>
        <v>66.160200000000003</v>
      </c>
      <c r="L1560" s="312">
        <f t="shared" si="130"/>
        <v>14</v>
      </c>
      <c r="M1560" s="263"/>
      <c r="N1560" s="263"/>
      <c r="O1560" s="29">
        <v>6616.02</v>
      </c>
      <c r="P1560" s="29">
        <v>0</v>
      </c>
      <c r="Q1560" s="292">
        <v>1190.8800000000001</v>
      </c>
      <c r="R1560" s="29">
        <v>7806.9</v>
      </c>
      <c r="S1560" s="29">
        <v>0</v>
      </c>
      <c r="T1560" s="29">
        <v>1</v>
      </c>
      <c r="U1560" s="29">
        <v>78.069000000000003</v>
      </c>
    </row>
    <row r="1561" spans="1:21">
      <c r="A1561" s="29">
        <v>118</v>
      </c>
      <c r="B1561" s="111">
        <v>1</v>
      </c>
      <c r="C1561" s="111">
        <v>311970</v>
      </c>
      <c r="D1561" s="111" t="s">
        <v>758</v>
      </c>
      <c r="E1561" s="111" t="s">
        <v>448</v>
      </c>
      <c r="F1561" s="265">
        <v>42277</v>
      </c>
      <c r="G1561" s="265">
        <v>42308</v>
      </c>
      <c r="H1561" s="266">
        <f t="shared" si="127"/>
        <v>1281.71</v>
      </c>
      <c r="I1561" s="266">
        <f t="shared" si="128"/>
        <v>0</v>
      </c>
      <c r="J1561" s="266">
        <v>1</v>
      </c>
      <c r="K1561" s="295">
        <f t="shared" si="131"/>
        <v>12.8171</v>
      </c>
      <c r="L1561" s="312">
        <f t="shared" si="130"/>
        <v>31</v>
      </c>
      <c r="M1561" s="263"/>
      <c r="N1561" s="263"/>
      <c r="O1561" s="29">
        <v>1281.71</v>
      </c>
      <c r="P1561" s="29">
        <v>0</v>
      </c>
      <c r="Q1561" s="292">
        <v>230.71</v>
      </c>
      <c r="R1561" s="29">
        <v>1512.42</v>
      </c>
      <c r="S1561" s="29">
        <v>0</v>
      </c>
      <c r="T1561" s="29">
        <v>1</v>
      </c>
      <c r="U1561" s="29">
        <v>15.1242</v>
      </c>
    </row>
    <row r="1562" spans="1:21">
      <c r="A1562" s="29">
        <v>119</v>
      </c>
      <c r="B1562" s="111">
        <v>1</v>
      </c>
      <c r="C1562" s="111">
        <v>312083</v>
      </c>
      <c r="D1562" s="111" t="s">
        <v>758</v>
      </c>
      <c r="E1562" s="111" t="s">
        <v>448</v>
      </c>
      <c r="F1562" s="265">
        <v>42277</v>
      </c>
      <c r="G1562" s="265">
        <v>42308</v>
      </c>
      <c r="H1562" s="266">
        <f t="shared" si="127"/>
        <v>1895.22</v>
      </c>
      <c r="I1562" s="266">
        <f t="shared" si="128"/>
        <v>0</v>
      </c>
      <c r="J1562" s="266">
        <v>1</v>
      </c>
      <c r="K1562" s="295">
        <f t="shared" si="131"/>
        <v>18.952200000000001</v>
      </c>
      <c r="L1562" s="312">
        <f t="shared" si="130"/>
        <v>31</v>
      </c>
      <c r="M1562" s="263"/>
      <c r="N1562" s="263"/>
      <c r="O1562" s="29">
        <v>1895.22</v>
      </c>
      <c r="P1562" s="29">
        <v>0</v>
      </c>
      <c r="Q1562" s="292">
        <v>341.14</v>
      </c>
      <c r="R1562" s="29">
        <v>2236.36</v>
      </c>
      <c r="S1562" s="29">
        <v>0</v>
      </c>
      <c r="T1562" s="29">
        <v>1</v>
      </c>
      <c r="U1562" s="29">
        <v>22.363600000000002</v>
      </c>
    </row>
    <row r="1563" spans="1:21">
      <c r="A1563" s="29">
        <v>120</v>
      </c>
      <c r="B1563" s="111">
        <v>1</v>
      </c>
      <c r="C1563" s="111">
        <v>312106</v>
      </c>
      <c r="D1563" s="111" t="s">
        <v>758</v>
      </c>
      <c r="E1563" s="111" t="s">
        <v>448</v>
      </c>
      <c r="F1563" s="265">
        <v>42277</v>
      </c>
      <c r="G1563" s="265">
        <v>42308</v>
      </c>
      <c r="H1563" s="266">
        <f t="shared" si="127"/>
        <v>1809.86</v>
      </c>
      <c r="I1563" s="266">
        <f t="shared" si="128"/>
        <v>0</v>
      </c>
      <c r="J1563" s="266">
        <v>1</v>
      </c>
      <c r="K1563" s="295">
        <f t="shared" si="131"/>
        <v>18.098600000000001</v>
      </c>
      <c r="L1563" s="312">
        <f t="shared" si="130"/>
        <v>31</v>
      </c>
      <c r="M1563" s="263"/>
      <c r="N1563" s="263"/>
      <c r="O1563" s="29">
        <v>1809.86</v>
      </c>
      <c r="P1563" s="29">
        <v>0</v>
      </c>
      <c r="Q1563" s="292">
        <v>325.77</v>
      </c>
      <c r="R1563" s="29">
        <v>2135.63</v>
      </c>
      <c r="S1563" s="29">
        <v>0</v>
      </c>
      <c r="T1563" s="29">
        <v>1</v>
      </c>
      <c r="U1563" s="29">
        <v>21.356300000000001</v>
      </c>
    </row>
    <row r="1564" spans="1:21">
      <c r="A1564" s="29">
        <v>121</v>
      </c>
      <c r="B1564" s="111">
        <v>1</v>
      </c>
      <c r="C1564" s="111">
        <v>312107</v>
      </c>
      <c r="D1564" s="111" t="s">
        <v>758</v>
      </c>
      <c r="E1564" s="111" t="s">
        <v>448</v>
      </c>
      <c r="F1564" s="265">
        <v>42277</v>
      </c>
      <c r="G1564" s="265">
        <v>42284</v>
      </c>
      <c r="H1564" s="266">
        <f t="shared" si="127"/>
        <v>1682.47</v>
      </c>
      <c r="I1564" s="266">
        <f t="shared" si="128"/>
        <v>0</v>
      </c>
      <c r="J1564" s="266">
        <v>0.5</v>
      </c>
      <c r="K1564" s="295">
        <f t="shared" si="131"/>
        <v>8.41235</v>
      </c>
      <c r="L1564" s="312">
        <f t="shared" si="130"/>
        <v>7</v>
      </c>
      <c r="M1564" s="263"/>
      <c r="N1564" s="263"/>
      <c r="O1564" s="29">
        <v>1682.47</v>
      </c>
      <c r="P1564" s="29">
        <v>0</v>
      </c>
      <c r="Q1564" s="292">
        <v>302.83999999999997</v>
      </c>
      <c r="R1564" s="29">
        <v>1985.31</v>
      </c>
      <c r="S1564" s="29">
        <v>0</v>
      </c>
      <c r="T1564" s="29">
        <v>1</v>
      </c>
      <c r="U1564" s="29">
        <v>19.853100000000001</v>
      </c>
    </row>
    <row r="1565" spans="1:21">
      <c r="A1565" s="29">
        <v>122</v>
      </c>
      <c r="B1565" s="111">
        <v>1</v>
      </c>
      <c r="C1565" s="111">
        <v>312231</v>
      </c>
      <c r="D1565" s="111" t="s">
        <v>758</v>
      </c>
      <c r="E1565" s="111" t="s">
        <v>448</v>
      </c>
      <c r="F1565" s="265">
        <v>42278</v>
      </c>
      <c r="G1565" s="265">
        <v>42308</v>
      </c>
      <c r="H1565" s="266">
        <f t="shared" si="127"/>
        <v>835.38</v>
      </c>
      <c r="I1565" s="266">
        <f t="shared" si="128"/>
        <v>0</v>
      </c>
      <c r="J1565" s="266">
        <v>1</v>
      </c>
      <c r="K1565" s="295">
        <f t="shared" si="131"/>
        <v>8.3537999999999997</v>
      </c>
      <c r="L1565" s="312">
        <f t="shared" si="130"/>
        <v>30</v>
      </c>
      <c r="M1565" s="263"/>
      <c r="N1565" s="263"/>
      <c r="O1565" s="29">
        <v>835.38</v>
      </c>
      <c r="P1565" s="29">
        <v>0</v>
      </c>
      <c r="Q1565" s="292">
        <v>150.37</v>
      </c>
      <c r="R1565" s="29">
        <v>985.75</v>
      </c>
      <c r="S1565" s="29">
        <v>0</v>
      </c>
      <c r="T1565" s="29">
        <v>1</v>
      </c>
      <c r="U1565" s="29">
        <v>9.8574999999999999</v>
      </c>
    </row>
    <row r="1566" spans="1:21">
      <c r="A1566" s="29">
        <v>123</v>
      </c>
      <c r="B1566" s="111">
        <v>1</v>
      </c>
      <c r="C1566" s="111">
        <v>312401</v>
      </c>
      <c r="D1566" s="111" t="s">
        <v>761</v>
      </c>
      <c r="E1566" s="111" t="s">
        <v>448</v>
      </c>
      <c r="F1566" s="265">
        <v>42282</v>
      </c>
      <c r="G1566" s="265">
        <v>42290</v>
      </c>
      <c r="H1566" s="266">
        <f t="shared" si="127"/>
        <v>23323.200000000001</v>
      </c>
      <c r="I1566" s="266">
        <f t="shared" si="128"/>
        <v>0</v>
      </c>
      <c r="J1566" s="266">
        <v>0.5</v>
      </c>
      <c r="K1566" s="295">
        <f t="shared" si="131"/>
        <v>116.616</v>
      </c>
      <c r="L1566" s="312">
        <f t="shared" si="130"/>
        <v>8</v>
      </c>
      <c r="M1566" s="263"/>
      <c r="N1566" s="263"/>
      <c r="O1566" s="29">
        <v>23323.200000000001</v>
      </c>
      <c r="P1566" s="29">
        <v>0</v>
      </c>
      <c r="Q1566" s="292">
        <v>4198.18</v>
      </c>
      <c r="R1566" s="29">
        <v>27521.38</v>
      </c>
      <c r="S1566" s="29">
        <v>0</v>
      </c>
      <c r="T1566" s="29">
        <v>1</v>
      </c>
      <c r="U1566" s="29">
        <v>275.21379999999999</v>
      </c>
    </row>
    <row r="1567" spans="1:21">
      <c r="A1567" s="29">
        <v>124</v>
      </c>
      <c r="B1567" s="111">
        <v>6</v>
      </c>
      <c r="C1567" s="111">
        <v>1119</v>
      </c>
      <c r="D1567" s="111" t="s">
        <v>381</v>
      </c>
      <c r="E1567" s="111" t="s">
        <v>382</v>
      </c>
      <c r="F1567" s="265">
        <v>42283</v>
      </c>
      <c r="G1567" s="265">
        <v>42299</v>
      </c>
      <c r="H1567" s="266">
        <f t="shared" si="127"/>
        <v>7491.52</v>
      </c>
      <c r="I1567" s="266">
        <f t="shared" si="128"/>
        <v>0</v>
      </c>
      <c r="J1567" s="266">
        <v>1</v>
      </c>
      <c r="K1567" s="295">
        <f t="shared" si="131"/>
        <v>74.915200000000013</v>
      </c>
      <c r="L1567" s="312">
        <f t="shared" si="130"/>
        <v>16</v>
      </c>
      <c r="M1567" s="263"/>
      <c r="N1567" s="263"/>
      <c r="O1567" s="29">
        <v>7491.52</v>
      </c>
      <c r="P1567" s="29">
        <v>0</v>
      </c>
      <c r="Q1567" s="292">
        <v>1348.48</v>
      </c>
      <c r="R1567" s="29">
        <v>8840</v>
      </c>
      <c r="S1567" s="29">
        <v>0</v>
      </c>
      <c r="T1567" s="29">
        <v>1</v>
      </c>
      <c r="U1567" s="29">
        <v>88.4</v>
      </c>
    </row>
    <row r="1568" spans="1:21">
      <c r="A1568" s="29">
        <v>125</v>
      </c>
      <c r="B1568" s="111">
        <v>1</v>
      </c>
      <c r="C1568" s="111">
        <v>312713</v>
      </c>
      <c r="D1568" s="111" t="s">
        <v>761</v>
      </c>
      <c r="E1568" s="111" t="s">
        <v>448</v>
      </c>
      <c r="F1568" s="265">
        <v>42286</v>
      </c>
      <c r="G1568" s="265">
        <v>42290</v>
      </c>
      <c r="H1568" s="266">
        <f t="shared" si="127"/>
        <v>2178.42</v>
      </c>
      <c r="I1568" s="266">
        <f t="shared" si="128"/>
        <v>0</v>
      </c>
      <c r="J1568" s="266">
        <v>1</v>
      </c>
      <c r="K1568" s="295">
        <f t="shared" si="131"/>
        <v>21.784200000000002</v>
      </c>
      <c r="L1568" s="312">
        <f t="shared" si="130"/>
        <v>4</v>
      </c>
      <c r="M1568" s="263"/>
      <c r="N1568" s="263"/>
      <c r="O1568" s="29">
        <v>2178.42</v>
      </c>
      <c r="P1568" s="29">
        <v>0</v>
      </c>
      <c r="Q1568" s="292">
        <v>392.12</v>
      </c>
      <c r="R1568" s="29">
        <v>2570.54</v>
      </c>
      <c r="S1568" s="29">
        <v>0</v>
      </c>
      <c r="T1568" s="29">
        <v>1</v>
      </c>
      <c r="U1568" s="29">
        <v>25.705400000000001</v>
      </c>
    </row>
    <row r="1569" spans="1:21">
      <c r="A1569" s="29">
        <v>126</v>
      </c>
      <c r="B1569" s="111">
        <v>1</v>
      </c>
      <c r="C1569" s="111">
        <v>312769</v>
      </c>
      <c r="D1569" s="111" t="s">
        <v>764</v>
      </c>
      <c r="E1569" s="111" t="s">
        <v>448</v>
      </c>
      <c r="F1569" s="265">
        <v>42286</v>
      </c>
      <c r="G1569" s="265">
        <v>42290</v>
      </c>
      <c r="H1569" s="266">
        <f t="shared" si="127"/>
        <v>1742.73</v>
      </c>
      <c r="I1569" s="266">
        <f t="shared" si="128"/>
        <v>0</v>
      </c>
      <c r="J1569" s="266">
        <v>1</v>
      </c>
      <c r="K1569" s="295">
        <f t="shared" si="131"/>
        <v>17.427299999999999</v>
      </c>
      <c r="L1569" s="312">
        <f t="shared" si="130"/>
        <v>4</v>
      </c>
      <c r="M1569" s="263"/>
      <c r="N1569" s="263"/>
      <c r="O1569" s="29">
        <v>1742.73</v>
      </c>
      <c r="P1569" s="29">
        <v>0</v>
      </c>
      <c r="Q1569" s="292">
        <v>313.69</v>
      </c>
      <c r="R1569" s="29">
        <v>2056.42</v>
      </c>
      <c r="S1569" s="29">
        <v>0</v>
      </c>
      <c r="T1569" s="29">
        <v>1</v>
      </c>
      <c r="U1569" s="29">
        <v>20.5642</v>
      </c>
    </row>
    <row r="1570" spans="1:21">
      <c r="A1570" s="29">
        <v>127</v>
      </c>
      <c r="B1570" s="111">
        <v>1</v>
      </c>
      <c r="C1570" s="111">
        <v>312907</v>
      </c>
      <c r="D1570" s="111" t="s">
        <v>772</v>
      </c>
      <c r="E1570" s="111" t="s">
        <v>448</v>
      </c>
      <c r="F1570" s="265">
        <v>42289</v>
      </c>
      <c r="G1570" s="265">
        <v>42298</v>
      </c>
      <c r="H1570" s="266">
        <f t="shared" si="127"/>
        <v>7241.04</v>
      </c>
      <c r="I1570" s="266">
        <f t="shared" si="128"/>
        <v>0</v>
      </c>
      <c r="J1570" s="266">
        <v>1</v>
      </c>
      <c r="K1570" s="295">
        <f t="shared" si="131"/>
        <v>72.410399999999996</v>
      </c>
      <c r="L1570" s="312">
        <f t="shared" si="130"/>
        <v>9</v>
      </c>
      <c r="M1570" s="263"/>
      <c r="N1570" s="263"/>
      <c r="O1570" s="29">
        <v>7241.04</v>
      </c>
      <c r="P1570" s="29">
        <v>0</v>
      </c>
      <c r="Q1570" s="292">
        <v>1303.3900000000001</v>
      </c>
      <c r="R1570" s="29">
        <v>8544.43</v>
      </c>
      <c r="S1570" s="29">
        <v>0</v>
      </c>
      <c r="T1570" s="29">
        <v>1</v>
      </c>
      <c r="U1570" s="29">
        <v>85.444299999999998</v>
      </c>
    </row>
    <row r="1571" spans="1:21">
      <c r="A1571" s="29">
        <v>128</v>
      </c>
      <c r="B1571" s="111">
        <v>1</v>
      </c>
      <c r="C1571" s="111">
        <v>311651</v>
      </c>
      <c r="D1571" s="111" t="s">
        <v>764</v>
      </c>
      <c r="E1571" s="111" t="s">
        <v>448</v>
      </c>
      <c r="F1571" s="265">
        <v>42275</v>
      </c>
      <c r="G1571" s="265">
        <v>42290</v>
      </c>
      <c r="H1571" s="266">
        <f t="shared" si="127"/>
        <v>20871.150000000001</v>
      </c>
      <c r="I1571" s="266">
        <f t="shared" si="128"/>
        <v>0</v>
      </c>
      <c r="J1571" s="266">
        <v>0.5</v>
      </c>
      <c r="K1571" s="295">
        <v>127.49</v>
      </c>
      <c r="L1571" s="312">
        <f t="shared" si="130"/>
        <v>15</v>
      </c>
      <c r="M1571" s="263"/>
      <c r="N1571" s="263"/>
      <c r="O1571" s="29">
        <v>20871.150000000001</v>
      </c>
      <c r="P1571" s="29">
        <v>0</v>
      </c>
      <c r="Q1571" s="292">
        <v>3756.81</v>
      </c>
      <c r="R1571" s="29">
        <v>24627.96</v>
      </c>
      <c r="S1571" s="29">
        <v>0</v>
      </c>
      <c r="T1571" s="29">
        <v>1</v>
      </c>
      <c r="U1571" s="29">
        <v>246.27959999999999</v>
      </c>
    </row>
    <row r="1572" spans="1:21">
      <c r="A1572" s="29">
        <v>129</v>
      </c>
      <c r="B1572" s="111">
        <v>1</v>
      </c>
      <c r="C1572" s="111">
        <v>313036</v>
      </c>
      <c r="D1572" s="111" t="s">
        <v>772</v>
      </c>
      <c r="E1572" s="111" t="s">
        <v>448</v>
      </c>
      <c r="F1572" s="265">
        <v>42291</v>
      </c>
      <c r="G1572" s="265">
        <v>42298</v>
      </c>
      <c r="H1572" s="266">
        <f t="shared" si="127"/>
        <v>20285.759999999998</v>
      </c>
      <c r="I1572" s="266">
        <f t="shared" si="128"/>
        <v>0</v>
      </c>
      <c r="J1572" s="266">
        <v>0.5</v>
      </c>
      <c r="K1572" s="295">
        <f>(H1572-I1572)*J1572%</f>
        <v>101.4288</v>
      </c>
      <c r="L1572" s="312">
        <f t="shared" si="130"/>
        <v>7</v>
      </c>
      <c r="M1572" s="263"/>
      <c r="N1572" s="263"/>
      <c r="O1572" s="29">
        <v>20285.759999999998</v>
      </c>
      <c r="P1572" s="29">
        <v>0</v>
      </c>
      <c r="Q1572" s="292">
        <v>3651.44</v>
      </c>
      <c r="R1572" s="29">
        <v>23937.200000000001</v>
      </c>
      <c r="S1572" s="29">
        <v>0</v>
      </c>
      <c r="T1572" s="29">
        <v>1</v>
      </c>
      <c r="U1572" s="29">
        <v>239.37200000000001</v>
      </c>
    </row>
    <row r="1573" spans="1:21">
      <c r="A1573" s="29">
        <v>130</v>
      </c>
      <c r="B1573" s="111">
        <v>1</v>
      </c>
      <c r="C1573" s="111">
        <v>313227</v>
      </c>
      <c r="D1573" s="111" t="s">
        <v>758</v>
      </c>
      <c r="E1573" s="111" t="s">
        <v>448</v>
      </c>
      <c r="F1573" s="265">
        <v>42293</v>
      </c>
      <c r="G1573" s="265">
        <v>42308</v>
      </c>
      <c r="H1573" s="266">
        <f t="shared" si="127"/>
        <v>1123.24</v>
      </c>
      <c r="I1573" s="266">
        <f t="shared" si="128"/>
        <v>0</v>
      </c>
      <c r="J1573" s="266">
        <v>1</v>
      </c>
      <c r="K1573" s="295">
        <f>(H1573-I1573)*J1573%</f>
        <v>11.2324</v>
      </c>
      <c r="L1573" s="312">
        <f t="shared" si="130"/>
        <v>15</v>
      </c>
      <c r="M1573" s="263"/>
      <c r="N1573" s="263"/>
      <c r="O1573" s="29">
        <v>1123.24</v>
      </c>
      <c r="P1573" s="29">
        <v>0</v>
      </c>
      <c r="Q1573" s="292">
        <v>202.18</v>
      </c>
      <c r="R1573" s="29">
        <v>1325.42</v>
      </c>
      <c r="S1573" s="29">
        <v>0</v>
      </c>
      <c r="T1573" s="29">
        <v>1</v>
      </c>
      <c r="U1573" s="29">
        <v>13.254200000000001</v>
      </c>
    </row>
    <row r="1574" spans="1:21">
      <c r="G1574" s="268" t="s">
        <v>765</v>
      </c>
      <c r="H1574" s="269">
        <f>SUM(H1444:H1573)</f>
        <v>405205.80999999994</v>
      </c>
      <c r="I1574" s="59"/>
      <c r="J1574" s="311" t="s">
        <v>383</v>
      </c>
      <c r="K1574" s="267">
        <f>SUM(K1444:K1573)</f>
        <v>3580.2693499999987</v>
      </c>
    </row>
    <row r="1577" spans="1:21">
      <c r="C1577" s="59"/>
      <c r="D1577" s="59"/>
      <c r="E1577" s="59" t="s">
        <v>796</v>
      </c>
      <c r="F1577" s="59"/>
      <c r="G1577" s="59"/>
      <c r="H1577" s="59"/>
      <c r="I1577" s="59"/>
      <c r="J1577" s="59"/>
      <c r="K1577" s="293"/>
      <c r="L1577" s="59"/>
    </row>
    <row r="1578" spans="1:21">
      <c r="C1578" s="59"/>
      <c r="D1578" s="59"/>
      <c r="E1578" s="59"/>
      <c r="F1578" s="59"/>
      <c r="G1578" s="59"/>
      <c r="H1578" s="59"/>
      <c r="I1578" s="59"/>
      <c r="J1578" s="59"/>
      <c r="K1578" s="293"/>
      <c r="L1578" s="59"/>
    </row>
    <row r="1579" spans="1:21">
      <c r="B1579" s="29" t="s">
        <v>45</v>
      </c>
      <c r="C1579" s="264" t="s">
        <v>369</v>
      </c>
      <c r="D1579" s="264" t="s">
        <v>370</v>
      </c>
      <c r="E1579" s="264" t="s">
        <v>371</v>
      </c>
      <c r="F1579" s="264" t="s">
        <v>372</v>
      </c>
      <c r="G1579" s="264" t="s">
        <v>373</v>
      </c>
      <c r="H1579" s="264" t="s">
        <v>393</v>
      </c>
      <c r="I1579" s="264" t="s">
        <v>375</v>
      </c>
      <c r="J1579" s="264" t="s">
        <v>376</v>
      </c>
      <c r="K1579" s="294" t="s">
        <v>377</v>
      </c>
      <c r="L1579" s="264" t="s">
        <v>378</v>
      </c>
      <c r="M1579" s="29" t="s">
        <v>771</v>
      </c>
    </row>
    <row r="1581" spans="1:21">
      <c r="B1581" s="29">
        <v>1</v>
      </c>
      <c r="C1581" s="33">
        <v>311238</v>
      </c>
      <c r="D1581" s="33" t="s">
        <v>772</v>
      </c>
      <c r="E1581" s="33" t="s">
        <v>448</v>
      </c>
      <c r="F1581" s="280">
        <v>42270</v>
      </c>
      <c r="G1581" s="280">
        <v>42278</v>
      </c>
      <c r="H1581" s="33">
        <v>8136</v>
      </c>
      <c r="I1581" s="33">
        <v>0</v>
      </c>
      <c r="J1581" s="301">
        <v>1464.48</v>
      </c>
      <c r="K1581" s="33">
        <v>9600.48</v>
      </c>
      <c r="L1581" s="33">
        <v>0</v>
      </c>
      <c r="M1581" s="33">
        <v>1</v>
      </c>
      <c r="N1581" s="33">
        <v>96.004800000000003</v>
      </c>
      <c r="O1581" s="33">
        <v>12520</v>
      </c>
      <c r="P1581" s="33">
        <v>980808</v>
      </c>
    </row>
    <row r="1582" spans="1:21">
      <c r="B1582" s="29">
        <v>1</v>
      </c>
      <c r="C1582" s="33">
        <v>311238</v>
      </c>
      <c r="D1582" s="33" t="s">
        <v>772</v>
      </c>
      <c r="E1582" s="33" t="s">
        <v>448</v>
      </c>
      <c r="F1582" s="280">
        <v>42270</v>
      </c>
      <c r="G1582" s="280">
        <v>42278</v>
      </c>
      <c r="H1582" s="33">
        <v>8136</v>
      </c>
      <c r="I1582" s="33">
        <v>0</v>
      </c>
      <c r="J1582" s="301">
        <v>1464.48</v>
      </c>
      <c r="K1582" s="33">
        <v>9600.48</v>
      </c>
      <c r="L1582" s="33">
        <v>0</v>
      </c>
      <c r="M1582" s="33">
        <v>1</v>
      </c>
      <c r="N1582" s="33">
        <v>96.004800000000003</v>
      </c>
      <c r="O1582" s="33">
        <v>12519</v>
      </c>
      <c r="P1582" s="33">
        <v>980808</v>
      </c>
    </row>
    <row r="1583" spans="1:21">
      <c r="B1583" s="29">
        <v>1</v>
      </c>
      <c r="C1583" s="29">
        <v>311250</v>
      </c>
      <c r="D1583" s="29" t="s">
        <v>772</v>
      </c>
      <c r="E1583" s="29" t="s">
        <v>448</v>
      </c>
      <c r="F1583" s="263">
        <v>42271</v>
      </c>
      <c r="G1583" s="263">
        <v>42278</v>
      </c>
      <c r="H1583" s="29">
        <v>12204</v>
      </c>
      <c r="I1583" s="29">
        <v>0</v>
      </c>
      <c r="J1583" s="292">
        <v>2196.7199999999998</v>
      </c>
      <c r="K1583" s="29">
        <v>14400.72</v>
      </c>
      <c r="L1583" s="29">
        <v>0</v>
      </c>
      <c r="M1583" s="29">
        <v>1</v>
      </c>
      <c r="N1583" s="29">
        <v>144.00720000000001</v>
      </c>
      <c r="O1583" s="29">
        <v>12520</v>
      </c>
      <c r="P1583" s="29">
        <v>980809</v>
      </c>
    </row>
    <row r="1584" spans="1:21">
      <c r="B1584" s="29">
        <v>1</v>
      </c>
      <c r="C1584" s="29">
        <v>311250</v>
      </c>
      <c r="D1584" s="29" t="s">
        <v>772</v>
      </c>
      <c r="E1584" s="29" t="s">
        <v>448</v>
      </c>
      <c r="F1584" s="263">
        <v>42271</v>
      </c>
      <c r="G1584" s="263">
        <v>42278</v>
      </c>
      <c r="H1584" s="29">
        <v>12204</v>
      </c>
      <c r="I1584" s="29">
        <v>0</v>
      </c>
      <c r="J1584" s="292">
        <v>2196.7199999999998</v>
      </c>
      <c r="K1584" s="29">
        <v>14400.72</v>
      </c>
      <c r="L1584" s="29">
        <v>0</v>
      </c>
      <c r="M1584" s="29">
        <v>1</v>
      </c>
      <c r="N1584" s="29">
        <v>144.00720000000001</v>
      </c>
      <c r="O1584" s="29">
        <v>12520</v>
      </c>
      <c r="P1584" s="29">
        <v>980809</v>
      </c>
    </row>
    <row r="1585" spans="2:20">
      <c r="B1585" s="29">
        <v>1</v>
      </c>
      <c r="C1585" s="29">
        <v>311250</v>
      </c>
      <c r="D1585" s="29" t="s">
        <v>772</v>
      </c>
      <c r="E1585" s="29" t="s">
        <v>448</v>
      </c>
      <c r="F1585" s="263">
        <v>42271</v>
      </c>
      <c r="G1585" s="263">
        <v>42278</v>
      </c>
      <c r="H1585" s="29">
        <v>12204</v>
      </c>
      <c r="I1585" s="29">
        <v>0</v>
      </c>
      <c r="J1585" s="292">
        <v>2196.7199999999998</v>
      </c>
      <c r="K1585" s="29">
        <v>14400.72</v>
      </c>
      <c r="L1585" s="29">
        <v>0</v>
      </c>
      <c r="M1585" s="29">
        <v>1</v>
      </c>
      <c r="N1585" s="29">
        <v>144.00720000000001</v>
      </c>
      <c r="O1585" s="29">
        <v>12520</v>
      </c>
      <c r="P1585" s="29">
        <v>980809</v>
      </c>
    </row>
    <row r="1586" spans="2:20">
      <c r="B1586" s="29">
        <v>1</v>
      </c>
      <c r="C1586" s="29">
        <v>311250</v>
      </c>
      <c r="D1586" s="29" t="s">
        <v>772</v>
      </c>
      <c r="E1586" s="29" t="s">
        <v>448</v>
      </c>
      <c r="F1586" s="263">
        <v>42271</v>
      </c>
      <c r="G1586" s="263">
        <v>42278</v>
      </c>
      <c r="H1586" s="29">
        <v>12204</v>
      </c>
      <c r="I1586" s="29">
        <v>0</v>
      </c>
      <c r="J1586" s="292">
        <v>2196.7199999999998</v>
      </c>
      <c r="K1586" s="29">
        <v>14400.72</v>
      </c>
      <c r="L1586" s="29">
        <v>0</v>
      </c>
      <c r="M1586" s="29">
        <v>1</v>
      </c>
      <c r="N1586" s="29">
        <v>144.00720000000001</v>
      </c>
      <c r="O1586" s="29">
        <v>12519</v>
      </c>
      <c r="P1586" s="29">
        <v>980809</v>
      </c>
    </row>
    <row r="1587" spans="2:20">
      <c r="B1587" s="29">
        <v>1</v>
      </c>
      <c r="C1587" s="33">
        <v>311651</v>
      </c>
      <c r="D1587" s="33" t="s">
        <v>764</v>
      </c>
      <c r="E1587" s="33" t="s">
        <v>448</v>
      </c>
      <c r="F1587" s="280">
        <v>42275</v>
      </c>
      <c r="G1587" s="280">
        <v>42290</v>
      </c>
      <c r="H1587" s="33">
        <v>20871.150000000001</v>
      </c>
      <c r="I1587" s="33">
        <v>0</v>
      </c>
      <c r="J1587" s="301">
        <v>3756.81</v>
      </c>
      <c r="K1587" s="33">
        <v>24627.96</v>
      </c>
      <c r="L1587" s="33">
        <v>0</v>
      </c>
      <c r="M1587" s="33">
        <v>1</v>
      </c>
      <c r="N1587" s="33">
        <v>246.27959999999999</v>
      </c>
      <c r="O1587" s="33">
        <v>12520</v>
      </c>
      <c r="P1587" s="33">
        <v>981249</v>
      </c>
      <c r="R1587" s="29">
        <v>7844.73</v>
      </c>
      <c r="S1587" s="122">
        <v>1742.73</v>
      </c>
      <c r="T1587" s="29">
        <f>S1587*1%</f>
        <v>17.427299999999999</v>
      </c>
    </row>
    <row r="1588" spans="2:20">
      <c r="B1588" s="29">
        <v>1</v>
      </c>
      <c r="C1588" s="33">
        <v>311651</v>
      </c>
      <c r="D1588" s="33" t="s">
        <v>764</v>
      </c>
      <c r="E1588" s="33" t="s">
        <v>448</v>
      </c>
      <c r="F1588" s="280">
        <v>42275</v>
      </c>
      <c r="G1588" s="280">
        <v>42290</v>
      </c>
      <c r="H1588" s="33">
        <v>20871.150000000001</v>
      </c>
      <c r="I1588" s="33">
        <v>0</v>
      </c>
      <c r="J1588" s="301">
        <v>3756.81</v>
      </c>
      <c r="K1588" s="33">
        <v>24627.96</v>
      </c>
      <c r="L1588" s="33">
        <v>0</v>
      </c>
      <c r="M1588" s="33">
        <v>1</v>
      </c>
      <c r="N1588" s="33">
        <v>246.27959999999999</v>
      </c>
      <c r="O1588" s="33">
        <v>12520</v>
      </c>
      <c r="P1588" s="33">
        <v>981249</v>
      </c>
      <c r="S1588" s="29">
        <f>R1587-S1587</f>
        <v>6102</v>
      </c>
      <c r="T1588" s="29">
        <f>S1588*0.5%</f>
        <v>30.51</v>
      </c>
    </row>
    <row r="1589" spans="2:20">
      <c r="B1589" s="29">
        <v>1</v>
      </c>
      <c r="C1589" s="33">
        <v>311651</v>
      </c>
      <c r="D1589" s="33" t="s">
        <v>764</v>
      </c>
      <c r="E1589" s="33" t="s">
        <v>448</v>
      </c>
      <c r="F1589" s="280">
        <v>42275</v>
      </c>
      <c r="G1589" s="280">
        <v>42290</v>
      </c>
      <c r="H1589" s="33">
        <v>20871.150000000001</v>
      </c>
      <c r="I1589" s="33">
        <v>0</v>
      </c>
      <c r="J1589" s="301">
        <v>3756.81</v>
      </c>
      <c r="K1589" s="33">
        <v>24627.96</v>
      </c>
      <c r="L1589" s="33">
        <v>0</v>
      </c>
      <c r="M1589" s="33">
        <v>1</v>
      </c>
      <c r="N1589" s="33">
        <v>246.27959999999999</v>
      </c>
      <c r="O1589" s="33">
        <v>12519</v>
      </c>
      <c r="P1589" s="33">
        <v>981249</v>
      </c>
    </row>
    <row r="1590" spans="2:20">
      <c r="B1590" s="29">
        <v>1</v>
      </c>
      <c r="C1590" s="33">
        <v>311651</v>
      </c>
      <c r="D1590" s="33" t="s">
        <v>764</v>
      </c>
      <c r="E1590" s="33" t="s">
        <v>448</v>
      </c>
      <c r="F1590" s="280">
        <v>42275</v>
      </c>
      <c r="G1590" s="280">
        <v>42290</v>
      </c>
      <c r="H1590" s="33">
        <v>20871.150000000001</v>
      </c>
      <c r="I1590" s="33">
        <v>0</v>
      </c>
      <c r="J1590" s="301">
        <v>3756.81</v>
      </c>
      <c r="K1590" s="33">
        <v>24627.96</v>
      </c>
      <c r="L1590" s="33">
        <v>0</v>
      </c>
      <c r="M1590" s="33">
        <v>1</v>
      </c>
      <c r="N1590" s="33">
        <v>246.27959999999999</v>
      </c>
      <c r="O1590" s="33">
        <v>12519</v>
      </c>
      <c r="P1590" s="33">
        <v>981249</v>
      </c>
      <c r="R1590" s="29">
        <f>R1587*1%</f>
        <v>78.447299999999998</v>
      </c>
    </row>
    <row r="1591" spans="2:20">
      <c r="B1591" s="29">
        <v>1</v>
      </c>
      <c r="C1591" s="33">
        <v>311651</v>
      </c>
      <c r="D1591" s="33" t="s">
        <v>764</v>
      </c>
      <c r="E1591" s="33" t="s">
        <v>448</v>
      </c>
      <c r="F1591" s="280">
        <v>42275</v>
      </c>
      <c r="G1591" s="280">
        <v>42290</v>
      </c>
      <c r="H1591" s="33">
        <v>20871.150000000001</v>
      </c>
      <c r="I1591" s="33">
        <v>0</v>
      </c>
      <c r="J1591" s="301">
        <v>3756.81</v>
      </c>
      <c r="K1591" s="33">
        <v>24627.96</v>
      </c>
      <c r="L1591" s="33">
        <v>0</v>
      </c>
      <c r="M1591" s="33">
        <v>1</v>
      </c>
      <c r="N1591" s="33">
        <v>246.27959999999999</v>
      </c>
      <c r="O1591" s="33">
        <v>12519</v>
      </c>
      <c r="P1591" s="33">
        <v>981249</v>
      </c>
    </row>
    <row r="1592" spans="2:20">
      <c r="B1592" s="29">
        <v>1</v>
      </c>
      <c r="C1592" s="33">
        <v>311651</v>
      </c>
      <c r="D1592" s="33" t="s">
        <v>764</v>
      </c>
      <c r="E1592" s="33" t="s">
        <v>448</v>
      </c>
      <c r="F1592" s="280">
        <v>42275</v>
      </c>
      <c r="G1592" s="280">
        <v>42290</v>
      </c>
      <c r="H1592" s="33">
        <v>20871.150000000001</v>
      </c>
      <c r="I1592" s="33">
        <v>0</v>
      </c>
      <c r="J1592" s="301">
        <v>3756.81</v>
      </c>
      <c r="K1592" s="33">
        <v>24627.96</v>
      </c>
      <c r="L1592" s="33">
        <v>0</v>
      </c>
      <c r="M1592" s="33">
        <v>1</v>
      </c>
      <c r="N1592" s="33">
        <v>246.27959999999999</v>
      </c>
      <c r="O1592" s="33">
        <v>12519</v>
      </c>
      <c r="P1592" s="33">
        <v>981249</v>
      </c>
    </row>
    <row r="1593" spans="2:20">
      <c r="B1593" s="29">
        <v>1</v>
      </c>
      <c r="C1593" s="29">
        <v>311671</v>
      </c>
      <c r="D1593" s="29" t="s">
        <v>764</v>
      </c>
      <c r="E1593" s="29" t="s">
        <v>448</v>
      </c>
      <c r="F1593" s="263">
        <v>42275</v>
      </c>
      <c r="G1593" s="263">
        <v>42290</v>
      </c>
      <c r="H1593" s="29">
        <v>7844.73</v>
      </c>
      <c r="I1593" s="29">
        <v>0</v>
      </c>
      <c r="J1593" s="292">
        <v>1412.05</v>
      </c>
      <c r="K1593" s="29">
        <v>9256.7800000000007</v>
      </c>
      <c r="L1593" s="29">
        <v>0</v>
      </c>
      <c r="M1593" s="29">
        <v>1</v>
      </c>
      <c r="N1593" s="29">
        <v>92.567800000000005</v>
      </c>
      <c r="O1593" s="29">
        <v>12520</v>
      </c>
      <c r="P1593" s="29">
        <v>981289</v>
      </c>
    </row>
    <row r="1594" spans="2:20">
      <c r="B1594" s="29">
        <v>1</v>
      </c>
      <c r="C1594" s="29">
        <v>311671</v>
      </c>
      <c r="D1594" s="29" t="s">
        <v>764</v>
      </c>
      <c r="E1594" s="29" t="s">
        <v>448</v>
      </c>
      <c r="F1594" s="263">
        <v>42275</v>
      </c>
      <c r="G1594" s="263">
        <v>42290</v>
      </c>
      <c r="H1594" s="29">
        <v>7844.73</v>
      </c>
      <c r="I1594" s="29">
        <v>0</v>
      </c>
      <c r="J1594" s="292">
        <v>1412.05</v>
      </c>
      <c r="K1594" s="29">
        <v>9256.7800000000007</v>
      </c>
      <c r="L1594" s="29">
        <v>0</v>
      </c>
      <c r="M1594" s="29">
        <v>1</v>
      </c>
      <c r="N1594" s="29">
        <v>92.567800000000005</v>
      </c>
      <c r="O1594" s="29">
        <v>12519</v>
      </c>
      <c r="P1594" s="29">
        <v>981289</v>
      </c>
    </row>
    <row r="1595" spans="2:20">
      <c r="B1595" s="29">
        <v>1</v>
      </c>
      <c r="C1595" s="33">
        <v>311925</v>
      </c>
      <c r="D1595" s="33" t="s">
        <v>764</v>
      </c>
      <c r="E1595" s="33" t="s">
        <v>448</v>
      </c>
      <c r="F1595" s="280">
        <v>42277</v>
      </c>
      <c r="G1595" s="280">
        <v>42290</v>
      </c>
      <c r="H1595" s="33">
        <v>678</v>
      </c>
      <c r="I1595" s="33">
        <v>0</v>
      </c>
      <c r="J1595" s="301">
        <v>122.04</v>
      </c>
      <c r="K1595" s="33">
        <v>800.04</v>
      </c>
      <c r="L1595" s="33">
        <v>0</v>
      </c>
      <c r="M1595" s="33">
        <v>1</v>
      </c>
      <c r="N1595" s="33">
        <v>8.0004000000000008</v>
      </c>
      <c r="O1595" s="33">
        <v>12520</v>
      </c>
      <c r="P1595" s="33">
        <v>981538</v>
      </c>
    </row>
    <row r="1596" spans="2:20">
      <c r="B1596" s="29">
        <v>1</v>
      </c>
      <c r="C1596" s="29">
        <v>312401</v>
      </c>
      <c r="D1596" s="29" t="s">
        <v>761</v>
      </c>
      <c r="E1596" s="29" t="s">
        <v>448</v>
      </c>
      <c r="F1596" s="263">
        <v>42282</v>
      </c>
      <c r="G1596" s="263">
        <v>42290</v>
      </c>
      <c r="H1596" s="29">
        <v>23323.200000000001</v>
      </c>
      <c r="I1596" s="29">
        <v>0</v>
      </c>
      <c r="J1596" s="292">
        <v>4198.18</v>
      </c>
      <c r="K1596" s="29">
        <v>27521.38</v>
      </c>
      <c r="L1596" s="29">
        <v>0</v>
      </c>
      <c r="M1596" s="29">
        <v>1</v>
      </c>
      <c r="N1596" s="29">
        <v>275.21379999999999</v>
      </c>
      <c r="O1596" s="29">
        <v>12520</v>
      </c>
      <c r="P1596" s="29">
        <v>982097</v>
      </c>
    </row>
    <row r="1597" spans="2:20">
      <c r="B1597" s="29">
        <v>1</v>
      </c>
      <c r="C1597" s="29">
        <v>312401</v>
      </c>
      <c r="D1597" s="29" t="s">
        <v>761</v>
      </c>
      <c r="E1597" s="29" t="s">
        <v>448</v>
      </c>
      <c r="F1597" s="263">
        <v>42282</v>
      </c>
      <c r="G1597" s="263">
        <v>42290</v>
      </c>
      <c r="H1597" s="29">
        <v>23323.200000000001</v>
      </c>
      <c r="I1597" s="29">
        <v>0</v>
      </c>
      <c r="J1597" s="292">
        <v>4198.18</v>
      </c>
      <c r="K1597" s="29">
        <v>27521.38</v>
      </c>
      <c r="L1597" s="29">
        <v>0</v>
      </c>
      <c r="M1597" s="29">
        <v>1</v>
      </c>
      <c r="N1597" s="29">
        <v>275.21379999999999</v>
      </c>
      <c r="O1597" s="29">
        <v>12520</v>
      </c>
      <c r="P1597" s="29">
        <v>982097</v>
      </c>
    </row>
    <row r="1598" spans="2:20">
      <c r="B1598" s="29">
        <v>1</v>
      </c>
      <c r="C1598" s="29">
        <v>312401</v>
      </c>
      <c r="D1598" s="29" t="s">
        <v>761</v>
      </c>
      <c r="E1598" s="29" t="s">
        <v>448</v>
      </c>
      <c r="F1598" s="263">
        <v>42282</v>
      </c>
      <c r="G1598" s="263">
        <v>42290</v>
      </c>
      <c r="H1598" s="29">
        <v>23323.200000000001</v>
      </c>
      <c r="I1598" s="29">
        <v>0</v>
      </c>
      <c r="J1598" s="292">
        <v>4198.18</v>
      </c>
      <c r="K1598" s="29">
        <v>27521.38</v>
      </c>
      <c r="L1598" s="29">
        <v>0</v>
      </c>
      <c r="M1598" s="29">
        <v>1</v>
      </c>
      <c r="N1598" s="29">
        <v>275.21379999999999</v>
      </c>
      <c r="O1598" s="29">
        <v>12520</v>
      </c>
      <c r="P1598" s="29">
        <v>982097</v>
      </c>
    </row>
    <row r="1599" spans="2:20">
      <c r="B1599" s="29">
        <v>1</v>
      </c>
      <c r="C1599" s="29">
        <v>312401</v>
      </c>
      <c r="D1599" s="29" t="s">
        <v>761</v>
      </c>
      <c r="E1599" s="29" t="s">
        <v>448</v>
      </c>
      <c r="F1599" s="263">
        <v>42282</v>
      </c>
      <c r="G1599" s="263">
        <v>42290</v>
      </c>
      <c r="H1599" s="29">
        <v>23323.200000000001</v>
      </c>
      <c r="I1599" s="29">
        <v>0</v>
      </c>
      <c r="J1599" s="292">
        <v>4198.18</v>
      </c>
      <c r="K1599" s="29">
        <v>27521.38</v>
      </c>
      <c r="L1599" s="29">
        <v>0</v>
      </c>
      <c r="M1599" s="29">
        <v>1</v>
      </c>
      <c r="N1599" s="29">
        <v>275.21379999999999</v>
      </c>
      <c r="O1599" s="29">
        <v>12520</v>
      </c>
      <c r="P1599" s="29">
        <v>982097</v>
      </c>
    </row>
    <row r="1600" spans="2:20">
      <c r="B1600" s="29">
        <v>1</v>
      </c>
      <c r="C1600" s="29">
        <v>312401</v>
      </c>
      <c r="D1600" s="29" t="s">
        <v>761</v>
      </c>
      <c r="E1600" s="29" t="s">
        <v>448</v>
      </c>
      <c r="F1600" s="263">
        <v>42282</v>
      </c>
      <c r="G1600" s="263">
        <v>42290</v>
      </c>
      <c r="H1600" s="29">
        <v>23323.200000000001</v>
      </c>
      <c r="I1600" s="29">
        <v>0</v>
      </c>
      <c r="J1600" s="292">
        <v>4198.18</v>
      </c>
      <c r="K1600" s="29">
        <v>27521.38</v>
      </c>
      <c r="L1600" s="29">
        <v>0</v>
      </c>
      <c r="M1600" s="29">
        <v>1</v>
      </c>
      <c r="N1600" s="29">
        <v>275.21379999999999</v>
      </c>
      <c r="O1600" s="29">
        <v>12519</v>
      </c>
      <c r="P1600" s="29">
        <v>982097</v>
      </c>
    </row>
    <row r="1601" spans="1:24">
      <c r="B1601" s="29">
        <v>1</v>
      </c>
      <c r="C1601" s="29">
        <v>312401</v>
      </c>
      <c r="D1601" s="29" t="s">
        <v>761</v>
      </c>
      <c r="E1601" s="29" t="s">
        <v>448</v>
      </c>
      <c r="F1601" s="263">
        <v>42282</v>
      </c>
      <c r="G1601" s="263">
        <v>42290</v>
      </c>
      <c r="H1601" s="29">
        <v>23323.200000000001</v>
      </c>
      <c r="I1601" s="29">
        <v>0</v>
      </c>
      <c r="J1601" s="292">
        <v>4198.18</v>
      </c>
      <c r="K1601" s="29">
        <v>27521.38</v>
      </c>
      <c r="L1601" s="29">
        <v>0</v>
      </c>
      <c r="M1601" s="29">
        <v>1</v>
      </c>
      <c r="N1601" s="29">
        <v>275.21379999999999</v>
      </c>
      <c r="O1601" s="29">
        <v>12519</v>
      </c>
      <c r="P1601" s="29">
        <v>982097</v>
      </c>
    </row>
    <row r="1602" spans="1:24">
      <c r="B1602" s="29">
        <v>1</v>
      </c>
      <c r="C1602" s="33">
        <v>312907</v>
      </c>
      <c r="D1602" s="33" t="s">
        <v>772</v>
      </c>
      <c r="E1602" s="33" t="s">
        <v>448</v>
      </c>
      <c r="F1602" s="280">
        <v>42289</v>
      </c>
      <c r="G1602" s="280">
        <v>42298</v>
      </c>
      <c r="H1602" s="33">
        <v>7241.04</v>
      </c>
      <c r="I1602" s="33">
        <v>0</v>
      </c>
      <c r="J1602" s="301">
        <v>1303.3900000000001</v>
      </c>
      <c r="K1602" s="33">
        <v>8544.43</v>
      </c>
      <c r="L1602" s="33">
        <v>0</v>
      </c>
      <c r="M1602" s="33">
        <v>1</v>
      </c>
      <c r="N1602" s="33">
        <v>85.444299999999998</v>
      </c>
      <c r="O1602" s="33">
        <v>12520</v>
      </c>
      <c r="P1602" s="33">
        <v>982880</v>
      </c>
    </row>
    <row r="1603" spans="1:24">
      <c r="B1603" s="29">
        <v>1</v>
      </c>
      <c r="C1603" s="33">
        <v>312907</v>
      </c>
      <c r="D1603" s="33" t="s">
        <v>772</v>
      </c>
      <c r="E1603" s="33" t="s">
        <v>448</v>
      </c>
      <c r="F1603" s="280">
        <v>42289</v>
      </c>
      <c r="G1603" s="280">
        <v>42298</v>
      </c>
      <c r="H1603" s="33">
        <v>7241.04</v>
      </c>
      <c r="I1603" s="33">
        <v>0</v>
      </c>
      <c r="J1603" s="301">
        <v>1303.3900000000001</v>
      </c>
      <c r="K1603" s="33">
        <v>8544.43</v>
      </c>
      <c r="L1603" s="33">
        <v>0</v>
      </c>
      <c r="M1603" s="33">
        <v>1</v>
      </c>
      <c r="N1603" s="33">
        <v>85.444299999999998</v>
      </c>
      <c r="O1603" s="33">
        <v>12519</v>
      </c>
      <c r="P1603" s="33">
        <v>982880</v>
      </c>
    </row>
    <row r="1604" spans="1:24">
      <c r="B1604" s="29">
        <v>1</v>
      </c>
      <c r="C1604" s="33">
        <v>312907</v>
      </c>
      <c r="D1604" s="33" t="s">
        <v>772</v>
      </c>
      <c r="E1604" s="33" t="s">
        <v>448</v>
      </c>
      <c r="F1604" s="280">
        <v>42289</v>
      </c>
      <c r="G1604" s="280">
        <v>42298</v>
      </c>
      <c r="H1604" s="33">
        <v>7241.04</v>
      </c>
      <c r="I1604" s="33">
        <v>0</v>
      </c>
      <c r="J1604" s="301">
        <v>1303.3900000000001</v>
      </c>
      <c r="K1604" s="33">
        <v>8544.43</v>
      </c>
      <c r="L1604" s="33">
        <v>0</v>
      </c>
      <c r="M1604" s="33">
        <v>1</v>
      </c>
      <c r="N1604" s="33">
        <v>85.444299999999998</v>
      </c>
      <c r="O1604" s="33">
        <v>12519</v>
      </c>
      <c r="P1604" s="33">
        <v>982880</v>
      </c>
    </row>
    <row r="1605" spans="1:24">
      <c r="B1605" s="29">
        <v>1</v>
      </c>
      <c r="C1605" s="29">
        <v>313036</v>
      </c>
      <c r="D1605" s="29" t="s">
        <v>772</v>
      </c>
      <c r="E1605" s="29" t="s">
        <v>448</v>
      </c>
      <c r="F1605" s="263">
        <v>42291</v>
      </c>
      <c r="G1605" s="263">
        <v>42298</v>
      </c>
      <c r="H1605" s="29">
        <v>20285.759999999998</v>
      </c>
      <c r="I1605" s="29">
        <v>0</v>
      </c>
      <c r="J1605" s="292">
        <v>3651.44</v>
      </c>
      <c r="K1605" s="29">
        <v>23937.200000000001</v>
      </c>
      <c r="L1605" s="29">
        <v>0</v>
      </c>
      <c r="M1605" s="29">
        <v>1</v>
      </c>
      <c r="N1605" s="29">
        <v>239.37200000000001</v>
      </c>
      <c r="O1605" s="29">
        <v>12520</v>
      </c>
      <c r="P1605" s="29">
        <v>983048</v>
      </c>
    </row>
    <row r="1606" spans="1:24">
      <c r="B1606" s="29">
        <v>1</v>
      </c>
      <c r="C1606" s="29">
        <v>313036</v>
      </c>
      <c r="D1606" s="29" t="s">
        <v>772</v>
      </c>
      <c r="E1606" s="29" t="s">
        <v>448</v>
      </c>
      <c r="F1606" s="263">
        <v>42291</v>
      </c>
      <c r="G1606" s="263">
        <v>42298</v>
      </c>
      <c r="H1606" s="29">
        <v>20285.759999999998</v>
      </c>
      <c r="I1606" s="29">
        <v>0</v>
      </c>
      <c r="J1606" s="292">
        <v>3651.44</v>
      </c>
      <c r="K1606" s="29">
        <v>23937.200000000001</v>
      </c>
      <c r="L1606" s="29">
        <v>0</v>
      </c>
      <c r="M1606" s="29">
        <v>1</v>
      </c>
      <c r="N1606" s="29">
        <v>239.37200000000001</v>
      </c>
      <c r="O1606" s="29">
        <v>12520</v>
      </c>
      <c r="P1606" s="29">
        <v>983048</v>
      </c>
    </row>
    <row r="1607" spans="1:24">
      <c r="B1607" s="29">
        <v>1</v>
      </c>
      <c r="C1607" s="29">
        <v>313036</v>
      </c>
      <c r="D1607" s="29" t="s">
        <v>772</v>
      </c>
      <c r="E1607" s="29" t="s">
        <v>448</v>
      </c>
      <c r="F1607" s="263">
        <v>42291</v>
      </c>
      <c r="G1607" s="263">
        <v>42298</v>
      </c>
      <c r="H1607" s="29">
        <v>20285.759999999998</v>
      </c>
      <c r="I1607" s="29">
        <v>0</v>
      </c>
      <c r="J1607" s="292">
        <v>3651.44</v>
      </c>
      <c r="K1607" s="29">
        <v>23937.200000000001</v>
      </c>
      <c r="L1607" s="29">
        <v>0</v>
      </c>
      <c r="M1607" s="29">
        <v>1</v>
      </c>
      <c r="N1607" s="29">
        <v>239.37200000000001</v>
      </c>
      <c r="O1607" s="29">
        <v>12519</v>
      </c>
      <c r="P1607" s="29">
        <v>983048</v>
      </c>
    </row>
    <row r="1608" spans="1:24">
      <c r="B1608" s="29">
        <v>1</v>
      </c>
      <c r="C1608" s="29">
        <v>313036</v>
      </c>
      <c r="D1608" s="29" t="s">
        <v>772</v>
      </c>
      <c r="E1608" s="29" t="s">
        <v>448</v>
      </c>
      <c r="F1608" s="263">
        <v>42291</v>
      </c>
      <c r="G1608" s="263">
        <v>42298</v>
      </c>
      <c r="H1608" s="29">
        <v>20285.759999999998</v>
      </c>
      <c r="I1608" s="29">
        <v>0</v>
      </c>
      <c r="J1608" s="292">
        <v>3651.44</v>
      </c>
      <c r="K1608" s="29">
        <v>23937.200000000001</v>
      </c>
      <c r="L1608" s="29">
        <v>0</v>
      </c>
      <c r="M1608" s="29">
        <v>1</v>
      </c>
      <c r="N1608" s="29">
        <v>239.37200000000001</v>
      </c>
      <c r="O1608" s="29">
        <v>12519</v>
      </c>
      <c r="P1608" s="29">
        <v>983048</v>
      </c>
    </row>
    <row r="1612" spans="1:24">
      <c r="C1612" s="59"/>
      <c r="D1612" s="59"/>
      <c r="E1612" s="59" t="s">
        <v>797</v>
      </c>
      <c r="F1612" s="59"/>
      <c r="G1612" s="59"/>
      <c r="H1612" s="59"/>
      <c r="I1612" s="59"/>
      <c r="J1612" s="59"/>
      <c r="K1612" s="293"/>
      <c r="L1612" s="59"/>
    </row>
    <row r="1613" spans="1:24">
      <c r="C1613" s="59"/>
      <c r="D1613" s="59"/>
      <c r="E1613" s="59"/>
      <c r="F1613" s="59"/>
      <c r="G1613" s="59"/>
      <c r="H1613" s="59"/>
      <c r="I1613" s="59"/>
      <c r="J1613" s="59"/>
      <c r="K1613" s="293"/>
      <c r="L1613" s="59"/>
    </row>
    <row r="1614" spans="1:24">
      <c r="A1614" s="29" t="s">
        <v>45</v>
      </c>
      <c r="B1614" s="264" t="s">
        <v>369</v>
      </c>
      <c r="C1614" s="264" t="s">
        <v>370</v>
      </c>
      <c r="D1614" s="264" t="s">
        <v>371</v>
      </c>
      <c r="E1614" s="264" t="s">
        <v>372</v>
      </c>
      <c r="F1614" s="264" t="s">
        <v>373</v>
      </c>
      <c r="G1614" s="264" t="s">
        <v>393</v>
      </c>
      <c r="H1614" s="264" t="s">
        <v>375</v>
      </c>
      <c r="I1614" s="264" t="s">
        <v>376</v>
      </c>
      <c r="J1614" s="294" t="s">
        <v>377</v>
      </c>
      <c r="K1614" s="264" t="s">
        <v>378</v>
      </c>
      <c r="L1614" s="29" t="s">
        <v>771</v>
      </c>
    </row>
    <row r="1615" spans="1:24">
      <c r="A1615" s="29">
        <v>1</v>
      </c>
      <c r="B1615" s="111">
        <v>6</v>
      </c>
      <c r="C1615" s="111">
        <v>1052</v>
      </c>
      <c r="D1615" s="111" t="s">
        <v>458</v>
      </c>
      <c r="E1615" s="111" t="s">
        <v>448</v>
      </c>
      <c r="F1615" s="265">
        <v>42242</v>
      </c>
      <c r="G1615" s="265">
        <v>42320</v>
      </c>
      <c r="H1615" s="111">
        <v>6228.81</v>
      </c>
      <c r="I1615" s="111">
        <f t="shared" ref="I1615:I1646" si="132">V1615/1.18</f>
        <v>6228.8135593220341</v>
      </c>
      <c r="J1615" s="266">
        <v>1</v>
      </c>
      <c r="K1615" s="295">
        <f t="shared" ref="K1615:K1646" si="133">(H1615-I1615)*J1615%</f>
        <v>-3.5593220336522793E-5</v>
      </c>
      <c r="L1615" s="29">
        <f t="shared" ref="L1615:L1646" si="134">G1615-F1615</f>
        <v>78</v>
      </c>
      <c r="S1615" s="29">
        <v>0</v>
      </c>
      <c r="T1615" s="292">
        <v>1121.19</v>
      </c>
      <c r="U1615" s="29">
        <v>7350</v>
      </c>
      <c r="V1615" s="29">
        <v>7350</v>
      </c>
      <c r="W1615" s="29">
        <v>1</v>
      </c>
      <c r="X1615" s="29">
        <v>0</v>
      </c>
    </row>
    <row r="1616" spans="1:24">
      <c r="A1616" s="29">
        <v>2</v>
      </c>
      <c r="B1616" s="111">
        <v>1</v>
      </c>
      <c r="C1616" s="111">
        <v>310303</v>
      </c>
      <c r="D1616" s="111" t="s">
        <v>759</v>
      </c>
      <c r="E1616" s="111" t="s">
        <v>448</v>
      </c>
      <c r="F1616" s="265">
        <v>42258</v>
      </c>
      <c r="G1616" s="265">
        <v>42314</v>
      </c>
      <c r="H1616" s="111">
        <v>6398.01</v>
      </c>
      <c r="I1616" s="111">
        <f t="shared" si="132"/>
        <v>0</v>
      </c>
      <c r="J1616" s="266">
        <v>1</v>
      </c>
      <c r="K1616" s="295">
        <f t="shared" si="133"/>
        <v>63.9801</v>
      </c>
      <c r="L1616" s="29">
        <f t="shared" si="134"/>
        <v>56</v>
      </c>
      <c r="S1616" s="29">
        <v>0</v>
      </c>
      <c r="T1616" s="292">
        <v>1151.6400000000001</v>
      </c>
      <c r="U1616" s="29">
        <v>7549.65</v>
      </c>
      <c r="V1616" s="29">
        <v>0</v>
      </c>
      <c r="W1616" s="29">
        <v>1</v>
      </c>
      <c r="X1616" s="29">
        <v>75.496499999999997</v>
      </c>
    </row>
    <row r="1617" spans="1:24">
      <c r="A1617" s="29">
        <v>3</v>
      </c>
      <c r="B1617" s="111">
        <v>1</v>
      </c>
      <c r="C1617" s="111">
        <v>310467</v>
      </c>
      <c r="D1617" s="111" t="s">
        <v>759</v>
      </c>
      <c r="E1617" s="111" t="s">
        <v>448</v>
      </c>
      <c r="F1617" s="265">
        <v>42261</v>
      </c>
      <c r="G1617" s="265">
        <v>42328</v>
      </c>
      <c r="H1617" s="111">
        <v>1669.28</v>
      </c>
      <c r="I1617" s="111">
        <f t="shared" si="132"/>
        <v>205.27118644067798</v>
      </c>
      <c r="J1617" s="266">
        <v>1</v>
      </c>
      <c r="K1617" s="295">
        <f t="shared" si="133"/>
        <v>14.640088135593219</v>
      </c>
      <c r="L1617" s="29">
        <f t="shared" si="134"/>
        <v>67</v>
      </c>
      <c r="S1617" s="29">
        <v>0</v>
      </c>
      <c r="T1617" s="292">
        <v>300.47000000000003</v>
      </c>
      <c r="U1617" s="29">
        <v>1969.75</v>
      </c>
      <c r="V1617" s="29">
        <v>242.22</v>
      </c>
      <c r="W1617" s="29">
        <v>1</v>
      </c>
      <c r="X1617" s="29">
        <v>17.275300000000001</v>
      </c>
    </row>
    <row r="1618" spans="1:24">
      <c r="A1618" s="29">
        <v>4</v>
      </c>
      <c r="B1618" s="111">
        <v>1</v>
      </c>
      <c r="C1618" s="111">
        <v>310763</v>
      </c>
      <c r="D1618" s="111" t="s">
        <v>759</v>
      </c>
      <c r="E1618" s="111" t="s">
        <v>448</v>
      </c>
      <c r="F1618" s="265">
        <v>42264</v>
      </c>
      <c r="G1618" s="265">
        <v>42314</v>
      </c>
      <c r="H1618" s="111">
        <v>5227.18</v>
      </c>
      <c r="I1618" s="111">
        <f t="shared" si="132"/>
        <v>0</v>
      </c>
      <c r="J1618" s="266">
        <v>1</v>
      </c>
      <c r="K1618" s="295">
        <f t="shared" si="133"/>
        <v>52.271800000000006</v>
      </c>
      <c r="L1618" s="29">
        <f t="shared" si="134"/>
        <v>50</v>
      </c>
      <c r="S1618" s="29">
        <v>0</v>
      </c>
      <c r="T1618" s="292">
        <v>940.89</v>
      </c>
      <c r="U1618" s="29">
        <v>6168.07</v>
      </c>
      <c r="V1618" s="29">
        <v>0</v>
      </c>
      <c r="W1618" s="29">
        <v>1</v>
      </c>
      <c r="X1618" s="29">
        <v>61.680700000000002</v>
      </c>
    </row>
    <row r="1619" spans="1:24">
      <c r="A1619" s="29">
        <v>5</v>
      </c>
      <c r="B1619" s="111">
        <v>1</v>
      </c>
      <c r="C1619" s="111">
        <v>310850</v>
      </c>
      <c r="D1619" s="111" t="s">
        <v>759</v>
      </c>
      <c r="E1619" s="111" t="s">
        <v>448</v>
      </c>
      <c r="F1619" s="265">
        <v>42265</v>
      </c>
      <c r="G1619" s="265">
        <v>42314</v>
      </c>
      <c r="H1619" s="111">
        <v>220.23</v>
      </c>
      <c r="I1619" s="111">
        <f t="shared" si="132"/>
        <v>0</v>
      </c>
      <c r="J1619" s="266">
        <v>1</v>
      </c>
      <c r="K1619" s="295">
        <f t="shared" si="133"/>
        <v>2.2023000000000001</v>
      </c>
      <c r="L1619" s="29">
        <f t="shared" si="134"/>
        <v>49</v>
      </c>
      <c r="S1619" s="29">
        <v>0</v>
      </c>
      <c r="T1619" s="292">
        <v>39.64</v>
      </c>
      <c r="U1619" s="29">
        <v>259.87</v>
      </c>
      <c r="V1619" s="29">
        <v>0</v>
      </c>
      <c r="W1619" s="29">
        <v>1</v>
      </c>
      <c r="X1619" s="29">
        <v>2.5987</v>
      </c>
    </row>
    <row r="1620" spans="1:24">
      <c r="A1620" s="29">
        <v>6</v>
      </c>
      <c r="B1620" s="111">
        <v>1</v>
      </c>
      <c r="C1620" s="111">
        <v>310899</v>
      </c>
      <c r="D1620" s="111" t="s">
        <v>757</v>
      </c>
      <c r="E1620" s="111" t="s">
        <v>448</v>
      </c>
      <c r="F1620" s="265">
        <v>42266</v>
      </c>
      <c r="G1620" s="265">
        <v>42314</v>
      </c>
      <c r="H1620" s="111">
        <v>1351.79</v>
      </c>
      <c r="I1620" s="111">
        <f t="shared" si="132"/>
        <v>0</v>
      </c>
      <c r="J1620" s="266">
        <v>1</v>
      </c>
      <c r="K1620" s="295">
        <f t="shared" si="133"/>
        <v>13.517899999999999</v>
      </c>
      <c r="L1620" s="29">
        <f t="shared" si="134"/>
        <v>48</v>
      </c>
      <c r="S1620" s="29">
        <v>0</v>
      </c>
      <c r="T1620" s="292">
        <v>243.32</v>
      </c>
      <c r="U1620" s="29">
        <v>1595.11</v>
      </c>
      <c r="V1620" s="29">
        <v>0</v>
      </c>
      <c r="W1620" s="29">
        <v>1</v>
      </c>
      <c r="X1620" s="29">
        <v>15.9511</v>
      </c>
    </row>
    <row r="1621" spans="1:24">
      <c r="A1621" s="29">
        <v>7</v>
      </c>
      <c r="B1621" s="111">
        <v>1</v>
      </c>
      <c r="C1621" s="111">
        <v>310909</v>
      </c>
      <c r="D1621" s="111" t="s">
        <v>759</v>
      </c>
      <c r="E1621" s="111" t="s">
        <v>448</v>
      </c>
      <c r="F1621" s="265">
        <v>42266</v>
      </c>
      <c r="G1621" s="265">
        <v>42328</v>
      </c>
      <c r="H1621" s="111">
        <v>164.97</v>
      </c>
      <c r="I1621" s="111">
        <f t="shared" si="132"/>
        <v>15.118644067796611</v>
      </c>
      <c r="J1621" s="266">
        <v>1</v>
      </c>
      <c r="K1621" s="295">
        <f t="shared" si="133"/>
        <v>1.4985135593220338</v>
      </c>
      <c r="L1621" s="29">
        <f t="shared" si="134"/>
        <v>62</v>
      </c>
      <c r="S1621" s="29">
        <v>0</v>
      </c>
      <c r="T1621" s="292">
        <v>29.69</v>
      </c>
      <c r="U1621" s="29">
        <v>194.66</v>
      </c>
      <c r="V1621" s="29">
        <v>17.84</v>
      </c>
      <c r="W1621" s="29">
        <v>1</v>
      </c>
      <c r="X1621" s="29">
        <v>1.7682</v>
      </c>
    </row>
    <row r="1622" spans="1:24">
      <c r="A1622" s="29">
        <v>8</v>
      </c>
      <c r="B1622" s="111">
        <v>1</v>
      </c>
      <c r="C1622" s="111">
        <v>311244</v>
      </c>
      <c r="D1622" s="111" t="s">
        <v>759</v>
      </c>
      <c r="E1622" s="111" t="s">
        <v>448</v>
      </c>
      <c r="F1622" s="265">
        <v>42271</v>
      </c>
      <c r="G1622" s="265">
        <v>42314</v>
      </c>
      <c r="H1622" s="111">
        <v>406.81</v>
      </c>
      <c r="I1622" s="111">
        <f t="shared" si="132"/>
        <v>0</v>
      </c>
      <c r="J1622" s="266">
        <v>1</v>
      </c>
      <c r="K1622" s="295">
        <f t="shared" si="133"/>
        <v>4.0681000000000003</v>
      </c>
      <c r="L1622" s="29">
        <f t="shared" si="134"/>
        <v>43</v>
      </c>
      <c r="S1622" s="29">
        <v>0</v>
      </c>
      <c r="T1622" s="292">
        <v>73.23</v>
      </c>
      <c r="U1622" s="29">
        <v>480.04</v>
      </c>
      <c r="V1622" s="29">
        <v>0</v>
      </c>
      <c r="W1622" s="29">
        <v>1</v>
      </c>
      <c r="X1622" s="29">
        <v>4.8003999999999998</v>
      </c>
    </row>
    <row r="1623" spans="1:24">
      <c r="A1623" s="29">
        <v>9</v>
      </c>
      <c r="B1623" s="111">
        <v>1</v>
      </c>
      <c r="C1623" s="111">
        <v>311558</v>
      </c>
      <c r="D1623" s="111" t="s">
        <v>759</v>
      </c>
      <c r="E1623" s="111" t="s">
        <v>448</v>
      </c>
      <c r="F1623" s="265">
        <v>42273</v>
      </c>
      <c r="G1623" s="265">
        <v>42321</v>
      </c>
      <c r="H1623" s="111">
        <v>2714.3</v>
      </c>
      <c r="I1623" s="111">
        <f t="shared" si="132"/>
        <v>0</v>
      </c>
      <c r="J1623" s="266">
        <v>1</v>
      </c>
      <c r="K1623" s="295">
        <f t="shared" si="133"/>
        <v>27.143000000000001</v>
      </c>
      <c r="L1623" s="29">
        <f t="shared" si="134"/>
        <v>48</v>
      </c>
      <c r="S1623" s="29">
        <v>0</v>
      </c>
      <c r="T1623" s="292">
        <v>488.57</v>
      </c>
      <c r="U1623" s="29">
        <v>3202.87</v>
      </c>
      <c r="V1623" s="29">
        <v>0</v>
      </c>
      <c r="W1623" s="29">
        <v>1</v>
      </c>
      <c r="X1623" s="29">
        <v>32.028700000000001</v>
      </c>
    </row>
    <row r="1624" spans="1:24">
      <c r="A1624" s="29">
        <v>10</v>
      </c>
      <c r="B1624" s="111">
        <v>1</v>
      </c>
      <c r="C1624" s="111">
        <v>311544</v>
      </c>
      <c r="D1624" s="111" t="s">
        <v>759</v>
      </c>
      <c r="E1624" s="111" t="s">
        <v>448</v>
      </c>
      <c r="F1624" s="265">
        <v>42273</v>
      </c>
      <c r="G1624" s="265">
        <v>42321</v>
      </c>
      <c r="H1624" s="111">
        <v>3253.34</v>
      </c>
      <c r="I1624" s="111">
        <f t="shared" si="132"/>
        <v>0</v>
      </c>
      <c r="J1624" s="266">
        <v>1</v>
      </c>
      <c r="K1624" s="295">
        <f t="shared" si="133"/>
        <v>32.5334</v>
      </c>
      <c r="L1624" s="29">
        <f t="shared" si="134"/>
        <v>48</v>
      </c>
      <c r="S1624" s="29">
        <v>0</v>
      </c>
      <c r="T1624" s="292">
        <v>585.6</v>
      </c>
      <c r="U1624" s="29">
        <v>3838.94</v>
      </c>
      <c r="V1624" s="29">
        <v>0</v>
      </c>
      <c r="W1624" s="29">
        <v>1</v>
      </c>
      <c r="X1624" s="29">
        <v>38.389400000000002</v>
      </c>
    </row>
    <row r="1625" spans="1:24">
      <c r="A1625" s="29">
        <v>11</v>
      </c>
      <c r="B1625" s="111">
        <v>1</v>
      </c>
      <c r="C1625" s="111">
        <v>311543</v>
      </c>
      <c r="D1625" s="111" t="s">
        <v>759</v>
      </c>
      <c r="E1625" s="111" t="s">
        <v>448</v>
      </c>
      <c r="F1625" s="265">
        <v>42273</v>
      </c>
      <c r="G1625" s="265">
        <v>42321</v>
      </c>
      <c r="H1625" s="111">
        <v>220.23</v>
      </c>
      <c r="I1625" s="111">
        <f t="shared" si="132"/>
        <v>0</v>
      </c>
      <c r="J1625" s="266">
        <v>1</v>
      </c>
      <c r="K1625" s="295">
        <f t="shared" si="133"/>
        <v>2.2023000000000001</v>
      </c>
      <c r="L1625" s="29">
        <f t="shared" si="134"/>
        <v>48</v>
      </c>
      <c r="S1625" s="29">
        <v>0</v>
      </c>
      <c r="T1625" s="292">
        <v>39.64</v>
      </c>
      <c r="U1625" s="29">
        <v>259.87</v>
      </c>
      <c r="V1625" s="29">
        <v>0</v>
      </c>
      <c r="W1625" s="29">
        <v>1</v>
      </c>
      <c r="X1625" s="29">
        <v>2.5987</v>
      </c>
    </row>
    <row r="1626" spans="1:24">
      <c r="A1626" s="29">
        <v>12</v>
      </c>
      <c r="B1626" s="111">
        <v>1</v>
      </c>
      <c r="C1626" s="111">
        <v>311569</v>
      </c>
      <c r="D1626" s="111" t="s">
        <v>759</v>
      </c>
      <c r="E1626" s="111" t="s">
        <v>448</v>
      </c>
      <c r="F1626" s="265">
        <v>42273</v>
      </c>
      <c r="G1626" s="265">
        <v>42328</v>
      </c>
      <c r="H1626" s="111">
        <v>1762.4</v>
      </c>
      <c r="I1626" s="111">
        <f t="shared" si="132"/>
        <v>0</v>
      </c>
      <c r="J1626" s="266">
        <v>1</v>
      </c>
      <c r="K1626" s="295">
        <f t="shared" si="133"/>
        <v>17.624000000000002</v>
      </c>
      <c r="L1626" s="29">
        <f t="shared" si="134"/>
        <v>55</v>
      </c>
      <c r="S1626" s="29">
        <v>0</v>
      </c>
      <c r="T1626" s="292">
        <v>317.23</v>
      </c>
      <c r="U1626" s="29">
        <v>2079.63</v>
      </c>
      <c r="V1626" s="29">
        <v>0</v>
      </c>
      <c r="W1626" s="29">
        <v>1</v>
      </c>
      <c r="X1626" s="29">
        <v>20.796299999999999</v>
      </c>
    </row>
    <row r="1627" spans="1:24">
      <c r="A1627" s="29">
        <v>13</v>
      </c>
      <c r="B1627" s="111">
        <v>1</v>
      </c>
      <c r="C1627" s="111">
        <v>311542</v>
      </c>
      <c r="D1627" s="111" t="s">
        <v>759</v>
      </c>
      <c r="E1627" s="111" t="s">
        <v>448</v>
      </c>
      <c r="F1627" s="265">
        <v>42273</v>
      </c>
      <c r="G1627" s="265">
        <v>42335</v>
      </c>
      <c r="H1627" s="111">
        <v>12658.47</v>
      </c>
      <c r="I1627" s="111">
        <f t="shared" si="132"/>
        <v>665.27118644067798</v>
      </c>
      <c r="J1627" s="266">
        <v>1</v>
      </c>
      <c r="K1627" s="295">
        <f t="shared" si="133"/>
        <v>119.93198813559322</v>
      </c>
      <c r="L1627" s="29">
        <f t="shared" si="134"/>
        <v>62</v>
      </c>
      <c r="S1627" s="29">
        <v>0</v>
      </c>
      <c r="T1627" s="292">
        <v>2278.52</v>
      </c>
      <c r="U1627" s="29">
        <v>14936.99</v>
      </c>
      <c r="V1627" s="29">
        <v>785.02</v>
      </c>
      <c r="W1627" s="29">
        <v>1</v>
      </c>
      <c r="X1627" s="29">
        <v>141.5197</v>
      </c>
    </row>
    <row r="1628" spans="1:24">
      <c r="A1628" s="29">
        <v>14</v>
      </c>
      <c r="B1628" s="111">
        <v>1</v>
      </c>
      <c r="C1628" s="111">
        <v>311774</v>
      </c>
      <c r="D1628" s="111" t="s">
        <v>759</v>
      </c>
      <c r="E1628" s="111" t="s">
        <v>448</v>
      </c>
      <c r="F1628" s="265">
        <v>42276</v>
      </c>
      <c r="G1628" s="265">
        <v>42321</v>
      </c>
      <c r="H1628" s="111">
        <v>294.68</v>
      </c>
      <c r="I1628" s="111">
        <f t="shared" si="132"/>
        <v>0</v>
      </c>
      <c r="J1628" s="266">
        <v>1</v>
      </c>
      <c r="K1628" s="295">
        <f t="shared" si="133"/>
        <v>2.9468000000000001</v>
      </c>
      <c r="L1628" s="29">
        <f t="shared" si="134"/>
        <v>45</v>
      </c>
      <c r="S1628" s="29">
        <v>0</v>
      </c>
      <c r="T1628" s="292">
        <v>53.04</v>
      </c>
      <c r="U1628" s="29">
        <v>347.72</v>
      </c>
      <c r="V1628" s="29">
        <v>0</v>
      </c>
      <c r="W1628" s="29">
        <v>1</v>
      </c>
      <c r="X1628" s="29">
        <v>3.4771999999999998</v>
      </c>
    </row>
    <row r="1629" spans="1:24">
      <c r="A1629" s="29">
        <v>15</v>
      </c>
      <c r="B1629" s="111">
        <v>1</v>
      </c>
      <c r="C1629" s="111">
        <v>311938</v>
      </c>
      <c r="D1629" s="111" t="s">
        <v>759</v>
      </c>
      <c r="E1629" s="111" t="s">
        <v>448</v>
      </c>
      <c r="F1629" s="265">
        <v>42277</v>
      </c>
      <c r="G1629" s="265">
        <v>42321</v>
      </c>
      <c r="H1629" s="111">
        <v>237.83</v>
      </c>
      <c r="I1629" s="111">
        <f t="shared" si="132"/>
        <v>0</v>
      </c>
      <c r="J1629" s="266">
        <v>1</v>
      </c>
      <c r="K1629" s="295">
        <f t="shared" si="133"/>
        <v>2.3783000000000003</v>
      </c>
      <c r="L1629" s="29">
        <f t="shared" si="134"/>
        <v>44</v>
      </c>
      <c r="S1629" s="29">
        <v>0</v>
      </c>
      <c r="T1629" s="292">
        <v>42.81</v>
      </c>
      <c r="U1629" s="29">
        <v>280.64</v>
      </c>
      <c r="V1629" s="29">
        <v>0</v>
      </c>
      <c r="W1629" s="29">
        <v>1</v>
      </c>
      <c r="X1629" s="29">
        <v>2.8064</v>
      </c>
    </row>
    <row r="1630" spans="1:24">
      <c r="A1630" s="29">
        <v>16</v>
      </c>
      <c r="B1630" s="111">
        <v>1</v>
      </c>
      <c r="C1630" s="111">
        <v>312255</v>
      </c>
      <c r="D1630" s="111" t="s">
        <v>767</v>
      </c>
      <c r="E1630" s="111" t="s">
        <v>448</v>
      </c>
      <c r="F1630" s="265">
        <v>42278</v>
      </c>
      <c r="G1630" s="265">
        <v>42317</v>
      </c>
      <c r="H1630" s="111">
        <v>197.19</v>
      </c>
      <c r="I1630" s="111">
        <f t="shared" si="132"/>
        <v>0</v>
      </c>
      <c r="J1630" s="266">
        <v>1</v>
      </c>
      <c r="K1630" s="295">
        <f t="shared" si="133"/>
        <v>1.9719</v>
      </c>
      <c r="L1630" s="29">
        <f t="shared" si="134"/>
        <v>39</v>
      </c>
      <c r="S1630" s="29">
        <v>0</v>
      </c>
      <c r="T1630" s="292">
        <v>35.49</v>
      </c>
      <c r="U1630" s="29">
        <v>232.68</v>
      </c>
      <c r="V1630" s="29">
        <v>0</v>
      </c>
      <c r="W1630" s="29">
        <v>1</v>
      </c>
      <c r="X1630" s="29">
        <v>2.3268</v>
      </c>
    </row>
    <row r="1631" spans="1:24">
      <c r="A1631" s="29">
        <v>17</v>
      </c>
      <c r="B1631" s="111">
        <v>1</v>
      </c>
      <c r="C1631" s="111">
        <v>312268</v>
      </c>
      <c r="D1631" s="111" t="s">
        <v>758</v>
      </c>
      <c r="E1631" s="111" t="s">
        <v>448</v>
      </c>
      <c r="F1631" s="265">
        <v>42279</v>
      </c>
      <c r="G1631" s="265">
        <v>42326</v>
      </c>
      <c r="H1631" s="111">
        <v>663.82</v>
      </c>
      <c r="I1631" s="111">
        <f t="shared" si="132"/>
        <v>0</v>
      </c>
      <c r="J1631" s="266">
        <v>1</v>
      </c>
      <c r="K1631" s="295">
        <f t="shared" si="133"/>
        <v>6.6382000000000003</v>
      </c>
      <c r="L1631" s="29">
        <f t="shared" si="134"/>
        <v>47</v>
      </c>
      <c r="S1631" s="29">
        <v>0</v>
      </c>
      <c r="T1631" s="292">
        <v>119.49</v>
      </c>
      <c r="U1631" s="29">
        <v>783.31</v>
      </c>
      <c r="V1631" s="29">
        <v>0</v>
      </c>
      <c r="W1631" s="29">
        <v>1</v>
      </c>
      <c r="X1631" s="29">
        <v>7.8331</v>
      </c>
    </row>
    <row r="1632" spans="1:24">
      <c r="A1632" s="29">
        <v>18</v>
      </c>
      <c r="B1632" s="111">
        <v>1</v>
      </c>
      <c r="C1632" s="111">
        <v>312349</v>
      </c>
      <c r="D1632" s="111" t="s">
        <v>758</v>
      </c>
      <c r="E1632" s="111" t="s">
        <v>448</v>
      </c>
      <c r="F1632" s="265">
        <v>42280</v>
      </c>
      <c r="G1632" s="265">
        <v>42326</v>
      </c>
      <c r="H1632" s="111">
        <v>929.5</v>
      </c>
      <c r="I1632" s="111">
        <f t="shared" si="132"/>
        <v>0</v>
      </c>
      <c r="J1632" s="266">
        <v>1</v>
      </c>
      <c r="K1632" s="295">
        <f t="shared" si="133"/>
        <v>9.2949999999999999</v>
      </c>
      <c r="L1632" s="29">
        <f t="shared" si="134"/>
        <v>46</v>
      </c>
      <c r="S1632" s="29">
        <v>0</v>
      </c>
      <c r="T1632" s="292">
        <v>167.31</v>
      </c>
      <c r="U1632" s="29">
        <v>1096.81</v>
      </c>
      <c r="V1632" s="29">
        <v>0</v>
      </c>
      <c r="W1632" s="29">
        <v>1</v>
      </c>
      <c r="X1632" s="29">
        <v>10.9681</v>
      </c>
    </row>
    <row r="1633" spans="1:24">
      <c r="A1633" s="29">
        <v>19</v>
      </c>
      <c r="B1633" s="111">
        <v>1</v>
      </c>
      <c r="C1633" s="111">
        <v>312353</v>
      </c>
      <c r="D1633" s="111" t="s">
        <v>767</v>
      </c>
      <c r="E1633" s="111" t="s">
        <v>448</v>
      </c>
      <c r="F1633" s="265">
        <v>42280</v>
      </c>
      <c r="G1633" s="265">
        <v>42317</v>
      </c>
      <c r="H1633" s="111">
        <v>117.36</v>
      </c>
      <c r="I1633" s="111">
        <f t="shared" si="132"/>
        <v>0</v>
      </c>
      <c r="J1633" s="266">
        <v>1</v>
      </c>
      <c r="K1633" s="295">
        <f t="shared" si="133"/>
        <v>1.1736</v>
      </c>
      <c r="L1633" s="29">
        <f t="shared" si="134"/>
        <v>37</v>
      </c>
      <c r="S1633" s="29">
        <v>0</v>
      </c>
      <c r="T1633" s="292">
        <v>21.12</v>
      </c>
      <c r="U1633" s="29">
        <v>138.47999999999999</v>
      </c>
      <c r="V1633" s="29">
        <v>0</v>
      </c>
      <c r="W1633" s="29">
        <v>1</v>
      </c>
      <c r="X1633" s="29">
        <v>1.3848</v>
      </c>
    </row>
    <row r="1634" spans="1:24">
      <c r="A1634" s="29">
        <v>20</v>
      </c>
      <c r="B1634" s="111">
        <v>1</v>
      </c>
      <c r="C1634" s="111">
        <v>312405</v>
      </c>
      <c r="D1634" s="111" t="s">
        <v>759</v>
      </c>
      <c r="E1634" s="111" t="s">
        <v>448</v>
      </c>
      <c r="F1634" s="265">
        <v>42282</v>
      </c>
      <c r="G1634" s="265">
        <v>42328</v>
      </c>
      <c r="H1634" s="111">
        <v>2520.42</v>
      </c>
      <c r="I1634" s="111">
        <f t="shared" si="132"/>
        <v>0</v>
      </c>
      <c r="J1634" s="266">
        <v>1</v>
      </c>
      <c r="K1634" s="295">
        <f t="shared" si="133"/>
        <v>25.2042</v>
      </c>
      <c r="L1634" s="29">
        <f t="shared" si="134"/>
        <v>46</v>
      </c>
      <c r="S1634" s="29">
        <v>0</v>
      </c>
      <c r="T1634" s="292">
        <v>453.68</v>
      </c>
      <c r="U1634" s="29">
        <v>2974.1</v>
      </c>
      <c r="V1634" s="29">
        <v>0</v>
      </c>
      <c r="W1634" s="29">
        <v>1</v>
      </c>
      <c r="X1634" s="29">
        <v>29.741</v>
      </c>
    </row>
    <row r="1635" spans="1:24">
      <c r="A1635" s="29">
        <v>21</v>
      </c>
      <c r="B1635" s="111">
        <v>1</v>
      </c>
      <c r="C1635" s="111">
        <v>312406</v>
      </c>
      <c r="D1635" s="111" t="s">
        <v>758</v>
      </c>
      <c r="E1635" s="111" t="s">
        <v>448</v>
      </c>
      <c r="F1635" s="265">
        <v>42282</v>
      </c>
      <c r="G1635" s="265">
        <v>42326</v>
      </c>
      <c r="H1635" s="111">
        <v>1650.37</v>
      </c>
      <c r="I1635" s="111">
        <f t="shared" si="132"/>
        <v>0</v>
      </c>
      <c r="J1635" s="266">
        <v>1</v>
      </c>
      <c r="K1635" s="295">
        <f t="shared" si="133"/>
        <v>16.503699999999998</v>
      </c>
      <c r="L1635" s="29">
        <f t="shared" si="134"/>
        <v>44</v>
      </c>
      <c r="S1635" s="29">
        <v>0</v>
      </c>
      <c r="T1635" s="292">
        <v>297.07</v>
      </c>
      <c r="U1635" s="29">
        <v>1947.44</v>
      </c>
      <c r="V1635" s="29">
        <v>0</v>
      </c>
      <c r="W1635" s="29">
        <v>1</v>
      </c>
      <c r="X1635" s="29">
        <v>19.474399999999999</v>
      </c>
    </row>
    <row r="1636" spans="1:24">
      <c r="A1636" s="29">
        <v>22</v>
      </c>
      <c r="B1636" s="111">
        <v>1</v>
      </c>
      <c r="C1636" s="111">
        <v>312415</v>
      </c>
      <c r="D1636" s="111" t="s">
        <v>758</v>
      </c>
      <c r="E1636" s="111" t="s">
        <v>448</v>
      </c>
      <c r="F1636" s="265">
        <v>42282</v>
      </c>
      <c r="G1636" s="265">
        <v>42326</v>
      </c>
      <c r="H1636" s="111">
        <v>212.92</v>
      </c>
      <c r="I1636" s="111">
        <f t="shared" si="132"/>
        <v>0</v>
      </c>
      <c r="J1636" s="266">
        <v>1</v>
      </c>
      <c r="K1636" s="295">
        <f t="shared" si="133"/>
        <v>2.1292</v>
      </c>
      <c r="L1636" s="29">
        <f t="shared" si="134"/>
        <v>44</v>
      </c>
      <c r="S1636" s="29">
        <v>0</v>
      </c>
      <c r="T1636" s="292">
        <v>38.33</v>
      </c>
      <c r="U1636" s="29">
        <v>251.25</v>
      </c>
      <c r="V1636" s="29">
        <v>0</v>
      </c>
      <c r="W1636" s="29">
        <v>1</v>
      </c>
      <c r="X1636" s="29">
        <v>2.5125000000000002</v>
      </c>
    </row>
    <row r="1637" spans="1:24">
      <c r="A1637" s="29">
        <v>23</v>
      </c>
      <c r="B1637" s="111">
        <v>1</v>
      </c>
      <c r="C1637" s="111">
        <v>312458</v>
      </c>
      <c r="D1637" s="111" t="s">
        <v>757</v>
      </c>
      <c r="E1637" s="111" t="s">
        <v>448</v>
      </c>
      <c r="F1637" s="265">
        <v>42283</v>
      </c>
      <c r="G1637" s="265">
        <v>42314</v>
      </c>
      <c r="H1637" s="111">
        <v>269.52999999999997</v>
      </c>
      <c r="I1637" s="111">
        <f t="shared" si="132"/>
        <v>0</v>
      </c>
      <c r="J1637" s="266">
        <v>1</v>
      </c>
      <c r="K1637" s="295">
        <f t="shared" si="133"/>
        <v>2.6952999999999996</v>
      </c>
      <c r="L1637" s="29">
        <f t="shared" si="134"/>
        <v>31</v>
      </c>
      <c r="S1637" s="29">
        <v>0</v>
      </c>
      <c r="T1637" s="292">
        <v>48.52</v>
      </c>
      <c r="U1637" s="29">
        <v>318.05</v>
      </c>
      <c r="V1637" s="29">
        <v>0</v>
      </c>
      <c r="W1637" s="29">
        <v>1</v>
      </c>
      <c r="X1637" s="29">
        <v>3.1804999999999999</v>
      </c>
    </row>
    <row r="1638" spans="1:24">
      <c r="A1638" s="29">
        <v>24</v>
      </c>
      <c r="B1638" s="111">
        <v>1</v>
      </c>
      <c r="C1638" s="111">
        <v>312554</v>
      </c>
      <c r="D1638" s="111" t="s">
        <v>758</v>
      </c>
      <c r="E1638" s="111" t="s">
        <v>448</v>
      </c>
      <c r="F1638" s="265">
        <v>42284</v>
      </c>
      <c r="G1638" s="265">
        <v>42326</v>
      </c>
      <c r="H1638" s="111">
        <v>3782.96</v>
      </c>
      <c r="I1638" s="111">
        <f t="shared" si="132"/>
        <v>0</v>
      </c>
      <c r="J1638" s="266">
        <v>1</v>
      </c>
      <c r="K1638" s="295">
        <f t="shared" si="133"/>
        <v>37.829599999999999</v>
      </c>
      <c r="L1638" s="29">
        <f t="shared" si="134"/>
        <v>42</v>
      </c>
      <c r="S1638" s="29">
        <v>0</v>
      </c>
      <c r="T1638" s="292">
        <v>680.93</v>
      </c>
      <c r="U1638" s="29">
        <v>4463.8900000000003</v>
      </c>
      <c r="V1638" s="29">
        <v>0</v>
      </c>
      <c r="W1638" s="29">
        <v>1</v>
      </c>
      <c r="X1638" s="29">
        <v>44.6389</v>
      </c>
    </row>
    <row r="1639" spans="1:24">
      <c r="A1639" s="29">
        <v>25</v>
      </c>
      <c r="B1639" s="111">
        <v>1</v>
      </c>
      <c r="C1639" s="111">
        <v>312579</v>
      </c>
      <c r="D1639" s="111" t="s">
        <v>758</v>
      </c>
      <c r="E1639" s="111" t="s">
        <v>448</v>
      </c>
      <c r="F1639" s="265">
        <v>42284</v>
      </c>
      <c r="G1639" s="265">
        <v>42338</v>
      </c>
      <c r="H1639" s="111">
        <v>2998.49</v>
      </c>
      <c r="I1639" s="111">
        <f t="shared" si="132"/>
        <v>1097.1779661016951</v>
      </c>
      <c r="J1639" s="266">
        <v>1</v>
      </c>
      <c r="K1639" s="295">
        <f t="shared" si="133"/>
        <v>19.013120338983047</v>
      </c>
      <c r="L1639" s="29">
        <f t="shared" si="134"/>
        <v>54</v>
      </c>
      <c r="S1639" s="29">
        <v>0</v>
      </c>
      <c r="T1639" s="292">
        <v>539.73</v>
      </c>
      <c r="U1639" s="29">
        <v>3538.22</v>
      </c>
      <c r="V1639" s="29">
        <v>1294.67</v>
      </c>
      <c r="W1639" s="29">
        <v>1</v>
      </c>
      <c r="X1639" s="29">
        <v>22.435500000000001</v>
      </c>
    </row>
    <row r="1640" spans="1:24">
      <c r="A1640" s="29">
        <v>26</v>
      </c>
      <c r="B1640" s="111">
        <v>1</v>
      </c>
      <c r="C1640" s="111">
        <v>312556</v>
      </c>
      <c r="D1640" s="111" t="s">
        <v>758</v>
      </c>
      <c r="E1640" s="111" t="s">
        <v>448</v>
      </c>
      <c r="F1640" s="265">
        <v>42284</v>
      </c>
      <c r="G1640" s="265">
        <v>42326</v>
      </c>
      <c r="H1640" s="111">
        <v>7364.31</v>
      </c>
      <c r="I1640" s="111">
        <f t="shared" si="132"/>
        <v>0</v>
      </c>
      <c r="J1640" s="266">
        <v>1</v>
      </c>
      <c r="K1640" s="295">
        <f t="shared" si="133"/>
        <v>73.643100000000004</v>
      </c>
      <c r="L1640" s="29">
        <f t="shared" si="134"/>
        <v>42</v>
      </c>
      <c r="S1640" s="29">
        <v>0</v>
      </c>
      <c r="T1640" s="292">
        <v>1325.58</v>
      </c>
      <c r="U1640" s="29">
        <v>8689.89</v>
      </c>
      <c r="V1640" s="29">
        <v>0</v>
      </c>
      <c r="W1640" s="29">
        <v>1</v>
      </c>
      <c r="X1640" s="29">
        <v>86.898899999999998</v>
      </c>
    </row>
    <row r="1641" spans="1:24">
      <c r="A1641" s="29">
        <v>27</v>
      </c>
      <c r="B1641" s="111">
        <v>1</v>
      </c>
      <c r="C1641" s="111">
        <v>312576</v>
      </c>
      <c r="D1641" s="111" t="s">
        <v>760</v>
      </c>
      <c r="E1641" s="111" t="s">
        <v>448</v>
      </c>
      <c r="F1641" s="265">
        <v>42284</v>
      </c>
      <c r="G1641" s="265">
        <v>42335</v>
      </c>
      <c r="H1641" s="111">
        <v>779.2</v>
      </c>
      <c r="I1641" s="111">
        <f t="shared" si="132"/>
        <v>0</v>
      </c>
      <c r="J1641" s="266">
        <v>1</v>
      </c>
      <c r="K1641" s="295">
        <f t="shared" si="133"/>
        <v>7.7920000000000007</v>
      </c>
      <c r="L1641" s="29">
        <f t="shared" si="134"/>
        <v>51</v>
      </c>
      <c r="S1641" s="29">
        <v>0</v>
      </c>
      <c r="T1641" s="292">
        <v>140.26</v>
      </c>
      <c r="U1641" s="29">
        <v>919.46</v>
      </c>
      <c r="V1641" s="29">
        <v>0</v>
      </c>
      <c r="W1641" s="29">
        <v>1</v>
      </c>
      <c r="X1641" s="29">
        <v>9.1945999999999994</v>
      </c>
    </row>
    <row r="1642" spans="1:24">
      <c r="A1642" s="29">
        <v>28</v>
      </c>
      <c r="B1642" s="111">
        <v>1</v>
      </c>
      <c r="C1642" s="111">
        <v>312555</v>
      </c>
      <c r="D1642" s="111" t="s">
        <v>758</v>
      </c>
      <c r="E1642" s="111" t="s">
        <v>448</v>
      </c>
      <c r="F1642" s="265">
        <v>42284</v>
      </c>
      <c r="G1642" s="265">
        <v>42326</v>
      </c>
      <c r="H1642" s="111">
        <v>2997.44</v>
      </c>
      <c r="I1642" s="111">
        <f t="shared" si="132"/>
        <v>0</v>
      </c>
      <c r="J1642" s="266">
        <v>1</v>
      </c>
      <c r="K1642" s="295">
        <f t="shared" si="133"/>
        <v>29.974400000000003</v>
      </c>
      <c r="L1642" s="29">
        <f t="shared" si="134"/>
        <v>42</v>
      </c>
      <c r="S1642" s="29">
        <v>0</v>
      </c>
      <c r="T1642" s="292">
        <v>539.54</v>
      </c>
      <c r="U1642" s="29">
        <v>3536.98</v>
      </c>
      <c r="V1642" s="29">
        <v>0</v>
      </c>
      <c r="W1642" s="29">
        <v>1</v>
      </c>
      <c r="X1642" s="29">
        <v>35.369799999999998</v>
      </c>
    </row>
    <row r="1643" spans="1:24">
      <c r="A1643" s="29">
        <v>29</v>
      </c>
      <c r="B1643" s="111">
        <v>1</v>
      </c>
      <c r="C1643" s="111">
        <v>312686</v>
      </c>
      <c r="D1643" s="111" t="s">
        <v>757</v>
      </c>
      <c r="E1643" s="111" t="s">
        <v>448</v>
      </c>
      <c r="F1643" s="265">
        <v>42286</v>
      </c>
      <c r="G1643" s="265">
        <v>42328</v>
      </c>
      <c r="H1643" s="111">
        <v>219.49</v>
      </c>
      <c r="I1643" s="111">
        <f t="shared" si="132"/>
        <v>0</v>
      </c>
      <c r="J1643" s="266">
        <v>1</v>
      </c>
      <c r="K1643" s="295">
        <f t="shared" si="133"/>
        <v>2.1949000000000001</v>
      </c>
      <c r="L1643" s="29">
        <f t="shared" si="134"/>
        <v>42</v>
      </c>
      <c r="S1643" s="29">
        <v>0</v>
      </c>
      <c r="T1643" s="292">
        <v>39.51</v>
      </c>
      <c r="U1643" s="29">
        <v>259</v>
      </c>
      <c r="V1643" s="29">
        <v>0</v>
      </c>
      <c r="W1643" s="29">
        <v>1</v>
      </c>
      <c r="X1643" s="29">
        <v>2.59</v>
      </c>
    </row>
    <row r="1644" spans="1:24">
      <c r="A1644" s="29">
        <v>30</v>
      </c>
      <c r="B1644" s="111">
        <v>1</v>
      </c>
      <c r="C1644" s="111">
        <v>312691</v>
      </c>
      <c r="D1644" s="111" t="s">
        <v>757</v>
      </c>
      <c r="E1644" s="111" t="s">
        <v>448</v>
      </c>
      <c r="F1644" s="265">
        <v>42286</v>
      </c>
      <c r="G1644" s="265">
        <v>42328</v>
      </c>
      <c r="H1644" s="111">
        <v>288.07</v>
      </c>
      <c r="I1644" s="111">
        <f t="shared" si="132"/>
        <v>0</v>
      </c>
      <c r="J1644" s="266">
        <v>1</v>
      </c>
      <c r="K1644" s="295">
        <f t="shared" si="133"/>
        <v>2.8807</v>
      </c>
      <c r="L1644" s="29">
        <f t="shared" si="134"/>
        <v>42</v>
      </c>
      <c r="S1644" s="29">
        <v>0</v>
      </c>
      <c r="T1644" s="292">
        <v>51.85</v>
      </c>
      <c r="U1644" s="29">
        <v>339.92</v>
      </c>
      <c r="V1644" s="29">
        <v>0</v>
      </c>
      <c r="W1644" s="29">
        <v>1</v>
      </c>
      <c r="X1644" s="29">
        <v>3.3992</v>
      </c>
    </row>
    <row r="1645" spans="1:24">
      <c r="A1645" s="29">
        <v>31</v>
      </c>
      <c r="B1645" s="111">
        <v>1</v>
      </c>
      <c r="C1645" s="111">
        <v>312782</v>
      </c>
      <c r="D1645" s="111" t="s">
        <v>759</v>
      </c>
      <c r="E1645" s="111" t="s">
        <v>448</v>
      </c>
      <c r="F1645" s="265">
        <v>42286</v>
      </c>
      <c r="G1645" s="265">
        <v>42335</v>
      </c>
      <c r="H1645" s="111">
        <v>3780</v>
      </c>
      <c r="I1645" s="111">
        <f t="shared" si="132"/>
        <v>0</v>
      </c>
      <c r="J1645" s="266">
        <v>1</v>
      </c>
      <c r="K1645" s="295">
        <f t="shared" si="133"/>
        <v>37.800000000000004</v>
      </c>
      <c r="L1645" s="29">
        <f t="shared" si="134"/>
        <v>49</v>
      </c>
      <c r="S1645" s="29">
        <v>0</v>
      </c>
      <c r="T1645" s="292">
        <v>680.4</v>
      </c>
      <c r="U1645" s="29">
        <v>4460.3999999999996</v>
      </c>
      <c r="V1645" s="29">
        <v>0</v>
      </c>
      <c r="W1645" s="29">
        <v>1</v>
      </c>
      <c r="X1645" s="29">
        <v>44.603999999999999</v>
      </c>
    </row>
    <row r="1646" spans="1:24">
      <c r="A1646" s="29">
        <v>32</v>
      </c>
      <c r="B1646" s="111">
        <v>1</v>
      </c>
      <c r="C1646" s="111">
        <v>312798</v>
      </c>
      <c r="D1646" s="111" t="s">
        <v>759</v>
      </c>
      <c r="E1646" s="111" t="s">
        <v>448</v>
      </c>
      <c r="F1646" s="265">
        <v>42287</v>
      </c>
      <c r="G1646" s="265">
        <v>42335</v>
      </c>
      <c r="H1646" s="111">
        <v>2886.62</v>
      </c>
      <c r="I1646" s="111">
        <f t="shared" si="132"/>
        <v>0</v>
      </c>
      <c r="J1646" s="266">
        <v>1</v>
      </c>
      <c r="K1646" s="295">
        <f t="shared" si="133"/>
        <v>28.866199999999999</v>
      </c>
      <c r="L1646" s="29">
        <f t="shared" si="134"/>
        <v>48</v>
      </c>
      <c r="S1646" s="29">
        <v>0</v>
      </c>
      <c r="T1646" s="292">
        <v>519.59</v>
      </c>
      <c r="U1646" s="29">
        <v>3406.21</v>
      </c>
      <c r="V1646" s="29">
        <v>0</v>
      </c>
      <c r="W1646" s="29">
        <v>1</v>
      </c>
      <c r="X1646" s="29">
        <v>34.062100000000001</v>
      </c>
    </row>
    <row r="1647" spans="1:24">
      <c r="A1647" s="29">
        <v>33</v>
      </c>
      <c r="B1647" s="111">
        <v>1</v>
      </c>
      <c r="C1647" s="111">
        <v>312788</v>
      </c>
      <c r="D1647" s="111" t="s">
        <v>759</v>
      </c>
      <c r="E1647" s="111" t="s">
        <v>448</v>
      </c>
      <c r="F1647" s="265">
        <v>42287</v>
      </c>
      <c r="G1647" s="265">
        <v>42335</v>
      </c>
      <c r="H1647" s="111">
        <v>2204.1</v>
      </c>
      <c r="I1647" s="111">
        <f t="shared" ref="I1647:I1678" si="135">V1647/1.18</f>
        <v>0</v>
      </c>
      <c r="J1647" s="266">
        <v>1</v>
      </c>
      <c r="K1647" s="295">
        <f t="shared" ref="K1647:K1678" si="136">(H1647-I1647)*J1647%</f>
        <v>22.041</v>
      </c>
      <c r="L1647" s="29">
        <f t="shared" ref="L1647:L1678" si="137">G1647-F1647</f>
        <v>48</v>
      </c>
      <c r="S1647" s="29">
        <v>0</v>
      </c>
      <c r="T1647" s="292">
        <v>396.74</v>
      </c>
      <c r="U1647" s="29">
        <v>2600.84</v>
      </c>
      <c r="V1647" s="29">
        <v>0</v>
      </c>
      <c r="W1647" s="29">
        <v>1</v>
      </c>
      <c r="X1647" s="29">
        <v>26.008400000000002</v>
      </c>
    </row>
    <row r="1648" spans="1:24">
      <c r="A1648" s="29">
        <v>34</v>
      </c>
      <c r="B1648" s="111">
        <v>1</v>
      </c>
      <c r="C1648" s="111">
        <v>312787</v>
      </c>
      <c r="D1648" s="111" t="s">
        <v>759</v>
      </c>
      <c r="E1648" s="111" t="s">
        <v>448</v>
      </c>
      <c r="F1648" s="265">
        <v>42287</v>
      </c>
      <c r="G1648" s="265">
        <v>42335</v>
      </c>
      <c r="H1648" s="111">
        <v>647.12</v>
      </c>
      <c r="I1648" s="111">
        <f t="shared" si="135"/>
        <v>0</v>
      </c>
      <c r="J1648" s="266">
        <v>1</v>
      </c>
      <c r="K1648" s="295">
        <f t="shared" si="136"/>
        <v>6.4712000000000005</v>
      </c>
      <c r="L1648" s="29">
        <f t="shared" si="137"/>
        <v>48</v>
      </c>
      <c r="S1648" s="29">
        <v>0</v>
      </c>
      <c r="T1648" s="292">
        <v>116.48</v>
      </c>
      <c r="U1648" s="29">
        <v>763.6</v>
      </c>
      <c r="V1648" s="29">
        <v>0</v>
      </c>
      <c r="W1648" s="29">
        <v>1</v>
      </c>
      <c r="X1648" s="29">
        <v>7.6360000000000001</v>
      </c>
    </row>
    <row r="1649" spans="1:24">
      <c r="A1649" s="29">
        <v>35</v>
      </c>
      <c r="B1649" s="111">
        <v>1</v>
      </c>
      <c r="C1649" s="111">
        <v>312800</v>
      </c>
      <c r="D1649" s="111" t="s">
        <v>758</v>
      </c>
      <c r="E1649" s="111" t="s">
        <v>448</v>
      </c>
      <c r="F1649" s="265">
        <v>42287</v>
      </c>
      <c r="G1649" s="265">
        <v>42326</v>
      </c>
      <c r="H1649" s="111">
        <v>380.53</v>
      </c>
      <c r="I1649" s="111">
        <f t="shared" si="135"/>
        <v>0</v>
      </c>
      <c r="J1649" s="266">
        <v>1</v>
      </c>
      <c r="K1649" s="295">
        <f t="shared" si="136"/>
        <v>3.8052999999999999</v>
      </c>
      <c r="L1649" s="29">
        <f t="shared" si="137"/>
        <v>39</v>
      </c>
      <c r="S1649" s="29">
        <v>0</v>
      </c>
      <c r="T1649" s="292">
        <v>68.5</v>
      </c>
      <c r="U1649" s="29">
        <v>449.03</v>
      </c>
      <c r="V1649" s="29">
        <v>0</v>
      </c>
      <c r="W1649" s="29">
        <v>1</v>
      </c>
      <c r="X1649" s="29">
        <v>4.4903000000000004</v>
      </c>
    </row>
    <row r="1650" spans="1:24">
      <c r="A1650" s="29">
        <v>36</v>
      </c>
      <c r="B1650" s="111">
        <v>1</v>
      </c>
      <c r="C1650" s="111">
        <v>312796</v>
      </c>
      <c r="D1650" s="111" t="s">
        <v>758</v>
      </c>
      <c r="E1650" s="111" t="s">
        <v>448</v>
      </c>
      <c r="F1650" s="265">
        <v>42287</v>
      </c>
      <c r="G1650" s="265">
        <v>42326</v>
      </c>
      <c r="H1650" s="111">
        <v>1140.03</v>
      </c>
      <c r="I1650" s="111">
        <f t="shared" si="135"/>
        <v>0</v>
      </c>
      <c r="J1650" s="266">
        <v>1</v>
      </c>
      <c r="K1650" s="295">
        <f t="shared" si="136"/>
        <v>11.4003</v>
      </c>
      <c r="L1650" s="29">
        <f t="shared" si="137"/>
        <v>39</v>
      </c>
      <c r="S1650" s="29">
        <v>0</v>
      </c>
      <c r="T1650" s="292">
        <v>205.21</v>
      </c>
      <c r="U1650" s="29">
        <v>1345.24</v>
      </c>
      <c r="V1650" s="29">
        <v>0</v>
      </c>
      <c r="W1650" s="29">
        <v>1</v>
      </c>
      <c r="X1650" s="29">
        <v>13.452400000000001</v>
      </c>
    </row>
    <row r="1651" spans="1:24">
      <c r="A1651" s="29">
        <v>37</v>
      </c>
      <c r="B1651" s="111">
        <v>1</v>
      </c>
      <c r="C1651" s="111">
        <v>312850</v>
      </c>
      <c r="D1651" s="111" t="s">
        <v>758</v>
      </c>
      <c r="E1651" s="111" t="s">
        <v>448</v>
      </c>
      <c r="F1651" s="265">
        <v>42289</v>
      </c>
      <c r="G1651" s="265">
        <v>42326</v>
      </c>
      <c r="H1651" s="111">
        <v>5685.66</v>
      </c>
      <c r="I1651" s="111">
        <f t="shared" si="135"/>
        <v>0</v>
      </c>
      <c r="J1651" s="266">
        <v>1</v>
      </c>
      <c r="K1651" s="295">
        <f t="shared" si="136"/>
        <v>56.8566</v>
      </c>
      <c r="L1651" s="29">
        <f t="shared" si="137"/>
        <v>37</v>
      </c>
      <c r="S1651" s="29">
        <v>0</v>
      </c>
      <c r="T1651" s="292">
        <v>1023.42</v>
      </c>
      <c r="U1651" s="29">
        <v>6709.08</v>
      </c>
      <c r="V1651" s="29">
        <v>0</v>
      </c>
      <c r="W1651" s="29">
        <v>1</v>
      </c>
      <c r="X1651" s="29">
        <v>67.090800000000002</v>
      </c>
    </row>
    <row r="1652" spans="1:24">
      <c r="A1652" s="29">
        <v>38</v>
      </c>
      <c r="B1652" s="111">
        <v>1</v>
      </c>
      <c r="C1652" s="111">
        <v>312852</v>
      </c>
      <c r="D1652" s="111" t="s">
        <v>758</v>
      </c>
      <c r="E1652" s="111" t="s">
        <v>448</v>
      </c>
      <c r="F1652" s="265">
        <v>42289</v>
      </c>
      <c r="G1652" s="265">
        <v>42326</v>
      </c>
      <c r="H1652" s="111">
        <v>3098.67</v>
      </c>
      <c r="I1652" s="111">
        <f t="shared" si="135"/>
        <v>0</v>
      </c>
      <c r="J1652" s="266">
        <v>1</v>
      </c>
      <c r="K1652" s="295">
        <f t="shared" si="136"/>
        <v>30.986700000000003</v>
      </c>
      <c r="L1652" s="29">
        <f t="shared" si="137"/>
        <v>37</v>
      </c>
      <c r="S1652" s="29">
        <v>0</v>
      </c>
      <c r="T1652" s="292">
        <v>557.76</v>
      </c>
      <c r="U1652" s="29">
        <v>3656.43</v>
      </c>
      <c r="V1652" s="29">
        <v>0</v>
      </c>
      <c r="W1652" s="29">
        <v>1</v>
      </c>
      <c r="X1652" s="29">
        <v>36.564300000000003</v>
      </c>
    </row>
    <row r="1653" spans="1:24">
      <c r="A1653" s="29">
        <v>39</v>
      </c>
      <c r="B1653" s="111">
        <v>1</v>
      </c>
      <c r="C1653" s="111">
        <v>312851</v>
      </c>
      <c r="D1653" s="111" t="s">
        <v>758</v>
      </c>
      <c r="E1653" s="111" t="s">
        <v>448</v>
      </c>
      <c r="F1653" s="265">
        <v>42289</v>
      </c>
      <c r="G1653" s="265">
        <v>42326</v>
      </c>
      <c r="H1653" s="111">
        <v>3663.54</v>
      </c>
      <c r="I1653" s="111">
        <f t="shared" si="135"/>
        <v>0</v>
      </c>
      <c r="J1653" s="266">
        <v>1</v>
      </c>
      <c r="K1653" s="295">
        <f t="shared" si="136"/>
        <v>36.635399999999997</v>
      </c>
      <c r="L1653" s="29">
        <f t="shared" si="137"/>
        <v>37</v>
      </c>
      <c r="S1653" s="29">
        <v>0</v>
      </c>
      <c r="T1653" s="292">
        <v>659.44</v>
      </c>
      <c r="U1653" s="29">
        <v>4322.9799999999996</v>
      </c>
      <c r="V1653" s="29">
        <v>0</v>
      </c>
      <c r="W1653" s="29">
        <v>1</v>
      </c>
      <c r="X1653" s="29">
        <v>43.229799999999997</v>
      </c>
    </row>
    <row r="1654" spans="1:24">
      <c r="A1654" s="29">
        <v>40</v>
      </c>
      <c r="B1654" s="111">
        <v>1</v>
      </c>
      <c r="C1654" s="111">
        <v>313016</v>
      </c>
      <c r="D1654" s="111" t="s">
        <v>757</v>
      </c>
      <c r="E1654" s="111" t="s">
        <v>448</v>
      </c>
      <c r="F1654" s="265">
        <v>42291</v>
      </c>
      <c r="G1654" s="265">
        <v>42335</v>
      </c>
      <c r="H1654" s="111">
        <v>451.31</v>
      </c>
      <c r="I1654" s="111">
        <f t="shared" si="135"/>
        <v>53.991525423728817</v>
      </c>
      <c r="J1654" s="266">
        <v>1</v>
      </c>
      <c r="K1654" s="295">
        <f t="shared" si="136"/>
        <v>3.9731847457627119</v>
      </c>
      <c r="L1654" s="29">
        <f t="shared" si="137"/>
        <v>44</v>
      </c>
      <c r="S1654" s="29">
        <v>0</v>
      </c>
      <c r="T1654" s="292">
        <v>81.239999999999995</v>
      </c>
      <c r="U1654" s="29">
        <v>532.54999999999995</v>
      </c>
      <c r="V1654" s="29">
        <v>63.71</v>
      </c>
      <c r="W1654" s="29">
        <v>1</v>
      </c>
      <c r="X1654" s="29">
        <v>4.6883999999999997</v>
      </c>
    </row>
    <row r="1655" spans="1:24">
      <c r="A1655" s="29">
        <v>41</v>
      </c>
      <c r="B1655" s="111">
        <v>1</v>
      </c>
      <c r="C1655" s="111">
        <v>313040</v>
      </c>
      <c r="D1655" s="111" t="s">
        <v>758</v>
      </c>
      <c r="E1655" s="111" t="s">
        <v>448</v>
      </c>
      <c r="F1655" s="265">
        <v>42291</v>
      </c>
      <c r="G1655" s="265">
        <v>42326</v>
      </c>
      <c r="H1655" s="111">
        <v>9232.51</v>
      </c>
      <c r="I1655" s="111">
        <f t="shared" si="135"/>
        <v>0</v>
      </c>
      <c r="J1655" s="266">
        <v>1</v>
      </c>
      <c r="K1655" s="295">
        <f t="shared" si="136"/>
        <v>92.325100000000006</v>
      </c>
      <c r="L1655" s="29">
        <f t="shared" si="137"/>
        <v>35</v>
      </c>
      <c r="S1655" s="29">
        <v>0</v>
      </c>
      <c r="T1655" s="292">
        <v>1661.85</v>
      </c>
      <c r="U1655" s="29">
        <v>10894.36</v>
      </c>
      <c r="V1655" s="29">
        <v>0</v>
      </c>
      <c r="W1655" s="29">
        <v>1</v>
      </c>
      <c r="X1655" s="29">
        <v>108.9436</v>
      </c>
    </row>
    <row r="1656" spans="1:24">
      <c r="A1656" s="29">
        <v>42</v>
      </c>
      <c r="B1656" s="111">
        <v>1</v>
      </c>
      <c r="C1656" s="111">
        <v>313140</v>
      </c>
      <c r="D1656" s="111" t="s">
        <v>758</v>
      </c>
      <c r="E1656" s="111" t="s">
        <v>448</v>
      </c>
      <c r="F1656" s="265">
        <v>42292</v>
      </c>
      <c r="G1656" s="265">
        <v>42326</v>
      </c>
      <c r="H1656" s="111">
        <v>5629.6</v>
      </c>
      <c r="I1656" s="111">
        <f t="shared" si="135"/>
        <v>0</v>
      </c>
      <c r="J1656" s="266">
        <v>1</v>
      </c>
      <c r="K1656" s="295">
        <f t="shared" si="136"/>
        <v>56.296000000000006</v>
      </c>
      <c r="L1656" s="29">
        <f t="shared" si="137"/>
        <v>34</v>
      </c>
      <c r="S1656" s="29">
        <v>0</v>
      </c>
      <c r="T1656" s="292">
        <v>1013.33</v>
      </c>
      <c r="U1656" s="29">
        <v>6642.93</v>
      </c>
      <c r="V1656" s="29">
        <v>0</v>
      </c>
      <c r="W1656" s="29">
        <v>1</v>
      </c>
      <c r="X1656" s="29">
        <v>66.429299999999998</v>
      </c>
    </row>
    <row r="1657" spans="1:24">
      <c r="A1657" s="29">
        <v>43</v>
      </c>
      <c r="B1657" s="111">
        <v>1</v>
      </c>
      <c r="C1657" s="111">
        <v>313228</v>
      </c>
      <c r="D1657" s="111" t="s">
        <v>758</v>
      </c>
      <c r="E1657" s="111" t="s">
        <v>448</v>
      </c>
      <c r="F1657" s="265">
        <v>42293</v>
      </c>
      <c r="G1657" s="265">
        <v>42326</v>
      </c>
      <c r="H1657" s="111">
        <v>9089.25</v>
      </c>
      <c r="I1657" s="111">
        <f t="shared" si="135"/>
        <v>0</v>
      </c>
      <c r="J1657" s="266">
        <v>1</v>
      </c>
      <c r="K1657" s="295">
        <f t="shared" si="136"/>
        <v>90.892499999999998</v>
      </c>
      <c r="L1657" s="29">
        <f t="shared" si="137"/>
        <v>33</v>
      </c>
      <c r="S1657" s="29">
        <v>0</v>
      </c>
      <c r="T1657" s="292">
        <v>1636.07</v>
      </c>
      <c r="U1657" s="29">
        <v>10725.32</v>
      </c>
      <c r="V1657" s="29">
        <v>0</v>
      </c>
      <c r="W1657" s="29">
        <v>1</v>
      </c>
      <c r="X1657" s="29">
        <v>107.25320000000001</v>
      </c>
    </row>
    <row r="1658" spans="1:24">
      <c r="A1658" s="29">
        <v>44</v>
      </c>
      <c r="B1658" s="111">
        <v>1</v>
      </c>
      <c r="C1658" s="111">
        <v>313229</v>
      </c>
      <c r="D1658" s="111" t="s">
        <v>758</v>
      </c>
      <c r="E1658" s="111" t="s">
        <v>448</v>
      </c>
      <c r="F1658" s="265">
        <v>42293</v>
      </c>
      <c r="G1658" s="265">
        <v>42326</v>
      </c>
      <c r="H1658" s="111">
        <v>1527.35</v>
      </c>
      <c r="I1658" s="111">
        <f t="shared" si="135"/>
        <v>0</v>
      </c>
      <c r="J1658" s="266">
        <v>1</v>
      </c>
      <c r="K1658" s="295">
        <f t="shared" si="136"/>
        <v>15.273499999999999</v>
      </c>
      <c r="L1658" s="29">
        <f t="shared" si="137"/>
        <v>33</v>
      </c>
      <c r="S1658" s="29">
        <v>0</v>
      </c>
      <c r="T1658" s="292">
        <v>274.92</v>
      </c>
      <c r="U1658" s="29">
        <v>1802.27</v>
      </c>
      <c r="V1658" s="29">
        <v>0</v>
      </c>
      <c r="W1658" s="29">
        <v>1</v>
      </c>
      <c r="X1658" s="29">
        <v>18.0227</v>
      </c>
    </row>
    <row r="1659" spans="1:24">
      <c r="A1659" s="29">
        <v>45</v>
      </c>
      <c r="B1659" s="111">
        <v>6</v>
      </c>
      <c r="C1659" s="111">
        <v>1133</v>
      </c>
      <c r="D1659" s="111" t="s">
        <v>381</v>
      </c>
      <c r="E1659" s="111" t="s">
        <v>382</v>
      </c>
      <c r="F1659" s="265">
        <v>42294</v>
      </c>
      <c r="G1659" s="265">
        <v>42333</v>
      </c>
      <c r="H1659" s="111">
        <v>2630.51</v>
      </c>
      <c r="I1659" s="111">
        <f t="shared" si="135"/>
        <v>0</v>
      </c>
      <c r="J1659" s="266">
        <v>1</v>
      </c>
      <c r="K1659" s="295">
        <f t="shared" si="136"/>
        <v>26.305100000000003</v>
      </c>
      <c r="L1659" s="29">
        <f t="shared" si="137"/>
        <v>39</v>
      </c>
      <c r="S1659" s="29">
        <v>0</v>
      </c>
      <c r="T1659" s="292">
        <v>473.49</v>
      </c>
      <c r="U1659" s="29">
        <v>3104</v>
      </c>
      <c r="V1659" s="29">
        <v>0</v>
      </c>
      <c r="W1659" s="29">
        <v>1</v>
      </c>
      <c r="X1659" s="29">
        <v>31.04</v>
      </c>
    </row>
    <row r="1660" spans="1:24">
      <c r="A1660" s="29">
        <v>46</v>
      </c>
      <c r="B1660" s="111">
        <v>1</v>
      </c>
      <c r="C1660" s="111">
        <v>313310</v>
      </c>
      <c r="D1660" s="111" t="s">
        <v>758</v>
      </c>
      <c r="E1660" s="111" t="s">
        <v>448</v>
      </c>
      <c r="F1660" s="265">
        <v>42294</v>
      </c>
      <c r="G1660" s="265">
        <v>42338</v>
      </c>
      <c r="H1660" s="111">
        <v>324.27</v>
      </c>
      <c r="I1660" s="111">
        <f t="shared" si="135"/>
        <v>0</v>
      </c>
      <c r="J1660" s="266">
        <v>1</v>
      </c>
      <c r="K1660" s="295">
        <f t="shared" si="136"/>
        <v>3.2426999999999997</v>
      </c>
      <c r="L1660" s="29">
        <f t="shared" si="137"/>
        <v>44</v>
      </c>
      <c r="S1660" s="29">
        <v>0</v>
      </c>
      <c r="T1660" s="292">
        <v>58.37</v>
      </c>
      <c r="U1660" s="29">
        <v>382.64</v>
      </c>
      <c r="V1660" s="29">
        <v>0</v>
      </c>
      <c r="W1660" s="29">
        <v>1</v>
      </c>
      <c r="X1660" s="29">
        <v>3.8264</v>
      </c>
    </row>
    <row r="1661" spans="1:24">
      <c r="A1661" s="29">
        <v>47</v>
      </c>
      <c r="B1661" s="111">
        <v>1</v>
      </c>
      <c r="C1661" s="111">
        <v>313381</v>
      </c>
      <c r="D1661" s="111" t="s">
        <v>758</v>
      </c>
      <c r="E1661" s="111" t="s">
        <v>448</v>
      </c>
      <c r="F1661" s="265">
        <v>42296</v>
      </c>
      <c r="G1661" s="265">
        <v>42338</v>
      </c>
      <c r="H1661" s="111">
        <v>1712.64</v>
      </c>
      <c r="I1661" s="111">
        <f t="shared" si="135"/>
        <v>0</v>
      </c>
      <c r="J1661" s="266">
        <v>1</v>
      </c>
      <c r="K1661" s="295">
        <f t="shared" si="136"/>
        <v>17.1264</v>
      </c>
      <c r="L1661" s="29">
        <f t="shared" si="137"/>
        <v>42</v>
      </c>
      <c r="S1661" s="29">
        <v>0</v>
      </c>
      <c r="T1661" s="292">
        <v>308.27999999999997</v>
      </c>
      <c r="U1661" s="29">
        <v>2020.92</v>
      </c>
      <c r="V1661" s="29">
        <v>0</v>
      </c>
      <c r="W1661" s="29">
        <v>1</v>
      </c>
      <c r="X1661" s="29">
        <v>20.209199999999999</v>
      </c>
    </row>
    <row r="1662" spans="1:24">
      <c r="A1662" s="29">
        <v>48</v>
      </c>
      <c r="B1662" s="111">
        <v>6</v>
      </c>
      <c r="C1662" s="111">
        <v>1135</v>
      </c>
      <c r="D1662" s="111" t="s">
        <v>458</v>
      </c>
      <c r="E1662" s="111" t="s">
        <v>448</v>
      </c>
      <c r="F1662" s="265">
        <v>42296</v>
      </c>
      <c r="G1662" s="265">
        <v>42317</v>
      </c>
      <c r="H1662" s="111">
        <v>7389.83</v>
      </c>
      <c r="I1662" s="111">
        <f t="shared" si="135"/>
        <v>0</v>
      </c>
      <c r="J1662" s="266">
        <v>1</v>
      </c>
      <c r="K1662" s="295">
        <f t="shared" si="136"/>
        <v>73.898300000000006</v>
      </c>
      <c r="L1662" s="29">
        <f t="shared" si="137"/>
        <v>21</v>
      </c>
      <c r="S1662" s="29">
        <v>0</v>
      </c>
      <c r="T1662" s="292">
        <v>1330.17</v>
      </c>
      <c r="U1662" s="29">
        <v>8720</v>
      </c>
      <c r="V1662" s="29">
        <v>0</v>
      </c>
      <c r="W1662" s="29">
        <v>1</v>
      </c>
      <c r="X1662" s="29">
        <v>87.2</v>
      </c>
    </row>
    <row r="1663" spans="1:24">
      <c r="A1663" s="29">
        <v>49</v>
      </c>
      <c r="B1663" s="111">
        <v>1</v>
      </c>
      <c r="C1663" s="111">
        <v>313460</v>
      </c>
      <c r="D1663" s="111" t="s">
        <v>757</v>
      </c>
      <c r="E1663" s="111" t="s">
        <v>448</v>
      </c>
      <c r="F1663" s="265">
        <v>42297</v>
      </c>
      <c r="G1663" s="265">
        <v>42335</v>
      </c>
      <c r="H1663" s="111">
        <v>210.11</v>
      </c>
      <c r="I1663" s="111">
        <f t="shared" si="135"/>
        <v>0</v>
      </c>
      <c r="J1663" s="266">
        <v>1</v>
      </c>
      <c r="K1663" s="295">
        <f t="shared" si="136"/>
        <v>2.1011000000000002</v>
      </c>
      <c r="L1663" s="29">
        <f t="shared" si="137"/>
        <v>38</v>
      </c>
      <c r="S1663" s="29">
        <v>0</v>
      </c>
      <c r="T1663" s="292">
        <v>37.82</v>
      </c>
      <c r="U1663" s="29">
        <v>247.93</v>
      </c>
      <c r="V1663" s="29">
        <v>0</v>
      </c>
      <c r="W1663" s="29">
        <v>1</v>
      </c>
      <c r="X1663" s="29">
        <v>2.4792999999999998</v>
      </c>
    </row>
    <row r="1664" spans="1:24">
      <c r="A1664" s="29">
        <v>50</v>
      </c>
      <c r="B1664" s="111">
        <v>1</v>
      </c>
      <c r="C1664" s="111">
        <v>313461</v>
      </c>
      <c r="D1664" s="111" t="s">
        <v>758</v>
      </c>
      <c r="E1664" s="111" t="s">
        <v>448</v>
      </c>
      <c r="F1664" s="265">
        <v>42297</v>
      </c>
      <c r="G1664" s="265">
        <v>42338</v>
      </c>
      <c r="H1664" s="111">
        <v>483.34</v>
      </c>
      <c r="I1664" s="111">
        <f t="shared" si="135"/>
        <v>0</v>
      </c>
      <c r="J1664" s="266">
        <v>1</v>
      </c>
      <c r="K1664" s="295">
        <f t="shared" si="136"/>
        <v>4.8334000000000001</v>
      </c>
      <c r="L1664" s="29">
        <f t="shared" si="137"/>
        <v>41</v>
      </c>
      <c r="S1664" s="29">
        <v>0</v>
      </c>
      <c r="T1664" s="292">
        <v>87</v>
      </c>
      <c r="U1664" s="29">
        <v>570.34</v>
      </c>
      <c r="V1664" s="29">
        <v>0</v>
      </c>
      <c r="W1664" s="29">
        <v>1</v>
      </c>
      <c r="X1664" s="29">
        <v>5.7034000000000002</v>
      </c>
    </row>
    <row r="1665" spans="1:24">
      <c r="A1665" s="29">
        <v>51</v>
      </c>
      <c r="B1665" s="111">
        <v>1</v>
      </c>
      <c r="C1665" s="111">
        <v>313532</v>
      </c>
      <c r="D1665" s="111" t="s">
        <v>767</v>
      </c>
      <c r="E1665" s="111" t="s">
        <v>448</v>
      </c>
      <c r="F1665" s="265">
        <v>42297</v>
      </c>
      <c r="G1665" s="265">
        <v>42317</v>
      </c>
      <c r="H1665" s="111">
        <v>111.13</v>
      </c>
      <c r="I1665" s="111">
        <f t="shared" si="135"/>
        <v>0</v>
      </c>
      <c r="J1665" s="266">
        <v>1</v>
      </c>
      <c r="K1665" s="295">
        <f t="shared" si="136"/>
        <v>1.1113</v>
      </c>
      <c r="L1665" s="29">
        <f t="shared" si="137"/>
        <v>20</v>
      </c>
      <c r="S1665" s="29">
        <v>0</v>
      </c>
      <c r="T1665" s="292">
        <v>20</v>
      </c>
      <c r="U1665" s="29">
        <v>131.13</v>
      </c>
      <c r="V1665" s="29">
        <v>0</v>
      </c>
      <c r="W1665" s="29">
        <v>1</v>
      </c>
      <c r="X1665" s="29">
        <v>1.3112999999999999</v>
      </c>
    </row>
    <row r="1666" spans="1:24">
      <c r="A1666" s="29">
        <v>52</v>
      </c>
      <c r="B1666" s="111">
        <v>1</v>
      </c>
      <c r="C1666" s="111">
        <v>313606</v>
      </c>
      <c r="D1666" s="111" t="s">
        <v>757</v>
      </c>
      <c r="E1666" s="111" t="s">
        <v>448</v>
      </c>
      <c r="F1666" s="265">
        <v>42298</v>
      </c>
      <c r="G1666" s="265">
        <v>42335</v>
      </c>
      <c r="H1666" s="111">
        <v>135.9</v>
      </c>
      <c r="I1666" s="111">
        <f t="shared" si="135"/>
        <v>0</v>
      </c>
      <c r="J1666" s="266">
        <v>1</v>
      </c>
      <c r="K1666" s="295">
        <f t="shared" si="136"/>
        <v>1.359</v>
      </c>
      <c r="L1666" s="29">
        <f t="shared" si="137"/>
        <v>37</v>
      </c>
      <c r="S1666" s="29">
        <v>0</v>
      </c>
      <c r="T1666" s="292">
        <v>24.46</v>
      </c>
      <c r="U1666" s="29">
        <v>160.36000000000001</v>
      </c>
      <c r="V1666" s="29">
        <v>0</v>
      </c>
      <c r="W1666" s="29">
        <v>1</v>
      </c>
      <c r="X1666" s="29">
        <v>1.6035999999999999</v>
      </c>
    </row>
    <row r="1667" spans="1:24">
      <c r="A1667" s="29">
        <v>53</v>
      </c>
      <c r="B1667" s="111">
        <v>1</v>
      </c>
      <c r="C1667" s="111">
        <v>313671</v>
      </c>
      <c r="D1667" s="111" t="s">
        <v>760</v>
      </c>
      <c r="E1667" s="111" t="s">
        <v>448</v>
      </c>
      <c r="F1667" s="265">
        <v>42299</v>
      </c>
      <c r="G1667" s="265">
        <v>42335</v>
      </c>
      <c r="H1667" s="111">
        <v>111.13</v>
      </c>
      <c r="I1667" s="111">
        <f t="shared" si="135"/>
        <v>0</v>
      </c>
      <c r="J1667" s="266">
        <v>1</v>
      </c>
      <c r="K1667" s="295">
        <f t="shared" si="136"/>
        <v>1.1113</v>
      </c>
      <c r="L1667" s="29">
        <f t="shared" si="137"/>
        <v>36</v>
      </c>
      <c r="S1667" s="29">
        <v>0</v>
      </c>
      <c r="T1667" s="292">
        <v>20</v>
      </c>
      <c r="U1667" s="29">
        <v>131.13</v>
      </c>
      <c r="V1667" s="29">
        <v>0</v>
      </c>
      <c r="W1667" s="29">
        <v>1</v>
      </c>
      <c r="X1667" s="29">
        <v>1.3112999999999999</v>
      </c>
    </row>
    <row r="1668" spans="1:24">
      <c r="A1668" s="29">
        <v>54</v>
      </c>
      <c r="B1668" s="111">
        <v>1</v>
      </c>
      <c r="C1668" s="111">
        <v>313680</v>
      </c>
      <c r="D1668" s="111" t="s">
        <v>758</v>
      </c>
      <c r="E1668" s="111" t="s">
        <v>448</v>
      </c>
      <c r="F1668" s="265">
        <v>42299</v>
      </c>
      <c r="G1668" s="265">
        <v>42338</v>
      </c>
      <c r="H1668" s="111">
        <v>3460.39</v>
      </c>
      <c r="I1668" s="111">
        <f t="shared" si="135"/>
        <v>0</v>
      </c>
      <c r="J1668" s="266">
        <v>1</v>
      </c>
      <c r="K1668" s="295">
        <f t="shared" si="136"/>
        <v>34.603900000000003</v>
      </c>
      <c r="L1668" s="29">
        <f t="shared" si="137"/>
        <v>39</v>
      </c>
      <c r="S1668" s="29">
        <v>0</v>
      </c>
      <c r="T1668" s="292">
        <v>622.87</v>
      </c>
      <c r="U1668" s="29">
        <v>4083.26</v>
      </c>
      <c r="V1668" s="29">
        <v>0</v>
      </c>
      <c r="W1668" s="29">
        <v>1</v>
      </c>
      <c r="X1668" s="29">
        <v>40.832599999999999</v>
      </c>
    </row>
    <row r="1669" spans="1:24">
      <c r="A1669" s="29">
        <v>55</v>
      </c>
      <c r="B1669" s="111">
        <v>1</v>
      </c>
      <c r="C1669" s="111">
        <v>313751</v>
      </c>
      <c r="D1669" s="111" t="s">
        <v>758</v>
      </c>
      <c r="E1669" s="111" t="s">
        <v>448</v>
      </c>
      <c r="F1669" s="265">
        <v>42300</v>
      </c>
      <c r="G1669" s="265">
        <v>42338</v>
      </c>
      <c r="H1669" s="111">
        <v>593.70000000000005</v>
      </c>
      <c r="I1669" s="111">
        <f t="shared" si="135"/>
        <v>0</v>
      </c>
      <c r="J1669" s="266">
        <v>1</v>
      </c>
      <c r="K1669" s="295">
        <f t="shared" si="136"/>
        <v>5.9370000000000003</v>
      </c>
      <c r="L1669" s="29">
        <f t="shared" si="137"/>
        <v>38</v>
      </c>
      <c r="S1669" s="29">
        <v>0</v>
      </c>
      <c r="T1669" s="292">
        <v>106.87</v>
      </c>
      <c r="U1669" s="29">
        <v>700.57</v>
      </c>
      <c r="V1669" s="29">
        <v>0</v>
      </c>
      <c r="W1669" s="29">
        <v>1</v>
      </c>
      <c r="X1669" s="29">
        <v>7.0057</v>
      </c>
    </row>
    <row r="1670" spans="1:24">
      <c r="A1670" s="29">
        <v>56</v>
      </c>
      <c r="B1670" s="111">
        <v>1</v>
      </c>
      <c r="C1670" s="111">
        <v>313752</v>
      </c>
      <c r="D1670" s="111" t="s">
        <v>758</v>
      </c>
      <c r="E1670" s="111" t="s">
        <v>448</v>
      </c>
      <c r="F1670" s="265">
        <v>42300</v>
      </c>
      <c r="G1670" s="265">
        <v>42338</v>
      </c>
      <c r="H1670" s="111">
        <v>11616.04</v>
      </c>
      <c r="I1670" s="111">
        <f t="shared" si="135"/>
        <v>0</v>
      </c>
      <c r="J1670" s="266">
        <v>1</v>
      </c>
      <c r="K1670" s="295">
        <f t="shared" si="136"/>
        <v>116.16040000000001</v>
      </c>
      <c r="L1670" s="29">
        <f t="shared" si="137"/>
        <v>38</v>
      </c>
      <c r="S1670" s="29">
        <v>0</v>
      </c>
      <c r="T1670" s="292">
        <v>2090.89</v>
      </c>
      <c r="U1670" s="29">
        <v>13706.93</v>
      </c>
      <c r="V1670" s="29">
        <v>0</v>
      </c>
      <c r="W1670" s="29">
        <v>1</v>
      </c>
      <c r="X1670" s="29">
        <v>137.0693</v>
      </c>
    </row>
    <row r="1671" spans="1:24">
      <c r="A1671" s="29">
        <v>57</v>
      </c>
      <c r="B1671" s="111">
        <v>1</v>
      </c>
      <c r="C1671" s="111">
        <v>313754</v>
      </c>
      <c r="D1671" s="111" t="s">
        <v>758</v>
      </c>
      <c r="E1671" s="111" t="s">
        <v>448</v>
      </c>
      <c r="F1671" s="265">
        <v>42300</v>
      </c>
      <c r="G1671" s="265">
        <v>42338</v>
      </c>
      <c r="H1671" s="111">
        <v>3158.7</v>
      </c>
      <c r="I1671" s="111">
        <f t="shared" si="135"/>
        <v>0</v>
      </c>
      <c r="J1671" s="266">
        <v>1</v>
      </c>
      <c r="K1671" s="295">
        <f t="shared" si="136"/>
        <v>31.587</v>
      </c>
      <c r="L1671" s="29">
        <f t="shared" si="137"/>
        <v>38</v>
      </c>
      <c r="S1671" s="29">
        <v>0</v>
      </c>
      <c r="T1671" s="292">
        <v>568.57000000000005</v>
      </c>
      <c r="U1671" s="29">
        <v>3727.27</v>
      </c>
      <c r="V1671" s="29">
        <v>0</v>
      </c>
      <c r="W1671" s="29">
        <v>1</v>
      </c>
      <c r="X1671" s="29">
        <v>37.2727</v>
      </c>
    </row>
    <row r="1672" spans="1:24">
      <c r="A1672" s="29">
        <v>58</v>
      </c>
      <c r="B1672" s="111">
        <v>1</v>
      </c>
      <c r="C1672" s="111">
        <v>313750</v>
      </c>
      <c r="D1672" s="111" t="s">
        <v>758</v>
      </c>
      <c r="E1672" s="111" t="s">
        <v>448</v>
      </c>
      <c r="F1672" s="265">
        <v>42300</v>
      </c>
      <c r="G1672" s="265">
        <v>42338</v>
      </c>
      <c r="H1672" s="111">
        <v>107.1</v>
      </c>
      <c r="I1672" s="111">
        <f t="shared" si="135"/>
        <v>0</v>
      </c>
      <c r="J1672" s="266">
        <v>1</v>
      </c>
      <c r="K1672" s="295">
        <f t="shared" si="136"/>
        <v>1.071</v>
      </c>
      <c r="L1672" s="29">
        <f t="shared" si="137"/>
        <v>38</v>
      </c>
      <c r="S1672" s="29">
        <v>0</v>
      </c>
      <c r="T1672" s="292">
        <v>19.28</v>
      </c>
      <c r="U1672" s="29">
        <v>126.38</v>
      </c>
      <c r="V1672" s="29">
        <v>0</v>
      </c>
      <c r="W1672" s="29">
        <v>1</v>
      </c>
      <c r="X1672" s="29">
        <v>1.2638</v>
      </c>
    </row>
    <row r="1673" spans="1:24">
      <c r="A1673" s="29">
        <v>59</v>
      </c>
      <c r="B1673" s="111">
        <v>1</v>
      </c>
      <c r="C1673" s="111">
        <v>313806</v>
      </c>
      <c r="D1673" s="111" t="s">
        <v>772</v>
      </c>
      <c r="E1673" s="111" t="s">
        <v>448</v>
      </c>
      <c r="F1673" s="265">
        <v>42300</v>
      </c>
      <c r="G1673" s="265">
        <v>42312</v>
      </c>
      <c r="H1673" s="111">
        <v>15615.48</v>
      </c>
      <c r="I1673" s="111">
        <f t="shared" si="135"/>
        <v>0</v>
      </c>
      <c r="J1673" s="266">
        <v>0.5</v>
      </c>
      <c r="K1673" s="295">
        <f t="shared" si="136"/>
        <v>78.077399999999997</v>
      </c>
      <c r="L1673" s="29">
        <f t="shared" si="137"/>
        <v>12</v>
      </c>
      <c r="S1673" s="29">
        <v>0</v>
      </c>
      <c r="T1673" s="292">
        <v>2810.79</v>
      </c>
      <c r="U1673" s="29">
        <v>18426.27</v>
      </c>
      <c r="V1673" s="29">
        <v>0</v>
      </c>
      <c r="W1673" s="29">
        <v>1</v>
      </c>
      <c r="X1673" s="29">
        <v>184.2627</v>
      </c>
    </row>
    <row r="1674" spans="1:24">
      <c r="A1674" s="29">
        <v>60</v>
      </c>
      <c r="B1674" s="111">
        <v>1</v>
      </c>
      <c r="C1674" s="111">
        <v>313815</v>
      </c>
      <c r="D1674" s="111" t="s">
        <v>767</v>
      </c>
      <c r="E1674" s="111" t="s">
        <v>448</v>
      </c>
      <c r="F1674" s="265">
        <v>42300</v>
      </c>
      <c r="G1674" s="265">
        <v>42317</v>
      </c>
      <c r="H1674" s="111">
        <v>141.75</v>
      </c>
      <c r="I1674" s="111">
        <f t="shared" si="135"/>
        <v>0</v>
      </c>
      <c r="J1674" s="266">
        <v>1</v>
      </c>
      <c r="K1674" s="295">
        <f t="shared" si="136"/>
        <v>1.4175</v>
      </c>
      <c r="L1674" s="29">
        <f t="shared" si="137"/>
        <v>17</v>
      </c>
      <c r="S1674" s="29">
        <v>0</v>
      </c>
      <c r="T1674" s="292">
        <v>25.52</v>
      </c>
      <c r="U1674" s="29">
        <v>167.27</v>
      </c>
      <c r="V1674" s="29">
        <v>0</v>
      </c>
      <c r="W1674" s="29">
        <v>1</v>
      </c>
      <c r="X1674" s="29">
        <v>1.6727000000000001</v>
      </c>
    </row>
    <row r="1675" spans="1:24">
      <c r="A1675" s="29">
        <v>61</v>
      </c>
      <c r="B1675" s="111">
        <v>1</v>
      </c>
      <c r="C1675" s="111">
        <v>313764</v>
      </c>
      <c r="D1675" s="111" t="s">
        <v>758</v>
      </c>
      <c r="E1675" s="111" t="s">
        <v>448</v>
      </c>
      <c r="F1675" s="265">
        <v>42300</v>
      </c>
      <c r="G1675" s="265">
        <v>42338</v>
      </c>
      <c r="H1675" s="111">
        <v>2337.91</v>
      </c>
      <c r="I1675" s="111">
        <f t="shared" si="135"/>
        <v>0</v>
      </c>
      <c r="J1675" s="266">
        <v>1</v>
      </c>
      <c r="K1675" s="295">
        <f t="shared" si="136"/>
        <v>23.379099999999998</v>
      </c>
      <c r="L1675" s="29">
        <f t="shared" si="137"/>
        <v>38</v>
      </c>
      <c r="S1675" s="29">
        <v>0</v>
      </c>
      <c r="T1675" s="292">
        <v>420.82</v>
      </c>
      <c r="U1675" s="29">
        <v>2758.73</v>
      </c>
      <c r="V1675" s="29">
        <v>0</v>
      </c>
      <c r="W1675" s="29">
        <v>1</v>
      </c>
      <c r="X1675" s="29">
        <v>27.587299999999999</v>
      </c>
    </row>
    <row r="1676" spans="1:24">
      <c r="A1676" s="29">
        <v>62</v>
      </c>
      <c r="B1676" s="111">
        <v>1</v>
      </c>
      <c r="C1676" s="111">
        <v>313841</v>
      </c>
      <c r="D1676" s="111" t="s">
        <v>757</v>
      </c>
      <c r="E1676" s="111" t="s">
        <v>448</v>
      </c>
      <c r="F1676" s="265">
        <v>42301</v>
      </c>
      <c r="G1676" s="265">
        <v>42335</v>
      </c>
      <c r="H1676" s="111">
        <v>296.58999999999997</v>
      </c>
      <c r="I1676" s="111">
        <f t="shared" si="135"/>
        <v>0</v>
      </c>
      <c r="J1676" s="266">
        <v>1</v>
      </c>
      <c r="K1676" s="295">
        <f t="shared" si="136"/>
        <v>2.9659</v>
      </c>
      <c r="L1676" s="29">
        <f t="shared" si="137"/>
        <v>34</v>
      </c>
      <c r="S1676" s="29">
        <v>0</v>
      </c>
      <c r="T1676" s="292">
        <v>53.39</v>
      </c>
      <c r="U1676" s="29">
        <v>349.98</v>
      </c>
      <c r="V1676" s="29">
        <v>0</v>
      </c>
      <c r="W1676" s="29">
        <v>1</v>
      </c>
      <c r="X1676" s="29">
        <v>3.4998</v>
      </c>
    </row>
    <row r="1677" spans="1:24">
      <c r="A1677" s="29">
        <v>63</v>
      </c>
      <c r="B1677" s="111">
        <v>1</v>
      </c>
      <c r="C1677" s="111">
        <v>313854</v>
      </c>
      <c r="D1677" s="111" t="s">
        <v>758</v>
      </c>
      <c r="E1677" s="111" t="s">
        <v>448</v>
      </c>
      <c r="F1677" s="265">
        <v>42301</v>
      </c>
      <c r="G1677" s="265">
        <v>42338</v>
      </c>
      <c r="H1677" s="111">
        <v>4624.66</v>
      </c>
      <c r="I1677" s="111">
        <f t="shared" si="135"/>
        <v>0</v>
      </c>
      <c r="J1677" s="266">
        <v>1</v>
      </c>
      <c r="K1677" s="295">
        <f t="shared" si="136"/>
        <v>46.246600000000001</v>
      </c>
      <c r="L1677" s="29">
        <f t="shared" si="137"/>
        <v>37</v>
      </c>
      <c r="S1677" s="29">
        <v>0</v>
      </c>
      <c r="T1677" s="292">
        <v>832.44</v>
      </c>
      <c r="U1677" s="29">
        <v>5457.1</v>
      </c>
      <c r="V1677" s="29">
        <v>0</v>
      </c>
      <c r="W1677" s="29">
        <v>1</v>
      </c>
      <c r="X1677" s="29">
        <v>54.570999999999998</v>
      </c>
    </row>
    <row r="1678" spans="1:24">
      <c r="A1678" s="29">
        <v>64</v>
      </c>
      <c r="B1678" s="111">
        <v>1</v>
      </c>
      <c r="C1678" s="111">
        <v>313901</v>
      </c>
      <c r="D1678" s="111" t="s">
        <v>772</v>
      </c>
      <c r="E1678" s="111" t="s">
        <v>448</v>
      </c>
      <c r="F1678" s="265">
        <v>42303</v>
      </c>
      <c r="G1678" s="265">
        <v>42312</v>
      </c>
      <c r="H1678" s="111">
        <v>10848</v>
      </c>
      <c r="I1678" s="111">
        <f t="shared" si="135"/>
        <v>0</v>
      </c>
      <c r="J1678" s="266">
        <v>0.5</v>
      </c>
      <c r="K1678" s="295">
        <f t="shared" si="136"/>
        <v>54.24</v>
      </c>
      <c r="L1678" s="29">
        <f t="shared" si="137"/>
        <v>9</v>
      </c>
      <c r="S1678" s="29">
        <v>0</v>
      </c>
      <c r="T1678" s="292">
        <v>1952.64</v>
      </c>
      <c r="U1678" s="29">
        <v>12800.64</v>
      </c>
      <c r="V1678" s="29">
        <v>0</v>
      </c>
      <c r="W1678" s="29">
        <v>1</v>
      </c>
      <c r="X1678" s="29">
        <v>128.00640000000001</v>
      </c>
    </row>
    <row r="1679" spans="1:24">
      <c r="A1679" s="29">
        <v>65</v>
      </c>
      <c r="B1679" s="111">
        <v>1</v>
      </c>
      <c r="C1679" s="111">
        <v>313913</v>
      </c>
      <c r="D1679" s="111" t="s">
        <v>757</v>
      </c>
      <c r="E1679" s="111" t="s">
        <v>448</v>
      </c>
      <c r="F1679" s="265">
        <v>42303</v>
      </c>
      <c r="G1679" s="265">
        <v>42335</v>
      </c>
      <c r="H1679" s="111">
        <v>226.56</v>
      </c>
      <c r="I1679" s="111">
        <f t="shared" ref="I1679:I1703" si="138">V1679/1.18</f>
        <v>0</v>
      </c>
      <c r="J1679" s="266">
        <v>1</v>
      </c>
      <c r="K1679" s="295">
        <f t="shared" ref="K1679:K1698" si="139">(H1679-I1679)*J1679%</f>
        <v>2.2656000000000001</v>
      </c>
      <c r="L1679" s="29">
        <f t="shared" ref="L1679:L1703" si="140">G1679-F1679</f>
        <v>32</v>
      </c>
      <c r="S1679" s="29">
        <v>0</v>
      </c>
      <c r="T1679" s="292">
        <v>40.78</v>
      </c>
      <c r="U1679" s="29">
        <v>267.33999999999997</v>
      </c>
      <c r="V1679" s="29">
        <v>0</v>
      </c>
      <c r="W1679" s="29">
        <v>1</v>
      </c>
      <c r="X1679" s="29">
        <v>2.6734</v>
      </c>
    </row>
    <row r="1680" spans="1:24">
      <c r="A1680" s="29">
        <v>66</v>
      </c>
      <c r="B1680" s="111">
        <v>6</v>
      </c>
      <c r="C1680" s="111">
        <v>1152</v>
      </c>
      <c r="D1680" s="111" t="s">
        <v>467</v>
      </c>
      <c r="E1680" s="111" t="s">
        <v>448</v>
      </c>
      <c r="F1680" s="265">
        <v>42304</v>
      </c>
      <c r="G1680" s="265">
        <v>42321</v>
      </c>
      <c r="H1680" s="111">
        <v>2272.88</v>
      </c>
      <c r="I1680" s="111">
        <f t="shared" si="138"/>
        <v>0</v>
      </c>
      <c r="J1680" s="266">
        <v>1</v>
      </c>
      <c r="K1680" s="295">
        <f t="shared" si="139"/>
        <v>22.728800000000003</v>
      </c>
      <c r="L1680" s="29">
        <f t="shared" si="140"/>
        <v>17</v>
      </c>
      <c r="S1680" s="29">
        <v>0</v>
      </c>
      <c r="T1680" s="292">
        <v>409.12</v>
      </c>
      <c r="U1680" s="29">
        <v>2682</v>
      </c>
      <c r="V1680" s="29">
        <v>0</v>
      </c>
      <c r="W1680" s="29">
        <v>1</v>
      </c>
      <c r="X1680" s="29">
        <v>26.82</v>
      </c>
    </row>
    <row r="1681" spans="1:24">
      <c r="A1681" s="29">
        <v>67</v>
      </c>
      <c r="B1681" s="111">
        <v>1</v>
      </c>
      <c r="C1681" s="111">
        <v>313977</v>
      </c>
      <c r="D1681" s="111" t="s">
        <v>758</v>
      </c>
      <c r="E1681" s="111" t="s">
        <v>448</v>
      </c>
      <c r="F1681" s="265">
        <v>42304</v>
      </c>
      <c r="G1681" s="265">
        <v>42338</v>
      </c>
      <c r="H1681" s="111">
        <v>260.58999999999997</v>
      </c>
      <c r="I1681" s="111">
        <f t="shared" si="138"/>
        <v>0</v>
      </c>
      <c r="J1681" s="266">
        <v>1</v>
      </c>
      <c r="K1681" s="295">
        <f t="shared" si="139"/>
        <v>2.6058999999999997</v>
      </c>
      <c r="L1681" s="29">
        <f t="shared" si="140"/>
        <v>34</v>
      </c>
      <c r="S1681" s="29">
        <v>0</v>
      </c>
      <c r="T1681" s="292">
        <v>46.91</v>
      </c>
      <c r="U1681" s="29">
        <v>307.5</v>
      </c>
      <c r="V1681" s="29">
        <v>0</v>
      </c>
      <c r="W1681" s="29">
        <v>1</v>
      </c>
      <c r="X1681" s="29">
        <v>3.0750000000000002</v>
      </c>
    </row>
    <row r="1682" spans="1:24">
      <c r="A1682" s="29">
        <v>68</v>
      </c>
      <c r="B1682" s="111">
        <v>1</v>
      </c>
      <c r="C1682" s="111">
        <v>313998</v>
      </c>
      <c r="D1682" s="111" t="s">
        <v>757</v>
      </c>
      <c r="E1682" s="111" t="s">
        <v>448</v>
      </c>
      <c r="F1682" s="265">
        <v>42304</v>
      </c>
      <c r="G1682" s="265">
        <v>42335</v>
      </c>
      <c r="H1682" s="111">
        <v>254.9</v>
      </c>
      <c r="I1682" s="111">
        <f t="shared" si="138"/>
        <v>0</v>
      </c>
      <c r="J1682" s="266">
        <v>1</v>
      </c>
      <c r="K1682" s="295">
        <f t="shared" si="139"/>
        <v>2.5489999999999999</v>
      </c>
      <c r="L1682" s="29">
        <f t="shared" si="140"/>
        <v>31</v>
      </c>
      <c r="S1682" s="29">
        <v>0</v>
      </c>
      <c r="T1682" s="292">
        <v>45.88</v>
      </c>
      <c r="U1682" s="29">
        <v>300.77999999999997</v>
      </c>
      <c r="V1682" s="29">
        <v>0</v>
      </c>
      <c r="W1682" s="29">
        <v>1</v>
      </c>
      <c r="X1682" s="29">
        <v>3.0078</v>
      </c>
    </row>
    <row r="1683" spans="1:24">
      <c r="A1683" s="29">
        <v>69</v>
      </c>
      <c r="B1683" s="111">
        <v>1</v>
      </c>
      <c r="C1683" s="111">
        <v>314096</v>
      </c>
      <c r="D1683" s="111" t="s">
        <v>764</v>
      </c>
      <c r="E1683" s="111" t="s">
        <v>448</v>
      </c>
      <c r="F1683" s="265">
        <v>42305</v>
      </c>
      <c r="G1683" s="265">
        <v>42312</v>
      </c>
      <c r="H1683" s="111">
        <v>813.6</v>
      </c>
      <c r="I1683" s="111">
        <f t="shared" si="138"/>
        <v>0</v>
      </c>
      <c r="J1683" s="266">
        <v>0.5</v>
      </c>
      <c r="K1683" s="295">
        <f t="shared" si="139"/>
        <v>4.0680000000000005</v>
      </c>
      <c r="L1683" s="29">
        <f t="shared" si="140"/>
        <v>7</v>
      </c>
      <c r="S1683" s="29">
        <v>0</v>
      </c>
      <c r="T1683" s="292">
        <v>146.44999999999999</v>
      </c>
      <c r="U1683" s="29">
        <v>960.05</v>
      </c>
      <c r="V1683" s="29">
        <v>0</v>
      </c>
      <c r="W1683" s="29">
        <v>1</v>
      </c>
      <c r="X1683" s="29">
        <v>9.6005000000000003</v>
      </c>
    </row>
    <row r="1684" spans="1:24">
      <c r="A1684" s="29">
        <v>70</v>
      </c>
      <c r="B1684" s="111">
        <v>1</v>
      </c>
      <c r="C1684" s="111">
        <v>314243</v>
      </c>
      <c r="D1684" s="111" t="s">
        <v>758</v>
      </c>
      <c r="E1684" s="111" t="s">
        <v>448</v>
      </c>
      <c r="F1684" s="265">
        <v>42306</v>
      </c>
      <c r="G1684" s="265">
        <v>42338</v>
      </c>
      <c r="H1684" s="111">
        <v>3158.7</v>
      </c>
      <c r="I1684" s="111">
        <f t="shared" si="138"/>
        <v>0</v>
      </c>
      <c r="J1684" s="266">
        <v>1</v>
      </c>
      <c r="K1684" s="295">
        <f t="shared" si="139"/>
        <v>31.587</v>
      </c>
      <c r="L1684" s="29">
        <f t="shared" si="140"/>
        <v>32</v>
      </c>
      <c r="S1684" s="29">
        <v>0</v>
      </c>
      <c r="T1684" s="292">
        <v>568.57000000000005</v>
      </c>
      <c r="U1684" s="29">
        <v>3727.27</v>
      </c>
      <c r="V1684" s="29">
        <v>0</v>
      </c>
      <c r="W1684" s="29">
        <v>1</v>
      </c>
      <c r="X1684" s="29">
        <v>37.2727</v>
      </c>
    </row>
    <row r="1685" spans="1:24">
      <c r="A1685" s="29">
        <v>71</v>
      </c>
      <c r="B1685" s="111">
        <v>1</v>
      </c>
      <c r="C1685" s="111">
        <v>314244</v>
      </c>
      <c r="D1685" s="111" t="s">
        <v>758</v>
      </c>
      <c r="E1685" s="111" t="s">
        <v>448</v>
      </c>
      <c r="F1685" s="265">
        <v>42306</v>
      </c>
      <c r="G1685" s="265">
        <v>42338</v>
      </c>
      <c r="H1685" s="111">
        <v>4138.93</v>
      </c>
      <c r="I1685" s="111">
        <f t="shared" si="138"/>
        <v>0</v>
      </c>
      <c r="J1685" s="266">
        <v>1</v>
      </c>
      <c r="K1685" s="295">
        <f t="shared" si="139"/>
        <v>41.389300000000006</v>
      </c>
      <c r="L1685" s="29">
        <f t="shared" si="140"/>
        <v>32</v>
      </c>
      <c r="S1685" s="29">
        <v>0</v>
      </c>
      <c r="T1685" s="292">
        <v>745.01</v>
      </c>
      <c r="U1685" s="29">
        <v>4883.9399999999996</v>
      </c>
      <c r="V1685" s="29">
        <v>0</v>
      </c>
      <c r="W1685" s="29">
        <v>1</v>
      </c>
      <c r="X1685" s="29">
        <v>48.839399999999998</v>
      </c>
    </row>
    <row r="1686" spans="1:24">
      <c r="A1686" s="29">
        <v>72</v>
      </c>
      <c r="B1686" s="111">
        <v>1</v>
      </c>
      <c r="C1686" s="111">
        <v>314361</v>
      </c>
      <c r="D1686" s="111" t="s">
        <v>764</v>
      </c>
      <c r="E1686" s="111" t="s">
        <v>448</v>
      </c>
      <c r="F1686" s="265">
        <v>42307</v>
      </c>
      <c r="G1686" s="265">
        <v>42312</v>
      </c>
      <c r="H1686" s="111">
        <v>7261.39</v>
      </c>
      <c r="I1686" s="111">
        <f t="shared" si="138"/>
        <v>0</v>
      </c>
      <c r="J1686" s="266">
        <v>1</v>
      </c>
      <c r="K1686" s="295">
        <f t="shared" si="139"/>
        <v>72.613900000000001</v>
      </c>
      <c r="L1686" s="29">
        <f t="shared" si="140"/>
        <v>5</v>
      </c>
      <c r="S1686" s="29">
        <v>0</v>
      </c>
      <c r="T1686" s="292">
        <v>1307.05</v>
      </c>
      <c r="U1686" s="29">
        <v>8568.44</v>
      </c>
      <c r="V1686" s="29">
        <v>0</v>
      </c>
      <c r="W1686" s="29">
        <v>1</v>
      </c>
      <c r="X1686" s="29">
        <v>85.684399999999997</v>
      </c>
    </row>
    <row r="1687" spans="1:24">
      <c r="A1687" s="29">
        <v>73</v>
      </c>
      <c r="B1687" s="111">
        <v>1</v>
      </c>
      <c r="C1687" s="111">
        <v>314509</v>
      </c>
      <c r="D1687" s="111" t="s">
        <v>758</v>
      </c>
      <c r="E1687" s="111" t="s">
        <v>448</v>
      </c>
      <c r="F1687" s="265">
        <v>42308</v>
      </c>
      <c r="G1687" s="265">
        <v>42338</v>
      </c>
      <c r="H1687" s="111">
        <v>4309.8500000000004</v>
      </c>
      <c r="I1687" s="111">
        <f t="shared" si="138"/>
        <v>0</v>
      </c>
      <c r="J1687" s="266">
        <v>1</v>
      </c>
      <c r="K1687" s="295">
        <f t="shared" si="139"/>
        <v>43.098500000000001</v>
      </c>
      <c r="L1687" s="29">
        <f t="shared" si="140"/>
        <v>30</v>
      </c>
      <c r="S1687" s="29">
        <v>0</v>
      </c>
      <c r="T1687" s="292">
        <v>775.77</v>
      </c>
      <c r="U1687" s="29">
        <v>5085.62</v>
      </c>
      <c r="V1687" s="29">
        <v>0</v>
      </c>
      <c r="W1687" s="29">
        <v>1</v>
      </c>
      <c r="X1687" s="29">
        <v>50.856200000000001</v>
      </c>
    </row>
    <row r="1688" spans="1:24">
      <c r="A1688" s="29">
        <v>74</v>
      </c>
      <c r="B1688" s="111">
        <v>1</v>
      </c>
      <c r="C1688" s="111">
        <v>314507</v>
      </c>
      <c r="D1688" s="111" t="s">
        <v>758</v>
      </c>
      <c r="E1688" s="111" t="s">
        <v>448</v>
      </c>
      <c r="F1688" s="265">
        <v>42308</v>
      </c>
      <c r="G1688" s="265">
        <v>42338</v>
      </c>
      <c r="H1688" s="111">
        <v>3749.3</v>
      </c>
      <c r="I1688" s="111">
        <f t="shared" si="138"/>
        <v>0</v>
      </c>
      <c r="J1688" s="266">
        <v>1</v>
      </c>
      <c r="K1688" s="295">
        <f t="shared" si="139"/>
        <v>37.493000000000002</v>
      </c>
      <c r="L1688" s="29">
        <f t="shared" si="140"/>
        <v>30</v>
      </c>
      <c r="S1688" s="29">
        <v>0</v>
      </c>
      <c r="T1688" s="292">
        <v>674.87</v>
      </c>
      <c r="U1688" s="29">
        <v>4424.17</v>
      </c>
      <c r="V1688" s="29">
        <v>0</v>
      </c>
      <c r="W1688" s="29">
        <v>1</v>
      </c>
      <c r="X1688" s="29">
        <v>44.241700000000002</v>
      </c>
    </row>
    <row r="1689" spans="1:24">
      <c r="A1689" s="29">
        <v>75</v>
      </c>
      <c r="B1689" s="111">
        <v>1</v>
      </c>
      <c r="C1689" s="111">
        <v>314606</v>
      </c>
      <c r="D1689" s="111" t="s">
        <v>772</v>
      </c>
      <c r="E1689" s="111" t="s">
        <v>448</v>
      </c>
      <c r="F1689" s="265">
        <v>42308</v>
      </c>
      <c r="G1689" s="265">
        <v>42312</v>
      </c>
      <c r="H1689" s="111">
        <v>19682.34</v>
      </c>
      <c r="I1689" s="111">
        <f t="shared" si="138"/>
        <v>0</v>
      </c>
      <c r="J1689" s="266">
        <v>0.5</v>
      </c>
      <c r="K1689" s="295">
        <f t="shared" si="139"/>
        <v>98.411699999999996</v>
      </c>
      <c r="L1689" s="29">
        <f t="shared" si="140"/>
        <v>4</v>
      </c>
      <c r="S1689" s="29">
        <v>0</v>
      </c>
      <c r="T1689" s="292">
        <v>3542.82</v>
      </c>
      <c r="U1689" s="29">
        <v>23225.16</v>
      </c>
      <c r="V1689" s="29">
        <v>0</v>
      </c>
      <c r="W1689" s="29">
        <v>1</v>
      </c>
      <c r="X1689" s="29">
        <v>232.2516</v>
      </c>
    </row>
    <row r="1690" spans="1:24">
      <c r="A1690" s="29">
        <v>76</v>
      </c>
      <c r="B1690" s="111">
        <v>1</v>
      </c>
      <c r="C1690" s="111">
        <v>314603</v>
      </c>
      <c r="D1690" s="111" t="s">
        <v>764</v>
      </c>
      <c r="E1690" s="111" t="s">
        <v>448</v>
      </c>
      <c r="F1690" s="265">
        <v>42308</v>
      </c>
      <c r="G1690" s="265">
        <v>42312</v>
      </c>
      <c r="H1690" s="111">
        <v>10034.4</v>
      </c>
      <c r="I1690" s="111">
        <f t="shared" si="138"/>
        <v>0</v>
      </c>
      <c r="J1690" s="266">
        <v>0.5</v>
      </c>
      <c r="K1690" s="295">
        <f t="shared" si="139"/>
        <v>50.171999999999997</v>
      </c>
      <c r="L1690" s="29">
        <f t="shared" si="140"/>
        <v>4</v>
      </c>
      <c r="S1690" s="29">
        <v>0</v>
      </c>
      <c r="T1690" s="292">
        <v>1806.19</v>
      </c>
      <c r="U1690" s="29">
        <v>11840.59</v>
      </c>
      <c r="V1690" s="29">
        <v>0</v>
      </c>
      <c r="W1690" s="29">
        <v>1</v>
      </c>
      <c r="X1690" s="29">
        <v>118.4059</v>
      </c>
    </row>
    <row r="1691" spans="1:24">
      <c r="A1691" s="29">
        <v>77</v>
      </c>
      <c r="B1691" s="111">
        <v>1</v>
      </c>
      <c r="C1691" s="111">
        <v>314654</v>
      </c>
      <c r="D1691" s="111" t="s">
        <v>767</v>
      </c>
      <c r="E1691" s="111" t="s">
        <v>448</v>
      </c>
      <c r="F1691" s="265">
        <v>42310</v>
      </c>
      <c r="G1691" s="265">
        <v>42317</v>
      </c>
      <c r="H1691" s="111">
        <v>1073.22</v>
      </c>
      <c r="I1691" s="111">
        <f t="shared" si="138"/>
        <v>0</v>
      </c>
      <c r="J1691" s="266">
        <v>1</v>
      </c>
      <c r="K1691" s="295">
        <f t="shared" si="139"/>
        <v>10.732200000000001</v>
      </c>
      <c r="L1691" s="29">
        <f t="shared" si="140"/>
        <v>7</v>
      </c>
      <c r="S1691" s="29">
        <v>0</v>
      </c>
      <c r="T1691" s="292">
        <v>193.18</v>
      </c>
      <c r="U1691" s="29">
        <v>1266.4000000000001</v>
      </c>
      <c r="V1691" s="29">
        <v>0</v>
      </c>
      <c r="W1691" s="29">
        <v>1</v>
      </c>
      <c r="X1691" s="29">
        <v>12.664</v>
      </c>
    </row>
    <row r="1692" spans="1:24">
      <c r="A1692" s="29">
        <v>78</v>
      </c>
      <c r="B1692" s="111">
        <v>1</v>
      </c>
      <c r="C1692" s="111">
        <v>314678</v>
      </c>
      <c r="D1692" s="111" t="s">
        <v>757</v>
      </c>
      <c r="E1692" s="111" t="s">
        <v>448</v>
      </c>
      <c r="F1692" s="265">
        <v>42310</v>
      </c>
      <c r="G1692" s="265">
        <v>42335</v>
      </c>
      <c r="H1692" s="111">
        <v>363.99</v>
      </c>
      <c r="I1692" s="111">
        <f t="shared" si="138"/>
        <v>0</v>
      </c>
      <c r="J1692" s="266">
        <v>1</v>
      </c>
      <c r="K1692" s="295">
        <f t="shared" si="139"/>
        <v>3.6399000000000004</v>
      </c>
      <c r="L1692" s="29">
        <f t="shared" si="140"/>
        <v>25</v>
      </c>
      <c r="S1692" s="29">
        <v>0</v>
      </c>
      <c r="T1692" s="292">
        <v>65.52</v>
      </c>
      <c r="U1692" s="29">
        <v>429.51</v>
      </c>
      <c r="V1692" s="29">
        <v>0</v>
      </c>
      <c r="W1692" s="29">
        <v>1</v>
      </c>
      <c r="X1692" s="29">
        <v>4.2950999999999997</v>
      </c>
    </row>
    <row r="1693" spans="1:24">
      <c r="A1693" s="29">
        <v>79</v>
      </c>
      <c r="B1693" s="111">
        <v>1</v>
      </c>
      <c r="C1693" s="111">
        <v>314362</v>
      </c>
      <c r="D1693" s="111" t="s">
        <v>764</v>
      </c>
      <c r="E1693" s="111" t="s">
        <v>448</v>
      </c>
      <c r="F1693" s="265">
        <v>42307</v>
      </c>
      <c r="G1693" s="265">
        <v>42312</v>
      </c>
      <c r="H1693" s="111">
        <v>29832</v>
      </c>
      <c r="I1693" s="111">
        <f t="shared" si="138"/>
        <v>0</v>
      </c>
      <c r="J1693" s="266">
        <v>0.5</v>
      </c>
      <c r="K1693" s="295">
        <f t="shared" si="139"/>
        <v>149.16</v>
      </c>
      <c r="L1693" s="29">
        <f t="shared" si="140"/>
        <v>5</v>
      </c>
      <c r="S1693" s="29">
        <v>0</v>
      </c>
      <c r="T1693" s="292">
        <v>5369.76</v>
      </c>
      <c r="U1693" s="29">
        <v>35201.760000000002</v>
      </c>
      <c r="V1693" s="29">
        <v>0</v>
      </c>
      <c r="W1693" s="29">
        <v>1</v>
      </c>
      <c r="X1693" s="29">
        <v>352.01760000000002</v>
      </c>
    </row>
    <row r="1694" spans="1:24">
      <c r="A1694" s="29">
        <v>80</v>
      </c>
      <c r="B1694" s="111">
        <v>1</v>
      </c>
      <c r="C1694" s="111">
        <v>313902</v>
      </c>
      <c r="D1694" s="111" t="s">
        <v>772</v>
      </c>
      <c r="E1694" s="111" t="s">
        <v>448</v>
      </c>
      <c r="F1694" s="265">
        <v>42303</v>
      </c>
      <c r="G1694" s="265">
        <v>42312</v>
      </c>
      <c r="H1694" s="111">
        <v>22835.040000000001</v>
      </c>
      <c r="I1694" s="111">
        <f t="shared" si="138"/>
        <v>0</v>
      </c>
      <c r="J1694" s="266">
        <v>0.5</v>
      </c>
      <c r="K1694" s="295">
        <f t="shared" si="139"/>
        <v>114.1752</v>
      </c>
      <c r="L1694" s="29">
        <f t="shared" si="140"/>
        <v>9</v>
      </c>
      <c r="S1694" s="29">
        <v>0</v>
      </c>
      <c r="T1694" s="292">
        <v>4110.3100000000004</v>
      </c>
      <c r="U1694" s="29">
        <v>26945.35</v>
      </c>
      <c r="V1694" s="29">
        <v>0</v>
      </c>
      <c r="W1694" s="29">
        <v>1</v>
      </c>
      <c r="X1694" s="29">
        <v>269.45350000000002</v>
      </c>
    </row>
    <row r="1695" spans="1:24">
      <c r="A1695" s="29">
        <v>81</v>
      </c>
      <c r="B1695" s="111">
        <v>1</v>
      </c>
      <c r="C1695" s="111">
        <v>313903</v>
      </c>
      <c r="D1695" s="111" t="s">
        <v>772</v>
      </c>
      <c r="E1695" s="111" t="s">
        <v>448</v>
      </c>
      <c r="F1695" s="265">
        <v>42303</v>
      </c>
      <c r="G1695" s="265">
        <v>42312</v>
      </c>
      <c r="H1695" s="111">
        <v>16037.52</v>
      </c>
      <c r="I1695" s="111">
        <f t="shared" si="138"/>
        <v>0</v>
      </c>
      <c r="J1695" s="266">
        <v>0.5</v>
      </c>
      <c r="K1695" s="295">
        <f t="shared" si="139"/>
        <v>80.187600000000003</v>
      </c>
      <c r="L1695" s="29">
        <f t="shared" si="140"/>
        <v>9</v>
      </c>
      <c r="S1695" s="29">
        <v>0</v>
      </c>
      <c r="T1695" s="292">
        <v>2886.75</v>
      </c>
      <c r="U1695" s="29">
        <v>18924.27</v>
      </c>
      <c r="V1695" s="29">
        <v>0</v>
      </c>
      <c r="W1695" s="29">
        <v>1</v>
      </c>
      <c r="X1695" s="29">
        <v>189.24270000000001</v>
      </c>
    </row>
    <row r="1696" spans="1:24">
      <c r="A1696" s="29">
        <v>82</v>
      </c>
      <c r="B1696" s="111">
        <v>6</v>
      </c>
      <c r="C1696" s="111">
        <v>1168</v>
      </c>
      <c r="D1696" s="111" t="s">
        <v>381</v>
      </c>
      <c r="E1696" s="111" t="s">
        <v>382</v>
      </c>
      <c r="F1696" s="265">
        <v>42313</v>
      </c>
      <c r="G1696" s="265">
        <v>42333</v>
      </c>
      <c r="H1696" s="111">
        <v>9692.7999999999993</v>
      </c>
      <c r="I1696" s="111">
        <f t="shared" si="138"/>
        <v>0</v>
      </c>
      <c r="J1696" s="266">
        <v>1</v>
      </c>
      <c r="K1696" s="295">
        <f t="shared" si="139"/>
        <v>96.927999999999997</v>
      </c>
      <c r="L1696" s="29">
        <f t="shared" si="140"/>
        <v>20</v>
      </c>
      <c r="S1696" s="29">
        <v>0</v>
      </c>
      <c r="T1696" s="292">
        <v>1744.7</v>
      </c>
      <c r="U1696" s="29">
        <v>11437.5</v>
      </c>
      <c r="V1696" s="29">
        <v>0</v>
      </c>
      <c r="W1696" s="29">
        <v>1</v>
      </c>
      <c r="X1696" s="29">
        <v>114.375</v>
      </c>
    </row>
    <row r="1697" spans="1:24">
      <c r="A1697" s="29">
        <v>83</v>
      </c>
      <c r="B1697" s="111">
        <v>6</v>
      </c>
      <c r="C1697" s="111">
        <v>1173</v>
      </c>
      <c r="D1697" s="111" t="s">
        <v>381</v>
      </c>
      <c r="E1697" s="111" t="s">
        <v>382</v>
      </c>
      <c r="F1697" s="265">
        <v>42315</v>
      </c>
      <c r="G1697" s="265">
        <v>42333</v>
      </c>
      <c r="H1697" s="111">
        <v>1762.71</v>
      </c>
      <c r="I1697" s="111">
        <f t="shared" si="138"/>
        <v>0</v>
      </c>
      <c r="J1697" s="266">
        <v>1</v>
      </c>
      <c r="K1697" s="295">
        <f t="shared" si="139"/>
        <v>17.627100000000002</v>
      </c>
      <c r="L1697" s="29">
        <f t="shared" si="140"/>
        <v>18</v>
      </c>
      <c r="S1697" s="29">
        <v>0</v>
      </c>
      <c r="T1697" s="292">
        <v>317.29000000000002</v>
      </c>
      <c r="U1697" s="29">
        <v>2080</v>
      </c>
      <c r="V1697" s="29">
        <v>0</v>
      </c>
      <c r="W1697" s="29">
        <v>1</v>
      </c>
      <c r="X1697" s="29">
        <v>20.8</v>
      </c>
    </row>
    <row r="1698" spans="1:24">
      <c r="A1698" s="29">
        <v>84</v>
      </c>
      <c r="B1698" s="111">
        <v>6</v>
      </c>
      <c r="C1698" s="111">
        <v>1174</v>
      </c>
      <c r="D1698" s="111" t="s">
        <v>381</v>
      </c>
      <c r="E1698" s="111" t="s">
        <v>382</v>
      </c>
      <c r="F1698" s="265">
        <v>42315</v>
      </c>
      <c r="G1698" s="265">
        <v>42333</v>
      </c>
      <c r="H1698" s="111">
        <v>794.49</v>
      </c>
      <c r="I1698" s="111">
        <f t="shared" si="138"/>
        <v>0</v>
      </c>
      <c r="J1698" s="266">
        <v>1</v>
      </c>
      <c r="K1698" s="295">
        <f t="shared" si="139"/>
        <v>7.9449000000000005</v>
      </c>
      <c r="L1698" s="29">
        <f t="shared" si="140"/>
        <v>18</v>
      </c>
      <c r="S1698" s="29">
        <v>0</v>
      </c>
      <c r="T1698" s="292">
        <v>143.01</v>
      </c>
      <c r="U1698" s="29">
        <v>937.5</v>
      </c>
      <c r="V1698" s="29">
        <v>0</v>
      </c>
      <c r="W1698" s="29">
        <v>1</v>
      </c>
      <c r="X1698" s="29">
        <v>9.375</v>
      </c>
    </row>
    <row r="1699" spans="1:24">
      <c r="A1699" s="29">
        <v>85</v>
      </c>
      <c r="B1699" s="111">
        <v>1</v>
      </c>
      <c r="C1699" s="111">
        <v>314788</v>
      </c>
      <c r="D1699" s="111" t="s">
        <v>761</v>
      </c>
      <c r="E1699" s="111" t="s">
        <v>448</v>
      </c>
      <c r="F1699" s="265">
        <v>42312</v>
      </c>
      <c r="G1699" s="265">
        <v>42317</v>
      </c>
      <c r="H1699" s="111">
        <v>26955.54</v>
      </c>
      <c r="I1699" s="111">
        <f t="shared" si="138"/>
        <v>0</v>
      </c>
      <c r="J1699" s="266">
        <v>0.5</v>
      </c>
      <c r="K1699" s="295">
        <v>147.84</v>
      </c>
      <c r="L1699" s="29">
        <f t="shared" si="140"/>
        <v>5</v>
      </c>
      <c r="S1699" s="29">
        <v>0</v>
      </c>
      <c r="T1699" s="292">
        <v>4852</v>
      </c>
      <c r="U1699" s="29">
        <v>31807.54</v>
      </c>
      <c r="V1699" s="29">
        <v>0</v>
      </c>
      <c r="W1699" s="29">
        <v>1</v>
      </c>
      <c r="X1699" s="29">
        <v>318.0754</v>
      </c>
    </row>
    <row r="1700" spans="1:24">
      <c r="A1700" s="29">
        <v>86</v>
      </c>
      <c r="B1700" s="111">
        <v>1</v>
      </c>
      <c r="C1700" s="111">
        <v>315607</v>
      </c>
      <c r="D1700" s="111" t="s">
        <v>798</v>
      </c>
      <c r="E1700" s="111" t="s">
        <v>448</v>
      </c>
      <c r="F1700" s="265">
        <v>42322</v>
      </c>
      <c r="G1700" s="265">
        <v>42326</v>
      </c>
      <c r="H1700" s="111">
        <v>428.72</v>
      </c>
      <c r="I1700" s="111">
        <f t="shared" si="138"/>
        <v>0</v>
      </c>
      <c r="J1700" s="266">
        <v>1</v>
      </c>
      <c r="K1700" s="295">
        <f>(H1700-I1700)*J1700%</f>
        <v>4.2872000000000003</v>
      </c>
      <c r="L1700" s="29">
        <f t="shared" si="140"/>
        <v>4</v>
      </c>
      <c r="S1700" s="29">
        <v>0</v>
      </c>
      <c r="T1700" s="292">
        <v>77.17</v>
      </c>
      <c r="U1700" s="29">
        <v>505.89</v>
      </c>
      <c r="V1700" s="29">
        <v>0</v>
      </c>
      <c r="W1700" s="29">
        <v>1</v>
      </c>
      <c r="X1700" s="29">
        <v>5.0589000000000004</v>
      </c>
    </row>
    <row r="1701" spans="1:24">
      <c r="A1701" s="29">
        <v>87</v>
      </c>
      <c r="B1701" s="111">
        <v>1</v>
      </c>
      <c r="C1701" s="111">
        <v>314218</v>
      </c>
      <c r="D1701" s="111" t="s">
        <v>758</v>
      </c>
      <c r="E1701" s="111" t="s">
        <v>448</v>
      </c>
      <c r="F1701" s="265">
        <v>42306</v>
      </c>
      <c r="G1701" s="265">
        <v>42338</v>
      </c>
      <c r="H1701" s="111">
        <v>11267.95</v>
      </c>
      <c r="I1701" s="111">
        <f t="shared" si="138"/>
        <v>0</v>
      </c>
      <c r="J1701" s="266">
        <v>1</v>
      </c>
      <c r="K1701" s="295">
        <f>(H1701-I1701)*J1701%</f>
        <v>112.6795</v>
      </c>
      <c r="L1701" s="29">
        <f t="shared" si="140"/>
        <v>32</v>
      </c>
      <c r="S1701" s="29">
        <v>0</v>
      </c>
      <c r="T1701" s="292">
        <v>2028.23</v>
      </c>
      <c r="U1701" s="29">
        <v>13296.18</v>
      </c>
      <c r="V1701" s="29">
        <v>0</v>
      </c>
      <c r="W1701" s="29">
        <v>1</v>
      </c>
      <c r="X1701" s="29">
        <v>132.96180000000001</v>
      </c>
    </row>
    <row r="1702" spans="1:24">
      <c r="A1702" s="29">
        <v>88</v>
      </c>
      <c r="B1702" s="111">
        <v>1</v>
      </c>
      <c r="C1702" s="111">
        <v>314224</v>
      </c>
      <c r="D1702" s="111" t="s">
        <v>758</v>
      </c>
      <c r="E1702" s="111" t="s">
        <v>448</v>
      </c>
      <c r="F1702" s="265">
        <v>42306</v>
      </c>
      <c r="G1702" s="265">
        <v>42338</v>
      </c>
      <c r="H1702" s="111">
        <v>3010.85</v>
      </c>
      <c r="I1702" s="111">
        <f t="shared" si="138"/>
        <v>0</v>
      </c>
      <c r="J1702" s="266">
        <v>1</v>
      </c>
      <c r="K1702" s="295">
        <f>(H1702-I1702)*J1702%</f>
        <v>30.108499999999999</v>
      </c>
      <c r="L1702" s="29">
        <f t="shared" si="140"/>
        <v>32</v>
      </c>
      <c r="S1702" s="29">
        <v>0</v>
      </c>
      <c r="T1702" s="292">
        <v>541.95000000000005</v>
      </c>
      <c r="U1702" s="29">
        <v>3552.8</v>
      </c>
      <c r="V1702" s="29">
        <v>0</v>
      </c>
      <c r="W1702" s="29">
        <v>1</v>
      </c>
      <c r="X1702" s="29">
        <v>35.527999999999999</v>
      </c>
    </row>
    <row r="1703" spans="1:24">
      <c r="A1703" s="29">
        <v>89</v>
      </c>
      <c r="B1703" s="111">
        <v>1</v>
      </c>
      <c r="C1703" s="111">
        <v>314235</v>
      </c>
      <c r="D1703" s="111" t="s">
        <v>758</v>
      </c>
      <c r="E1703" s="111" t="s">
        <v>448</v>
      </c>
      <c r="F1703" s="265">
        <v>42306</v>
      </c>
      <c r="G1703" s="265">
        <v>42338</v>
      </c>
      <c r="H1703" s="111">
        <v>1804.93</v>
      </c>
      <c r="I1703" s="111">
        <f t="shared" si="138"/>
        <v>0</v>
      </c>
      <c r="J1703" s="266">
        <v>1</v>
      </c>
      <c r="K1703" s="295">
        <f>(H1703-I1703)*J1703%</f>
        <v>18.049300000000002</v>
      </c>
      <c r="L1703" s="29">
        <f t="shared" si="140"/>
        <v>32</v>
      </c>
      <c r="S1703" s="29">
        <v>0</v>
      </c>
      <c r="T1703" s="292">
        <v>324.89</v>
      </c>
      <c r="U1703" s="29">
        <v>2129.8200000000002</v>
      </c>
      <c r="V1703" s="29">
        <v>0</v>
      </c>
      <c r="W1703" s="29">
        <v>1</v>
      </c>
      <c r="X1703" s="29">
        <v>21.298200000000001</v>
      </c>
    </row>
    <row r="1704" spans="1:24">
      <c r="G1704" s="268" t="s">
        <v>765</v>
      </c>
      <c r="H1704" s="269">
        <f>SUM(H1615:H1703)</f>
        <v>365148.06999999995</v>
      </c>
      <c r="I1704" s="59"/>
      <c r="J1704" s="311" t="s">
        <v>383</v>
      </c>
      <c r="K1704" s="267">
        <f>SUM(K1615:K1703)</f>
        <v>2818.6169593220352</v>
      </c>
    </row>
    <row r="1708" spans="1:24">
      <c r="B1708" s="29">
        <v>1</v>
      </c>
      <c r="C1708" s="213">
        <v>313806</v>
      </c>
      <c r="D1708" s="29" t="s">
        <v>772</v>
      </c>
      <c r="E1708" s="29" t="s">
        <v>448</v>
      </c>
      <c r="F1708" s="263">
        <v>42300</v>
      </c>
      <c r="G1708" s="263">
        <v>42312</v>
      </c>
      <c r="H1708" s="29">
        <v>15615.48</v>
      </c>
      <c r="I1708" s="29">
        <v>0</v>
      </c>
      <c r="J1708" s="292">
        <v>2810.79</v>
      </c>
      <c r="K1708" s="29">
        <v>18426.27</v>
      </c>
      <c r="L1708" s="29">
        <v>0</v>
      </c>
      <c r="M1708" s="29">
        <v>1</v>
      </c>
      <c r="N1708" s="29">
        <v>184.2627</v>
      </c>
      <c r="O1708" s="29">
        <v>12520</v>
      </c>
      <c r="P1708" s="29">
        <v>984215</v>
      </c>
    </row>
    <row r="1709" spans="1:24">
      <c r="B1709" s="29">
        <v>1</v>
      </c>
      <c r="C1709" s="213">
        <v>313806</v>
      </c>
      <c r="D1709" s="29" t="s">
        <v>772</v>
      </c>
      <c r="E1709" s="29" t="s">
        <v>448</v>
      </c>
      <c r="F1709" s="263">
        <v>42300</v>
      </c>
      <c r="G1709" s="263">
        <v>42312</v>
      </c>
      <c r="H1709" s="29">
        <v>15615.48</v>
      </c>
      <c r="I1709" s="29">
        <v>0</v>
      </c>
      <c r="J1709" s="292">
        <v>2810.79</v>
      </c>
      <c r="K1709" s="29">
        <v>18426.27</v>
      </c>
      <c r="L1709" s="29">
        <v>0</v>
      </c>
      <c r="M1709" s="29">
        <v>1</v>
      </c>
      <c r="N1709" s="29">
        <v>184.2627</v>
      </c>
      <c r="O1709" s="29">
        <v>12519</v>
      </c>
      <c r="P1709" s="29">
        <v>984215</v>
      </c>
    </row>
    <row r="1710" spans="1:24">
      <c r="B1710" s="29">
        <v>1</v>
      </c>
      <c r="C1710" s="213">
        <v>313806</v>
      </c>
      <c r="D1710" s="29" t="s">
        <v>772</v>
      </c>
      <c r="E1710" s="29" t="s">
        <v>448</v>
      </c>
      <c r="F1710" s="263">
        <v>42300</v>
      </c>
      <c r="G1710" s="263">
        <v>42312</v>
      </c>
      <c r="H1710" s="29">
        <v>15615.48</v>
      </c>
      <c r="I1710" s="29">
        <v>0</v>
      </c>
      <c r="J1710" s="292">
        <v>2810.79</v>
      </c>
      <c r="K1710" s="29">
        <v>18426.27</v>
      </c>
      <c r="L1710" s="29">
        <v>0</v>
      </c>
      <c r="M1710" s="29">
        <v>1</v>
      </c>
      <c r="N1710" s="29">
        <v>184.2627</v>
      </c>
      <c r="O1710" s="29">
        <v>12519</v>
      </c>
      <c r="P1710" s="29">
        <v>984215</v>
      </c>
    </row>
    <row r="1711" spans="1:24">
      <c r="B1711" s="29">
        <v>1</v>
      </c>
      <c r="C1711" s="29">
        <v>313902</v>
      </c>
      <c r="D1711" s="29" t="s">
        <v>772</v>
      </c>
      <c r="E1711" s="29" t="s">
        <v>448</v>
      </c>
      <c r="F1711" s="263">
        <v>42303</v>
      </c>
      <c r="G1711" s="263">
        <v>42312</v>
      </c>
      <c r="H1711" s="29">
        <v>22835.040000000001</v>
      </c>
      <c r="I1711" s="29">
        <v>0</v>
      </c>
      <c r="J1711" s="292">
        <v>4110.3100000000004</v>
      </c>
      <c r="K1711" s="29">
        <v>26945.35</v>
      </c>
      <c r="L1711" s="29">
        <v>0</v>
      </c>
      <c r="M1711" s="29">
        <v>1</v>
      </c>
      <c r="N1711" s="29">
        <v>269.45350000000002</v>
      </c>
      <c r="O1711" s="29">
        <v>12520</v>
      </c>
      <c r="P1711" s="29">
        <v>984372</v>
      </c>
    </row>
    <row r="1712" spans="1:24">
      <c r="B1712" s="29">
        <v>1</v>
      </c>
      <c r="C1712" s="29">
        <v>313902</v>
      </c>
      <c r="D1712" s="29" t="s">
        <v>772</v>
      </c>
      <c r="E1712" s="29" t="s">
        <v>448</v>
      </c>
      <c r="F1712" s="263">
        <v>42303</v>
      </c>
      <c r="G1712" s="263">
        <v>42312</v>
      </c>
      <c r="H1712" s="29">
        <v>22835.040000000001</v>
      </c>
      <c r="I1712" s="29">
        <v>0</v>
      </c>
      <c r="J1712" s="292">
        <v>4110.3100000000004</v>
      </c>
      <c r="K1712" s="29">
        <v>26945.35</v>
      </c>
      <c r="L1712" s="29">
        <v>0</v>
      </c>
      <c r="M1712" s="29">
        <v>1</v>
      </c>
      <c r="N1712" s="29">
        <v>269.45350000000002</v>
      </c>
      <c r="O1712" s="29">
        <v>12520</v>
      </c>
      <c r="P1712" s="29">
        <v>984372</v>
      </c>
    </row>
    <row r="1713" spans="2:21">
      <c r="B1713" s="29">
        <v>1</v>
      </c>
      <c r="C1713" s="29">
        <v>313902</v>
      </c>
      <c r="D1713" s="29" t="s">
        <v>772</v>
      </c>
      <c r="E1713" s="29" t="s">
        <v>448</v>
      </c>
      <c r="F1713" s="263">
        <v>42303</v>
      </c>
      <c r="G1713" s="263">
        <v>42312</v>
      </c>
      <c r="H1713" s="29">
        <v>22835.040000000001</v>
      </c>
      <c r="I1713" s="29">
        <v>0</v>
      </c>
      <c r="J1713" s="292">
        <v>4110.3100000000004</v>
      </c>
      <c r="K1713" s="29">
        <v>26945.35</v>
      </c>
      <c r="L1713" s="29">
        <v>0</v>
      </c>
      <c r="M1713" s="29">
        <v>1</v>
      </c>
      <c r="N1713" s="29">
        <v>269.45350000000002</v>
      </c>
      <c r="O1713" s="29">
        <v>12519</v>
      </c>
      <c r="P1713" s="29">
        <v>984372</v>
      </c>
    </row>
    <row r="1714" spans="2:21">
      <c r="B1714" s="29">
        <v>1</v>
      </c>
      <c r="C1714" s="29">
        <v>313902</v>
      </c>
      <c r="D1714" s="29" t="s">
        <v>772</v>
      </c>
      <c r="E1714" s="29" t="s">
        <v>448</v>
      </c>
      <c r="F1714" s="263">
        <v>42303</v>
      </c>
      <c r="G1714" s="263">
        <v>42312</v>
      </c>
      <c r="H1714" s="29">
        <v>22835.040000000001</v>
      </c>
      <c r="I1714" s="29">
        <v>0</v>
      </c>
      <c r="J1714" s="292">
        <v>4110.3100000000004</v>
      </c>
      <c r="K1714" s="29">
        <v>26945.35</v>
      </c>
      <c r="L1714" s="29">
        <v>0</v>
      </c>
      <c r="M1714" s="29">
        <v>1</v>
      </c>
      <c r="N1714" s="29">
        <v>269.45350000000002</v>
      </c>
      <c r="O1714" s="29">
        <v>12519</v>
      </c>
      <c r="P1714" s="29">
        <v>984372</v>
      </c>
    </row>
    <row r="1715" spans="2:21">
      <c r="B1715" s="29">
        <v>1</v>
      </c>
      <c r="C1715" s="29">
        <v>313902</v>
      </c>
      <c r="D1715" s="29" t="s">
        <v>772</v>
      </c>
      <c r="E1715" s="29" t="s">
        <v>448</v>
      </c>
      <c r="F1715" s="263">
        <v>42303</v>
      </c>
      <c r="G1715" s="263">
        <v>42312</v>
      </c>
      <c r="H1715" s="29">
        <v>22835.040000000001</v>
      </c>
      <c r="I1715" s="29">
        <v>0</v>
      </c>
      <c r="J1715" s="292">
        <v>4110.3100000000004</v>
      </c>
      <c r="K1715" s="29">
        <v>26945.35</v>
      </c>
      <c r="L1715" s="29">
        <v>0</v>
      </c>
      <c r="M1715" s="29">
        <v>1</v>
      </c>
      <c r="N1715" s="29">
        <v>269.45350000000002</v>
      </c>
      <c r="O1715" s="29">
        <v>12519</v>
      </c>
      <c r="P1715" s="29">
        <v>984372</v>
      </c>
    </row>
    <row r="1716" spans="2:21">
      <c r="B1716" s="29">
        <v>1</v>
      </c>
      <c r="C1716" s="213">
        <v>313903</v>
      </c>
      <c r="D1716" s="29" t="s">
        <v>772</v>
      </c>
      <c r="E1716" s="29" t="s">
        <v>448</v>
      </c>
      <c r="F1716" s="263">
        <v>42303</v>
      </c>
      <c r="G1716" s="263">
        <v>42312</v>
      </c>
      <c r="H1716" s="29">
        <v>16037.52</v>
      </c>
      <c r="I1716" s="29">
        <v>0</v>
      </c>
      <c r="J1716" s="292">
        <v>2886.75</v>
      </c>
      <c r="K1716" s="29">
        <v>18924.27</v>
      </c>
      <c r="L1716" s="29">
        <v>0</v>
      </c>
      <c r="M1716" s="29">
        <v>1</v>
      </c>
      <c r="N1716" s="29">
        <v>189.24270000000001</v>
      </c>
      <c r="O1716" s="29">
        <v>12520</v>
      </c>
      <c r="P1716" s="29">
        <v>984377</v>
      </c>
    </row>
    <row r="1717" spans="2:21">
      <c r="B1717" s="29">
        <v>1</v>
      </c>
      <c r="C1717" s="213">
        <v>313903</v>
      </c>
      <c r="D1717" s="29" t="s">
        <v>772</v>
      </c>
      <c r="E1717" s="29" t="s">
        <v>448</v>
      </c>
      <c r="F1717" s="263">
        <v>42303</v>
      </c>
      <c r="G1717" s="263">
        <v>42312</v>
      </c>
      <c r="H1717" s="29">
        <v>16037.52</v>
      </c>
      <c r="I1717" s="29">
        <v>0</v>
      </c>
      <c r="J1717" s="292">
        <v>2886.75</v>
      </c>
      <c r="K1717" s="29">
        <v>18924.27</v>
      </c>
      <c r="L1717" s="29">
        <v>0</v>
      </c>
      <c r="M1717" s="29">
        <v>1</v>
      </c>
      <c r="N1717" s="29">
        <v>189.24270000000001</v>
      </c>
      <c r="O1717" s="29">
        <v>12520</v>
      </c>
      <c r="P1717" s="29">
        <v>984377</v>
      </c>
    </row>
    <row r="1718" spans="2:21">
      <c r="B1718" s="29">
        <v>1</v>
      </c>
      <c r="C1718" s="29">
        <v>313901</v>
      </c>
      <c r="D1718" s="29" t="s">
        <v>772</v>
      </c>
      <c r="E1718" s="29" t="s">
        <v>448</v>
      </c>
      <c r="F1718" s="263">
        <v>42303</v>
      </c>
      <c r="G1718" s="263">
        <v>42312</v>
      </c>
      <c r="H1718" s="29">
        <v>10848</v>
      </c>
      <c r="I1718" s="29">
        <v>0</v>
      </c>
      <c r="J1718" s="292">
        <v>1952.64</v>
      </c>
      <c r="K1718" s="29">
        <v>12800.64</v>
      </c>
      <c r="L1718" s="29">
        <v>0</v>
      </c>
      <c r="M1718" s="29">
        <v>1</v>
      </c>
      <c r="N1718" s="29">
        <v>128.00640000000001</v>
      </c>
      <c r="O1718" s="29">
        <v>12519</v>
      </c>
      <c r="P1718" s="29">
        <v>984378</v>
      </c>
    </row>
    <row r="1719" spans="2:21">
      <c r="B1719" s="29">
        <v>1</v>
      </c>
      <c r="C1719" s="29">
        <v>313901</v>
      </c>
      <c r="D1719" s="29" t="s">
        <v>772</v>
      </c>
      <c r="E1719" s="29" t="s">
        <v>448</v>
      </c>
      <c r="F1719" s="263">
        <v>42303</v>
      </c>
      <c r="G1719" s="263">
        <v>42312</v>
      </c>
      <c r="H1719" s="29">
        <v>10848</v>
      </c>
      <c r="I1719" s="29">
        <v>0</v>
      </c>
      <c r="J1719" s="292">
        <v>1952.64</v>
      </c>
      <c r="K1719" s="29">
        <v>12800.64</v>
      </c>
      <c r="L1719" s="29">
        <v>0</v>
      </c>
      <c r="M1719" s="29">
        <v>1</v>
      </c>
      <c r="N1719" s="29">
        <v>128.00640000000001</v>
      </c>
      <c r="O1719" s="29">
        <v>12519</v>
      </c>
      <c r="P1719" s="29">
        <v>984378</v>
      </c>
    </row>
    <row r="1720" spans="2:21">
      <c r="B1720" s="29">
        <v>1</v>
      </c>
      <c r="C1720" s="213">
        <v>314096</v>
      </c>
      <c r="D1720" s="29" t="s">
        <v>764</v>
      </c>
      <c r="E1720" s="29" t="s">
        <v>448</v>
      </c>
      <c r="F1720" s="263">
        <v>42305</v>
      </c>
      <c r="G1720" s="263">
        <v>42312</v>
      </c>
      <c r="H1720" s="29">
        <v>813.6</v>
      </c>
      <c r="I1720" s="29">
        <v>0</v>
      </c>
      <c r="J1720" s="292">
        <v>146.44999999999999</v>
      </c>
      <c r="K1720" s="29">
        <v>960.05</v>
      </c>
      <c r="L1720" s="29">
        <v>0</v>
      </c>
      <c r="M1720" s="29">
        <v>1</v>
      </c>
      <c r="N1720" s="29">
        <v>9.6005000000000003</v>
      </c>
      <c r="O1720" s="29">
        <v>12520</v>
      </c>
      <c r="P1720" s="29">
        <v>984687</v>
      </c>
    </row>
    <row r="1721" spans="2:21">
      <c r="B1721" s="29">
        <v>1</v>
      </c>
      <c r="C1721" s="29">
        <v>314362</v>
      </c>
      <c r="D1721" s="29" t="s">
        <v>764</v>
      </c>
      <c r="E1721" s="29" t="s">
        <v>448</v>
      </c>
      <c r="F1721" s="263">
        <v>42307</v>
      </c>
      <c r="G1721" s="263">
        <v>42312</v>
      </c>
      <c r="H1721" s="29">
        <v>29832</v>
      </c>
      <c r="I1721" s="29">
        <v>0</v>
      </c>
      <c r="J1721" s="292">
        <v>5369.76</v>
      </c>
      <c r="K1721" s="29">
        <v>35201.760000000002</v>
      </c>
      <c r="L1721" s="29">
        <v>0</v>
      </c>
      <c r="M1721" s="29">
        <v>1</v>
      </c>
      <c r="N1721" s="29">
        <v>352.01760000000002</v>
      </c>
      <c r="O1721" s="29">
        <v>12520</v>
      </c>
      <c r="P1721" s="29">
        <v>985023</v>
      </c>
    </row>
    <row r="1722" spans="2:21">
      <c r="B1722" s="29">
        <v>1</v>
      </c>
      <c r="C1722" s="29">
        <v>314362</v>
      </c>
      <c r="D1722" s="29" t="s">
        <v>764</v>
      </c>
      <c r="E1722" s="29" t="s">
        <v>448</v>
      </c>
      <c r="F1722" s="263">
        <v>42307</v>
      </c>
      <c r="G1722" s="263">
        <v>42312</v>
      </c>
      <c r="H1722" s="29">
        <v>29832</v>
      </c>
      <c r="I1722" s="29">
        <v>0</v>
      </c>
      <c r="J1722" s="292">
        <v>5369.76</v>
      </c>
      <c r="K1722" s="29">
        <v>35201.760000000002</v>
      </c>
      <c r="L1722" s="29">
        <v>0</v>
      </c>
      <c r="M1722" s="29">
        <v>1</v>
      </c>
      <c r="N1722" s="29">
        <v>352.01760000000002</v>
      </c>
      <c r="O1722" s="29">
        <v>12520</v>
      </c>
      <c r="P1722" s="29">
        <v>985023</v>
      </c>
    </row>
    <row r="1723" spans="2:21">
      <c r="B1723" s="29">
        <v>1</v>
      </c>
      <c r="C1723" s="29">
        <v>314362</v>
      </c>
      <c r="D1723" s="29" t="s">
        <v>764</v>
      </c>
      <c r="E1723" s="29" t="s">
        <v>448</v>
      </c>
      <c r="F1723" s="263">
        <v>42307</v>
      </c>
      <c r="G1723" s="263">
        <v>42312</v>
      </c>
      <c r="H1723" s="29">
        <v>29832</v>
      </c>
      <c r="I1723" s="29">
        <v>0</v>
      </c>
      <c r="J1723" s="292">
        <v>5369.76</v>
      </c>
      <c r="K1723" s="29">
        <v>35201.760000000002</v>
      </c>
      <c r="L1723" s="29">
        <v>0</v>
      </c>
      <c r="M1723" s="29">
        <v>1</v>
      </c>
      <c r="N1723" s="29">
        <v>352.01760000000002</v>
      </c>
      <c r="O1723" s="29">
        <v>12519</v>
      </c>
      <c r="P1723" s="29">
        <v>985023</v>
      </c>
    </row>
    <row r="1724" spans="2:21">
      <c r="B1724" s="29">
        <v>1</v>
      </c>
      <c r="C1724" s="29">
        <v>314362</v>
      </c>
      <c r="D1724" s="29" t="s">
        <v>764</v>
      </c>
      <c r="E1724" s="29" t="s">
        <v>448</v>
      </c>
      <c r="F1724" s="263">
        <v>42307</v>
      </c>
      <c r="G1724" s="263">
        <v>42312</v>
      </c>
      <c r="H1724" s="29">
        <v>29832</v>
      </c>
      <c r="I1724" s="29">
        <v>0</v>
      </c>
      <c r="J1724" s="292">
        <v>5369.76</v>
      </c>
      <c r="K1724" s="29">
        <v>35201.760000000002</v>
      </c>
      <c r="L1724" s="29">
        <v>0</v>
      </c>
      <c r="M1724" s="29">
        <v>1</v>
      </c>
      <c r="N1724" s="29">
        <v>352.01760000000002</v>
      </c>
      <c r="O1724" s="29">
        <v>12519</v>
      </c>
      <c r="P1724" s="29">
        <v>985023</v>
      </c>
    </row>
    <row r="1725" spans="2:21">
      <c r="B1725" s="29">
        <v>1</v>
      </c>
      <c r="C1725" s="29">
        <v>314362</v>
      </c>
      <c r="D1725" s="29" t="s">
        <v>764</v>
      </c>
      <c r="E1725" s="29" t="s">
        <v>448</v>
      </c>
      <c r="F1725" s="263">
        <v>42307</v>
      </c>
      <c r="G1725" s="263">
        <v>42312</v>
      </c>
      <c r="H1725" s="29">
        <v>29832</v>
      </c>
      <c r="I1725" s="29">
        <v>0</v>
      </c>
      <c r="J1725" s="292">
        <v>5369.76</v>
      </c>
      <c r="K1725" s="29">
        <v>35201.760000000002</v>
      </c>
      <c r="L1725" s="29">
        <v>0</v>
      </c>
      <c r="M1725" s="29">
        <v>1</v>
      </c>
      <c r="N1725" s="29">
        <v>352.01760000000002</v>
      </c>
      <c r="O1725" s="29">
        <v>12519</v>
      </c>
      <c r="P1725" s="29">
        <v>985023</v>
      </c>
    </row>
    <row r="1726" spans="2:21">
      <c r="B1726" s="29">
        <v>1</v>
      </c>
      <c r="C1726" s="29">
        <v>314362</v>
      </c>
      <c r="D1726" s="29" t="s">
        <v>764</v>
      </c>
      <c r="E1726" s="29" t="s">
        <v>448</v>
      </c>
      <c r="F1726" s="263">
        <v>42307</v>
      </c>
      <c r="G1726" s="263">
        <v>42312</v>
      </c>
      <c r="H1726" s="29">
        <v>29832</v>
      </c>
      <c r="I1726" s="29">
        <v>0</v>
      </c>
      <c r="J1726" s="292">
        <v>5369.76</v>
      </c>
      <c r="K1726" s="29">
        <v>35201.760000000002</v>
      </c>
      <c r="L1726" s="29">
        <v>0</v>
      </c>
      <c r="M1726" s="29">
        <v>1</v>
      </c>
      <c r="N1726" s="29">
        <v>352.01760000000002</v>
      </c>
      <c r="O1726" s="29">
        <v>12519</v>
      </c>
      <c r="P1726" s="29">
        <v>985023</v>
      </c>
    </row>
    <row r="1727" spans="2:21">
      <c r="B1727" s="29">
        <v>1</v>
      </c>
      <c r="C1727" s="213">
        <v>314606</v>
      </c>
      <c r="D1727" s="29" t="s">
        <v>772</v>
      </c>
      <c r="E1727" s="29" t="s">
        <v>448</v>
      </c>
      <c r="F1727" s="263">
        <v>42308</v>
      </c>
      <c r="G1727" s="263">
        <v>42312</v>
      </c>
      <c r="H1727" s="29">
        <v>19682.34</v>
      </c>
      <c r="I1727" s="29">
        <v>0</v>
      </c>
      <c r="J1727" s="292">
        <v>3542.82</v>
      </c>
      <c r="K1727" s="29">
        <v>23225.16</v>
      </c>
      <c r="L1727" s="29">
        <v>0</v>
      </c>
      <c r="M1727" s="29">
        <v>1</v>
      </c>
      <c r="N1727" s="29">
        <v>232.2516</v>
      </c>
      <c r="O1727" s="29">
        <v>12520</v>
      </c>
      <c r="P1727" s="29">
        <v>985345</v>
      </c>
      <c r="U1727" s="29">
        <v>1595</v>
      </c>
    </row>
    <row r="1728" spans="2:21">
      <c r="B1728" s="29">
        <v>1</v>
      </c>
      <c r="C1728" s="213">
        <v>314606</v>
      </c>
      <c r="D1728" s="29" t="s">
        <v>772</v>
      </c>
      <c r="E1728" s="29" t="s">
        <v>448</v>
      </c>
      <c r="F1728" s="263">
        <v>42308</v>
      </c>
      <c r="G1728" s="263">
        <v>42312</v>
      </c>
      <c r="H1728" s="29">
        <v>19682.34</v>
      </c>
      <c r="I1728" s="29">
        <v>0</v>
      </c>
      <c r="J1728" s="292">
        <v>3542.82</v>
      </c>
      <c r="K1728" s="29">
        <v>23225.16</v>
      </c>
      <c r="L1728" s="29">
        <v>0</v>
      </c>
      <c r="M1728" s="29">
        <v>1</v>
      </c>
      <c r="N1728" s="29">
        <v>232.2516</v>
      </c>
      <c r="O1728" s="29">
        <v>12520</v>
      </c>
      <c r="P1728" s="29">
        <v>985345</v>
      </c>
    </row>
    <row r="1729" spans="2:16">
      <c r="B1729" s="29">
        <v>1</v>
      </c>
      <c r="C1729" s="213">
        <v>314606</v>
      </c>
      <c r="D1729" s="29" t="s">
        <v>772</v>
      </c>
      <c r="E1729" s="29" t="s">
        <v>448</v>
      </c>
      <c r="F1729" s="263">
        <v>42308</v>
      </c>
      <c r="G1729" s="263">
        <v>42312</v>
      </c>
      <c r="H1729" s="29">
        <v>19682.34</v>
      </c>
      <c r="I1729" s="29">
        <v>0</v>
      </c>
      <c r="J1729" s="292">
        <v>3542.82</v>
      </c>
      <c r="K1729" s="29">
        <v>23225.16</v>
      </c>
      <c r="L1729" s="29">
        <v>0</v>
      </c>
      <c r="M1729" s="29">
        <v>1</v>
      </c>
      <c r="N1729" s="29">
        <v>232.2516</v>
      </c>
      <c r="O1729" s="29">
        <v>12519</v>
      </c>
      <c r="P1729" s="29">
        <v>985345</v>
      </c>
    </row>
    <row r="1730" spans="2:16">
      <c r="B1730" s="29">
        <v>1</v>
      </c>
      <c r="C1730" s="29">
        <v>314603</v>
      </c>
      <c r="D1730" s="29" t="s">
        <v>764</v>
      </c>
      <c r="E1730" s="29" t="s">
        <v>448</v>
      </c>
      <c r="F1730" s="263">
        <v>42308</v>
      </c>
      <c r="G1730" s="263">
        <v>42312</v>
      </c>
      <c r="H1730" s="29">
        <v>10034.4</v>
      </c>
      <c r="I1730" s="29">
        <v>0</v>
      </c>
      <c r="J1730" s="292">
        <v>1806.19</v>
      </c>
      <c r="K1730" s="29">
        <v>11840.59</v>
      </c>
      <c r="L1730" s="29">
        <v>0</v>
      </c>
      <c r="M1730" s="29">
        <v>1</v>
      </c>
      <c r="N1730" s="29">
        <v>118.4059</v>
      </c>
      <c r="O1730" s="29">
        <v>12520</v>
      </c>
      <c r="P1730" s="29">
        <v>985337</v>
      </c>
    </row>
    <row r="1731" spans="2:16">
      <c r="B1731" s="29">
        <v>1</v>
      </c>
      <c r="C1731" s="29">
        <v>314603</v>
      </c>
      <c r="D1731" s="29" t="s">
        <v>764</v>
      </c>
      <c r="E1731" s="29" t="s">
        <v>448</v>
      </c>
      <c r="F1731" s="263">
        <v>42308</v>
      </c>
      <c r="G1731" s="263">
        <v>42312</v>
      </c>
      <c r="H1731" s="29">
        <v>10034.4</v>
      </c>
      <c r="I1731" s="29">
        <v>0</v>
      </c>
      <c r="J1731" s="292">
        <v>1806.19</v>
      </c>
      <c r="K1731" s="29">
        <v>11840.59</v>
      </c>
      <c r="L1731" s="29">
        <v>0</v>
      </c>
      <c r="M1731" s="29">
        <v>1</v>
      </c>
      <c r="N1731" s="29">
        <v>118.4059</v>
      </c>
      <c r="O1731" s="29">
        <v>12520</v>
      </c>
      <c r="P1731" s="29">
        <v>985337</v>
      </c>
    </row>
    <row r="1732" spans="2:16">
      <c r="B1732" s="29">
        <v>1</v>
      </c>
      <c r="C1732" s="29">
        <v>314603</v>
      </c>
      <c r="D1732" s="29" t="s">
        <v>764</v>
      </c>
      <c r="E1732" s="29" t="s">
        <v>448</v>
      </c>
      <c r="F1732" s="263">
        <v>42308</v>
      </c>
      <c r="G1732" s="263">
        <v>42312</v>
      </c>
      <c r="H1732" s="29">
        <v>10034.4</v>
      </c>
      <c r="I1732" s="29">
        <v>0</v>
      </c>
      <c r="J1732" s="292">
        <v>1806.19</v>
      </c>
      <c r="K1732" s="29">
        <v>11840.59</v>
      </c>
      <c r="L1732" s="29">
        <v>0</v>
      </c>
      <c r="M1732" s="29">
        <v>1</v>
      </c>
      <c r="N1732" s="29">
        <v>118.4059</v>
      </c>
      <c r="O1732" s="29">
        <v>12519</v>
      </c>
      <c r="P1732" s="29">
        <v>985337</v>
      </c>
    </row>
    <row r="1733" spans="2:16">
      <c r="B1733" s="29">
        <v>1</v>
      </c>
      <c r="C1733" s="29">
        <v>314603</v>
      </c>
      <c r="D1733" s="29" t="s">
        <v>764</v>
      </c>
      <c r="E1733" s="29" t="s">
        <v>448</v>
      </c>
      <c r="F1733" s="263">
        <v>42308</v>
      </c>
      <c r="G1733" s="263">
        <v>42312</v>
      </c>
      <c r="H1733" s="29">
        <v>10034.4</v>
      </c>
      <c r="I1733" s="29">
        <v>0</v>
      </c>
      <c r="J1733" s="292">
        <v>1806.19</v>
      </c>
      <c r="K1733" s="29">
        <v>11840.59</v>
      </c>
      <c r="L1733" s="29">
        <v>0</v>
      </c>
      <c r="M1733" s="29">
        <v>1</v>
      </c>
      <c r="N1733" s="29">
        <v>118.4059</v>
      </c>
      <c r="O1733" s="29">
        <v>12519</v>
      </c>
      <c r="P1733" s="29">
        <v>985337</v>
      </c>
    </row>
    <row r="1734" spans="2:16">
      <c r="B1734" s="29">
        <v>1</v>
      </c>
      <c r="C1734" s="213">
        <v>314788</v>
      </c>
      <c r="D1734" s="29" t="s">
        <v>761</v>
      </c>
      <c r="E1734" s="29" t="s">
        <v>448</v>
      </c>
      <c r="F1734" s="263">
        <v>42312</v>
      </c>
      <c r="G1734" s="263">
        <v>42317</v>
      </c>
      <c r="H1734" s="29">
        <v>26955.54</v>
      </c>
      <c r="I1734" s="29">
        <v>0</v>
      </c>
      <c r="J1734" s="292">
        <v>4852</v>
      </c>
      <c r="K1734" s="29">
        <v>31807.54</v>
      </c>
      <c r="L1734" s="29">
        <v>0</v>
      </c>
      <c r="M1734" s="29">
        <v>1</v>
      </c>
      <c r="N1734" s="29">
        <v>318.0754</v>
      </c>
      <c r="O1734" s="29">
        <v>12520</v>
      </c>
      <c r="P1734" s="29">
        <v>985611</v>
      </c>
    </row>
    <row r="1735" spans="2:16">
      <c r="B1735" s="29">
        <v>1</v>
      </c>
      <c r="C1735" s="213">
        <v>314788</v>
      </c>
      <c r="D1735" s="29" t="s">
        <v>761</v>
      </c>
      <c r="E1735" s="29" t="s">
        <v>448</v>
      </c>
      <c r="F1735" s="263">
        <v>42312</v>
      </c>
      <c r="G1735" s="263">
        <v>42317</v>
      </c>
      <c r="H1735" s="29">
        <v>26955.54</v>
      </c>
      <c r="I1735" s="29">
        <v>0</v>
      </c>
      <c r="J1735" s="292">
        <v>4852</v>
      </c>
      <c r="K1735" s="29">
        <v>31807.54</v>
      </c>
      <c r="L1735" s="29">
        <v>0</v>
      </c>
      <c r="M1735" s="29">
        <v>1</v>
      </c>
      <c r="N1735" s="29">
        <v>318.0754</v>
      </c>
      <c r="O1735" s="29">
        <v>12520</v>
      </c>
      <c r="P1735" s="29">
        <v>985611</v>
      </c>
    </row>
    <row r="1736" spans="2:16">
      <c r="B1736" s="29">
        <v>1</v>
      </c>
      <c r="C1736" s="213">
        <v>314788</v>
      </c>
      <c r="D1736" s="29" t="s">
        <v>761</v>
      </c>
      <c r="E1736" s="29" t="s">
        <v>448</v>
      </c>
      <c r="F1736" s="263">
        <v>42312</v>
      </c>
      <c r="G1736" s="263">
        <v>42317</v>
      </c>
      <c r="H1736" s="29">
        <v>26955.54</v>
      </c>
      <c r="I1736" s="29">
        <v>0</v>
      </c>
      <c r="J1736" s="292">
        <v>4852</v>
      </c>
      <c r="K1736" s="29">
        <v>31807.54</v>
      </c>
      <c r="L1736" s="29">
        <v>0</v>
      </c>
      <c r="M1736" s="29">
        <v>1</v>
      </c>
      <c r="N1736" s="29">
        <v>318.0754</v>
      </c>
      <c r="O1736" s="29">
        <v>12520</v>
      </c>
      <c r="P1736" s="29">
        <v>985611</v>
      </c>
    </row>
    <row r="1737" spans="2:16">
      <c r="B1737" s="29">
        <v>1</v>
      </c>
      <c r="C1737" s="213">
        <v>314788</v>
      </c>
      <c r="D1737" s="29" t="s">
        <v>761</v>
      </c>
      <c r="E1737" s="29" t="s">
        <v>448</v>
      </c>
      <c r="F1737" s="263">
        <v>42312</v>
      </c>
      <c r="G1737" s="263">
        <v>42317</v>
      </c>
      <c r="H1737" s="29">
        <v>26955.54</v>
      </c>
      <c r="I1737" s="29">
        <v>0</v>
      </c>
      <c r="J1737" s="292">
        <v>4852</v>
      </c>
      <c r="K1737" s="29">
        <v>31807.54</v>
      </c>
      <c r="L1737" s="29">
        <v>0</v>
      </c>
      <c r="M1737" s="29">
        <v>1</v>
      </c>
      <c r="N1737" s="29">
        <v>318.0754</v>
      </c>
      <c r="O1737" s="29">
        <v>12520</v>
      </c>
      <c r="P1737" s="29">
        <v>985611</v>
      </c>
    </row>
    <row r="1738" spans="2:16">
      <c r="B1738" s="29">
        <v>1</v>
      </c>
      <c r="C1738" s="213">
        <v>314788</v>
      </c>
      <c r="D1738" s="29" t="s">
        <v>761</v>
      </c>
      <c r="E1738" s="29" t="s">
        <v>448</v>
      </c>
      <c r="F1738" s="263">
        <v>42312</v>
      </c>
      <c r="G1738" s="263">
        <v>42317</v>
      </c>
      <c r="H1738" s="29">
        <v>26955.54</v>
      </c>
      <c r="I1738" s="29">
        <v>0</v>
      </c>
      <c r="J1738" s="292">
        <v>4852</v>
      </c>
      <c r="K1738" s="29">
        <v>31807.54</v>
      </c>
      <c r="L1738" s="29">
        <v>0</v>
      </c>
      <c r="M1738" s="29">
        <v>1</v>
      </c>
      <c r="N1738" s="29">
        <v>318.0754</v>
      </c>
      <c r="O1738" s="29">
        <v>12519</v>
      </c>
      <c r="P1738" s="29">
        <v>985611</v>
      </c>
    </row>
    <row r="1741" spans="2:16">
      <c r="H1741" s="122">
        <v>2614.1</v>
      </c>
      <c r="I1741" s="29">
        <f>H1741*1%</f>
        <v>26.140999999999998</v>
      </c>
      <c r="J1741" s="122">
        <v>2614.1</v>
      </c>
      <c r="K1741" s="29">
        <f>J1741*1%</f>
        <v>26.140999999999998</v>
      </c>
    </row>
    <row r="1742" spans="2:16">
      <c r="H1742" s="292">
        <f>H1738-H1741</f>
        <v>24341.440000000002</v>
      </c>
      <c r="I1742" s="29">
        <f>H1742*0.5%</f>
        <v>121.70720000000001</v>
      </c>
      <c r="J1742" s="292">
        <f>J1738-J1741</f>
        <v>2237.9</v>
      </c>
      <c r="K1742" s="29">
        <f>J1742*0.5%</f>
        <v>11.189500000000001</v>
      </c>
    </row>
    <row r="1744" spans="2:16">
      <c r="C1744" s="59"/>
      <c r="D1744" s="59"/>
      <c r="E1744" s="59" t="s">
        <v>799</v>
      </c>
      <c r="F1744" s="59"/>
      <c r="G1744" s="59"/>
      <c r="H1744" s="59"/>
      <c r="I1744" s="59"/>
      <c r="J1744" s="59"/>
      <c r="K1744" s="293"/>
      <c r="L1744" s="59"/>
    </row>
    <row r="1745" spans="1:28">
      <c r="C1745" s="59"/>
      <c r="D1745" s="59"/>
      <c r="E1745" s="59"/>
      <c r="F1745" s="59"/>
      <c r="G1745" s="59"/>
      <c r="H1745" s="59"/>
      <c r="I1745" s="59"/>
      <c r="J1745" s="59"/>
      <c r="K1745" s="293"/>
      <c r="L1745" s="59"/>
    </row>
    <row r="1746" spans="1:28">
      <c r="A1746" s="29" t="s">
        <v>45</v>
      </c>
      <c r="B1746" s="264" t="s">
        <v>369</v>
      </c>
      <c r="C1746" s="264" t="s">
        <v>370</v>
      </c>
      <c r="D1746" s="264" t="s">
        <v>371</v>
      </c>
      <c r="E1746" s="264" t="s">
        <v>372</v>
      </c>
      <c r="F1746" s="264" t="s">
        <v>373</v>
      </c>
      <c r="G1746" s="264" t="s">
        <v>393</v>
      </c>
      <c r="H1746" s="264" t="s">
        <v>375</v>
      </c>
      <c r="I1746" s="264" t="s">
        <v>376</v>
      </c>
      <c r="J1746" s="294" t="s">
        <v>377</v>
      </c>
      <c r="K1746" s="264" t="s">
        <v>378</v>
      </c>
      <c r="L1746" s="29" t="s">
        <v>771</v>
      </c>
    </row>
    <row r="1747" spans="1:28">
      <c r="A1747" s="29">
        <v>1</v>
      </c>
      <c r="B1747" s="111">
        <v>1</v>
      </c>
      <c r="C1747" s="111">
        <v>224065</v>
      </c>
      <c r="D1747" s="111" t="s">
        <v>466</v>
      </c>
      <c r="E1747" s="111" t="s">
        <v>382</v>
      </c>
      <c r="F1747" s="265">
        <v>40693</v>
      </c>
      <c r="G1747" s="265">
        <v>42354</v>
      </c>
      <c r="H1747" s="266">
        <f t="shared" ref="H1747:H1778" si="141">V1747+W1747</f>
        <v>508.47</v>
      </c>
      <c r="I1747" s="266">
        <f t="shared" ref="I1747:I1778" si="142">Z1747</f>
        <v>0</v>
      </c>
      <c r="J1747" s="266">
        <v>0</v>
      </c>
      <c r="K1747" s="295">
        <f t="shared" ref="K1747:K1778" si="143">(H1747-I1747)*J1747%</f>
        <v>0</v>
      </c>
      <c r="L1747" s="312">
        <f t="shared" ref="L1747:L1778" si="144">G1747-F1747</f>
        <v>1661</v>
      </c>
      <c r="M1747" s="263"/>
      <c r="N1747" s="263"/>
      <c r="O1747" s="263"/>
      <c r="P1747" s="263"/>
      <c r="Q1747" s="263"/>
      <c r="R1747" s="263"/>
      <c r="S1747" s="263"/>
      <c r="T1747" s="263"/>
      <c r="U1747" s="263"/>
      <c r="V1747" s="29">
        <v>508.47</v>
      </c>
      <c r="W1747" s="292">
        <v>0</v>
      </c>
      <c r="X1747" s="29">
        <v>91.53</v>
      </c>
      <c r="Y1747" s="29">
        <v>600</v>
      </c>
      <c r="Z1747" s="29">
        <v>0</v>
      </c>
      <c r="AA1747" s="29">
        <v>1</v>
      </c>
      <c r="AB1747" s="29">
        <v>6</v>
      </c>
    </row>
    <row r="1748" spans="1:28">
      <c r="A1748" s="29">
        <v>2</v>
      </c>
      <c r="B1748" s="111">
        <v>1</v>
      </c>
      <c r="C1748" s="111">
        <v>310003</v>
      </c>
      <c r="D1748" s="111" t="s">
        <v>800</v>
      </c>
      <c r="E1748" s="111" t="s">
        <v>448</v>
      </c>
      <c r="F1748" s="265">
        <v>42255</v>
      </c>
      <c r="G1748" s="265">
        <v>42352</v>
      </c>
      <c r="H1748" s="266">
        <f t="shared" si="141"/>
        <v>133.02000000000001</v>
      </c>
      <c r="I1748" s="266">
        <f t="shared" si="142"/>
        <v>0</v>
      </c>
      <c r="J1748" s="266">
        <v>0</v>
      </c>
      <c r="K1748" s="295">
        <f t="shared" si="143"/>
        <v>0</v>
      </c>
      <c r="L1748" s="312">
        <f t="shared" si="144"/>
        <v>97</v>
      </c>
      <c r="M1748" s="263"/>
      <c r="N1748" s="263"/>
      <c r="O1748" s="263"/>
      <c r="P1748" s="263"/>
      <c r="Q1748" s="263"/>
      <c r="R1748" s="263"/>
      <c r="S1748" s="263"/>
      <c r="T1748" s="263"/>
      <c r="U1748" s="263"/>
      <c r="V1748" s="29">
        <v>133.02000000000001</v>
      </c>
      <c r="W1748" s="292">
        <v>0</v>
      </c>
      <c r="X1748" s="29">
        <v>23.94</v>
      </c>
      <c r="Y1748" s="29">
        <v>156.96</v>
      </c>
      <c r="Z1748" s="29">
        <v>0</v>
      </c>
      <c r="AA1748" s="29">
        <v>1</v>
      </c>
      <c r="AB1748" s="29">
        <v>1.5696000000000001</v>
      </c>
    </row>
    <row r="1749" spans="1:28">
      <c r="A1749" s="29">
        <v>3</v>
      </c>
      <c r="B1749" s="111">
        <v>1</v>
      </c>
      <c r="C1749" s="111">
        <v>241525</v>
      </c>
      <c r="D1749" s="111" t="s">
        <v>758</v>
      </c>
      <c r="E1749" s="111" t="s">
        <v>448</v>
      </c>
      <c r="F1749" s="265">
        <v>40897</v>
      </c>
      <c r="G1749" s="265">
        <v>42368</v>
      </c>
      <c r="H1749" s="266">
        <f t="shared" si="141"/>
        <v>1340.1</v>
      </c>
      <c r="I1749" s="266">
        <f t="shared" si="142"/>
        <v>608.84</v>
      </c>
      <c r="J1749" s="266">
        <v>0</v>
      </c>
      <c r="K1749" s="295">
        <f t="shared" si="143"/>
        <v>0</v>
      </c>
      <c r="L1749" s="312">
        <f t="shared" si="144"/>
        <v>1471</v>
      </c>
      <c r="M1749" s="263"/>
      <c r="N1749" s="263"/>
      <c r="O1749" s="263"/>
      <c r="P1749" s="263"/>
      <c r="Q1749" s="263"/>
      <c r="R1749" s="263"/>
      <c r="S1749" s="263"/>
      <c r="T1749" s="263"/>
      <c r="U1749" s="263"/>
      <c r="V1749" s="29">
        <v>1340.1</v>
      </c>
      <c r="W1749" s="292">
        <v>0</v>
      </c>
      <c r="X1749" s="29">
        <v>241.22</v>
      </c>
      <c r="Y1749" s="29">
        <v>1581.32</v>
      </c>
      <c r="Z1749" s="29">
        <v>608.84</v>
      </c>
      <c r="AA1749" s="29">
        <v>1</v>
      </c>
      <c r="AB1749" s="29">
        <v>9.7248000000000001</v>
      </c>
    </row>
    <row r="1750" spans="1:28">
      <c r="A1750" s="29">
        <v>4</v>
      </c>
      <c r="B1750" s="111">
        <v>1</v>
      </c>
      <c r="C1750" s="111">
        <v>312127</v>
      </c>
      <c r="D1750" s="111" t="s">
        <v>758</v>
      </c>
      <c r="E1750" s="111" t="s">
        <v>448</v>
      </c>
      <c r="F1750" s="265">
        <v>42277</v>
      </c>
      <c r="G1750" s="265">
        <v>42360</v>
      </c>
      <c r="H1750" s="266">
        <f t="shared" si="141"/>
        <v>374.89</v>
      </c>
      <c r="I1750" s="266">
        <f t="shared" si="142"/>
        <v>442.37</v>
      </c>
      <c r="J1750" s="266">
        <v>0</v>
      </c>
      <c r="K1750" s="295">
        <f t="shared" si="143"/>
        <v>0</v>
      </c>
      <c r="L1750" s="312">
        <f t="shared" si="144"/>
        <v>83</v>
      </c>
      <c r="M1750" s="263"/>
      <c r="N1750" s="263"/>
      <c r="O1750" s="263"/>
      <c r="P1750" s="263"/>
      <c r="Q1750" s="263"/>
      <c r="R1750" s="263"/>
      <c r="S1750" s="263"/>
      <c r="T1750" s="263"/>
      <c r="U1750" s="263"/>
      <c r="V1750" s="29">
        <v>374.89</v>
      </c>
      <c r="W1750" s="292">
        <v>0</v>
      </c>
      <c r="X1750" s="29">
        <v>67.48</v>
      </c>
      <c r="Y1750" s="29">
        <v>442.37</v>
      </c>
      <c r="Z1750" s="29">
        <v>442.37</v>
      </c>
      <c r="AA1750" s="29">
        <v>1</v>
      </c>
      <c r="AB1750" s="29">
        <v>0</v>
      </c>
    </row>
    <row r="1751" spans="1:28">
      <c r="A1751" s="29">
        <v>5</v>
      </c>
      <c r="B1751" s="111">
        <v>1</v>
      </c>
      <c r="C1751" s="111">
        <v>312799</v>
      </c>
      <c r="D1751" s="111" t="s">
        <v>759</v>
      </c>
      <c r="E1751" s="111" t="s">
        <v>448</v>
      </c>
      <c r="F1751" s="265">
        <v>42287</v>
      </c>
      <c r="G1751" s="265">
        <v>42342</v>
      </c>
      <c r="H1751" s="266">
        <f t="shared" si="141"/>
        <v>4882.22</v>
      </c>
      <c r="I1751" s="266">
        <f t="shared" si="142"/>
        <v>0</v>
      </c>
      <c r="J1751" s="266">
        <v>1</v>
      </c>
      <c r="K1751" s="295">
        <f t="shared" si="143"/>
        <v>48.822200000000002</v>
      </c>
      <c r="L1751" s="312">
        <f t="shared" si="144"/>
        <v>55</v>
      </c>
      <c r="M1751" s="263"/>
      <c r="N1751" s="263"/>
      <c r="O1751" s="263"/>
      <c r="P1751" s="263"/>
      <c r="Q1751" s="263"/>
      <c r="R1751" s="263"/>
      <c r="S1751" s="263"/>
      <c r="T1751" s="263"/>
      <c r="U1751" s="263"/>
      <c r="V1751" s="29">
        <v>4882.22</v>
      </c>
      <c r="W1751" s="292">
        <v>0</v>
      </c>
      <c r="X1751" s="29">
        <v>878.8</v>
      </c>
      <c r="Y1751" s="29">
        <v>5761.02</v>
      </c>
      <c r="Z1751" s="29">
        <v>0</v>
      </c>
      <c r="AA1751" s="29">
        <v>1</v>
      </c>
      <c r="AB1751" s="29">
        <v>57.610199999999999</v>
      </c>
    </row>
    <row r="1752" spans="1:28">
      <c r="A1752" s="29">
        <v>6</v>
      </c>
      <c r="B1752" s="111">
        <v>1</v>
      </c>
      <c r="C1752" s="111">
        <v>313077</v>
      </c>
      <c r="D1752" s="111" t="s">
        <v>759</v>
      </c>
      <c r="E1752" s="111" t="s">
        <v>448</v>
      </c>
      <c r="F1752" s="265">
        <v>42291</v>
      </c>
      <c r="G1752" s="265">
        <v>42350</v>
      </c>
      <c r="H1752" s="266">
        <f t="shared" si="141"/>
        <v>3295.94</v>
      </c>
      <c r="I1752" s="266">
        <f t="shared" si="142"/>
        <v>0</v>
      </c>
      <c r="J1752" s="266">
        <v>1</v>
      </c>
      <c r="K1752" s="295">
        <f t="shared" si="143"/>
        <v>32.959400000000002</v>
      </c>
      <c r="L1752" s="312">
        <f t="shared" si="144"/>
        <v>59</v>
      </c>
      <c r="M1752" s="263"/>
      <c r="N1752" s="263"/>
      <c r="O1752" s="263"/>
      <c r="P1752" s="263"/>
      <c r="Q1752" s="263"/>
      <c r="R1752" s="263"/>
      <c r="S1752" s="263"/>
      <c r="T1752" s="263"/>
      <c r="U1752" s="263"/>
      <c r="V1752" s="29">
        <v>3295.94</v>
      </c>
      <c r="W1752" s="292">
        <v>0</v>
      </c>
      <c r="X1752" s="29">
        <v>593.27</v>
      </c>
      <c r="Y1752" s="29">
        <v>3889.21</v>
      </c>
      <c r="Z1752" s="29">
        <v>0</v>
      </c>
      <c r="AA1752" s="29">
        <v>1</v>
      </c>
      <c r="AB1752" s="29">
        <v>38.892099999999999</v>
      </c>
    </row>
    <row r="1753" spans="1:28">
      <c r="A1753" s="29">
        <v>7</v>
      </c>
      <c r="B1753" s="111">
        <v>1</v>
      </c>
      <c r="C1753" s="111">
        <v>313283</v>
      </c>
      <c r="D1753" s="111" t="s">
        <v>800</v>
      </c>
      <c r="E1753" s="111" t="s">
        <v>448</v>
      </c>
      <c r="F1753" s="265">
        <v>42293</v>
      </c>
      <c r="G1753" s="265">
        <v>42356</v>
      </c>
      <c r="H1753" s="266">
        <f t="shared" si="141"/>
        <v>174.94</v>
      </c>
      <c r="I1753" s="266">
        <f t="shared" si="142"/>
        <v>0</v>
      </c>
      <c r="J1753" s="266">
        <v>1</v>
      </c>
      <c r="K1753" s="295">
        <f t="shared" si="143"/>
        <v>1.7494000000000001</v>
      </c>
      <c r="L1753" s="312">
        <f t="shared" si="144"/>
        <v>63</v>
      </c>
      <c r="M1753" s="263"/>
      <c r="N1753" s="263"/>
      <c r="O1753" s="263"/>
      <c r="P1753" s="263"/>
      <c r="Q1753" s="263"/>
      <c r="R1753" s="263"/>
      <c r="S1753" s="263"/>
      <c r="T1753" s="263"/>
      <c r="U1753" s="263"/>
      <c r="V1753" s="29">
        <v>174.94</v>
      </c>
      <c r="W1753" s="292">
        <v>0</v>
      </c>
      <c r="X1753" s="29">
        <v>31.49</v>
      </c>
      <c r="Y1753" s="29">
        <v>206.43</v>
      </c>
      <c r="Z1753" s="29">
        <v>0</v>
      </c>
      <c r="AA1753" s="29">
        <v>1</v>
      </c>
      <c r="AB1753" s="29">
        <v>2.0642999999999998</v>
      </c>
    </row>
    <row r="1754" spans="1:28">
      <c r="A1754" s="29">
        <v>8</v>
      </c>
      <c r="B1754" s="111">
        <v>1</v>
      </c>
      <c r="C1754" s="111">
        <v>313285</v>
      </c>
      <c r="D1754" s="111" t="s">
        <v>759</v>
      </c>
      <c r="E1754" s="111" t="s">
        <v>448</v>
      </c>
      <c r="F1754" s="265">
        <v>42293</v>
      </c>
      <c r="G1754" s="265">
        <v>42350</v>
      </c>
      <c r="H1754" s="266">
        <f t="shared" si="141"/>
        <v>968.54</v>
      </c>
      <c r="I1754" s="266">
        <f t="shared" si="142"/>
        <v>0</v>
      </c>
      <c r="J1754" s="266">
        <v>1</v>
      </c>
      <c r="K1754" s="295">
        <f t="shared" si="143"/>
        <v>9.6853999999999996</v>
      </c>
      <c r="L1754" s="312">
        <f t="shared" si="144"/>
        <v>57</v>
      </c>
      <c r="M1754" s="263"/>
      <c r="N1754" s="263"/>
      <c r="O1754" s="263"/>
      <c r="P1754" s="263"/>
      <c r="Q1754" s="263"/>
      <c r="R1754" s="263"/>
      <c r="S1754" s="263"/>
      <c r="T1754" s="263"/>
      <c r="U1754" s="263"/>
      <c r="V1754" s="29">
        <v>968.54</v>
      </c>
      <c r="W1754" s="292">
        <v>0</v>
      </c>
      <c r="X1754" s="29">
        <v>174.34</v>
      </c>
      <c r="Y1754" s="29">
        <v>1142.8800000000001</v>
      </c>
      <c r="Z1754" s="29">
        <v>0</v>
      </c>
      <c r="AA1754" s="29">
        <v>1</v>
      </c>
      <c r="AB1754" s="29">
        <v>11.428800000000001</v>
      </c>
    </row>
    <row r="1755" spans="1:28">
      <c r="A1755" s="29">
        <v>9</v>
      </c>
      <c r="B1755" s="111">
        <v>1</v>
      </c>
      <c r="C1755" s="111">
        <v>313314</v>
      </c>
      <c r="D1755" s="111" t="s">
        <v>759</v>
      </c>
      <c r="E1755" s="111" t="s">
        <v>448</v>
      </c>
      <c r="F1755" s="265">
        <v>42294</v>
      </c>
      <c r="G1755" s="265">
        <v>42342</v>
      </c>
      <c r="H1755" s="266">
        <f t="shared" si="141"/>
        <v>2420.35</v>
      </c>
      <c r="I1755" s="266">
        <f t="shared" si="142"/>
        <v>0</v>
      </c>
      <c r="J1755" s="266">
        <v>1</v>
      </c>
      <c r="K1755" s="295">
        <f t="shared" si="143"/>
        <v>24.203499999999998</v>
      </c>
      <c r="L1755" s="312">
        <f t="shared" si="144"/>
        <v>48</v>
      </c>
      <c r="M1755" s="263"/>
      <c r="N1755" s="263"/>
      <c r="O1755" s="263"/>
      <c r="P1755" s="263"/>
      <c r="Q1755" s="263"/>
      <c r="R1755" s="263"/>
      <c r="S1755" s="263"/>
      <c r="T1755" s="263"/>
      <c r="U1755" s="263"/>
      <c r="V1755" s="29">
        <v>2420.35</v>
      </c>
      <c r="W1755" s="292">
        <v>0</v>
      </c>
      <c r="X1755" s="29">
        <v>435.66</v>
      </c>
      <c r="Y1755" s="29">
        <v>2856.01</v>
      </c>
      <c r="Z1755" s="29">
        <v>0</v>
      </c>
      <c r="AA1755" s="29">
        <v>1</v>
      </c>
      <c r="AB1755" s="29">
        <v>28.560099999999998</v>
      </c>
    </row>
    <row r="1756" spans="1:28">
      <c r="A1756" s="29">
        <v>10</v>
      </c>
      <c r="B1756" s="111">
        <v>1</v>
      </c>
      <c r="C1756" s="111">
        <v>313804</v>
      </c>
      <c r="D1756" s="111" t="s">
        <v>759</v>
      </c>
      <c r="E1756" s="111" t="s">
        <v>448</v>
      </c>
      <c r="F1756" s="265">
        <v>42300</v>
      </c>
      <c r="G1756" s="265">
        <v>42350</v>
      </c>
      <c r="H1756" s="266">
        <f t="shared" si="141"/>
        <v>635.09</v>
      </c>
      <c r="I1756" s="266">
        <f t="shared" si="142"/>
        <v>0</v>
      </c>
      <c r="J1756" s="266">
        <v>1</v>
      </c>
      <c r="K1756" s="295">
        <f t="shared" si="143"/>
        <v>6.3509000000000002</v>
      </c>
      <c r="L1756" s="312">
        <f t="shared" si="144"/>
        <v>50</v>
      </c>
      <c r="M1756" s="263"/>
      <c r="N1756" s="263"/>
      <c r="O1756" s="263"/>
      <c r="P1756" s="263"/>
      <c r="Q1756" s="263"/>
      <c r="R1756" s="263"/>
      <c r="S1756" s="263"/>
      <c r="T1756" s="263"/>
      <c r="U1756" s="263"/>
      <c r="V1756" s="29">
        <v>635.09</v>
      </c>
      <c r="W1756" s="292">
        <v>0</v>
      </c>
      <c r="X1756" s="29">
        <v>114.32</v>
      </c>
      <c r="Y1756" s="29">
        <v>749.41</v>
      </c>
      <c r="Z1756" s="29">
        <v>0</v>
      </c>
      <c r="AA1756" s="29">
        <v>1</v>
      </c>
      <c r="AB1756" s="29">
        <v>7.4941000000000004</v>
      </c>
    </row>
    <row r="1757" spans="1:28">
      <c r="A1757" s="29">
        <v>11</v>
      </c>
      <c r="B1757" s="111">
        <v>1</v>
      </c>
      <c r="C1757" s="111">
        <v>314698</v>
      </c>
      <c r="D1757" s="111" t="s">
        <v>758</v>
      </c>
      <c r="E1757" s="111" t="s">
        <v>448</v>
      </c>
      <c r="F1757" s="265">
        <v>42311</v>
      </c>
      <c r="G1757" s="265">
        <v>42357</v>
      </c>
      <c r="H1757" s="266">
        <f t="shared" si="141"/>
        <v>1382.99</v>
      </c>
      <c r="I1757" s="266">
        <f t="shared" si="142"/>
        <v>0</v>
      </c>
      <c r="J1757" s="266">
        <v>1</v>
      </c>
      <c r="K1757" s="295">
        <f t="shared" si="143"/>
        <v>13.8299</v>
      </c>
      <c r="L1757" s="312">
        <f t="shared" si="144"/>
        <v>46</v>
      </c>
      <c r="M1757" s="263"/>
      <c r="N1757" s="263"/>
      <c r="O1757" s="263"/>
      <c r="P1757" s="263"/>
      <c r="Q1757" s="263"/>
      <c r="R1757" s="263"/>
      <c r="S1757" s="263"/>
      <c r="T1757" s="263"/>
      <c r="U1757" s="263"/>
      <c r="V1757" s="29">
        <v>1382.99</v>
      </c>
      <c r="W1757" s="292">
        <v>0</v>
      </c>
      <c r="X1757" s="29">
        <v>248.94</v>
      </c>
      <c r="Y1757" s="29">
        <v>1631.93</v>
      </c>
      <c r="Z1757" s="29">
        <v>0</v>
      </c>
      <c r="AA1757" s="29">
        <v>1</v>
      </c>
      <c r="AB1757" s="29">
        <v>16.319299999999998</v>
      </c>
    </row>
    <row r="1758" spans="1:28">
      <c r="A1758" s="29">
        <v>12</v>
      </c>
      <c r="B1758" s="111">
        <v>1</v>
      </c>
      <c r="C1758" s="111">
        <v>314782</v>
      </c>
      <c r="D1758" s="111" t="s">
        <v>758</v>
      </c>
      <c r="E1758" s="111" t="s">
        <v>448</v>
      </c>
      <c r="F1758" s="265">
        <v>42312</v>
      </c>
      <c r="G1758" s="265">
        <v>42357</v>
      </c>
      <c r="H1758" s="266">
        <f t="shared" si="141"/>
        <v>10658.91</v>
      </c>
      <c r="I1758" s="266">
        <f t="shared" si="142"/>
        <v>0</v>
      </c>
      <c r="J1758" s="266">
        <v>1</v>
      </c>
      <c r="K1758" s="295">
        <f t="shared" si="143"/>
        <v>106.5891</v>
      </c>
      <c r="L1758" s="312">
        <f t="shared" si="144"/>
        <v>45</v>
      </c>
      <c r="M1758" s="263"/>
      <c r="N1758" s="263"/>
      <c r="O1758" s="263"/>
      <c r="P1758" s="263"/>
      <c r="Q1758" s="263"/>
      <c r="R1758" s="263"/>
      <c r="S1758" s="263"/>
      <c r="T1758" s="263"/>
      <c r="U1758" s="263"/>
      <c r="V1758" s="29">
        <v>10658.91</v>
      </c>
      <c r="W1758" s="292">
        <v>0</v>
      </c>
      <c r="X1758" s="29">
        <v>1918.6</v>
      </c>
      <c r="Y1758" s="29">
        <v>12577.51</v>
      </c>
      <c r="Z1758" s="29">
        <v>0</v>
      </c>
      <c r="AA1758" s="29">
        <v>1</v>
      </c>
      <c r="AB1758" s="29">
        <v>125.77509999999999</v>
      </c>
    </row>
    <row r="1759" spans="1:28">
      <c r="A1759" s="29">
        <v>13</v>
      </c>
      <c r="B1759" s="111">
        <v>1</v>
      </c>
      <c r="C1759" s="111">
        <v>314783</v>
      </c>
      <c r="D1759" s="111" t="s">
        <v>758</v>
      </c>
      <c r="E1759" s="111" t="s">
        <v>448</v>
      </c>
      <c r="F1759" s="265">
        <v>42312</v>
      </c>
      <c r="G1759" s="265">
        <v>42357</v>
      </c>
      <c r="H1759" s="266">
        <f t="shared" si="141"/>
        <v>9182.24</v>
      </c>
      <c r="I1759" s="266">
        <f t="shared" si="142"/>
        <v>0</v>
      </c>
      <c r="J1759" s="266">
        <v>1</v>
      </c>
      <c r="K1759" s="295">
        <f t="shared" si="143"/>
        <v>91.822400000000002</v>
      </c>
      <c r="L1759" s="312">
        <f t="shared" si="144"/>
        <v>45</v>
      </c>
      <c r="M1759" s="263"/>
      <c r="N1759" s="263"/>
      <c r="O1759" s="263"/>
      <c r="P1759" s="263"/>
      <c r="Q1759" s="263"/>
      <c r="R1759" s="263"/>
      <c r="S1759" s="263"/>
      <c r="T1759" s="263"/>
      <c r="U1759" s="263"/>
      <c r="V1759" s="29">
        <v>9182.24</v>
      </c>
      <c r="W1759" s="292">
        <v>0</v>
      </c>
      <c r="X1759" s="29">
        <v>1652.8</v>
      </c>
      <c r="Y1759" s="29">
        <v>10835.04</v>
      </c>
      <c r="Z1759" s="29">
        <v>0</v>
      </c>
      <c r="AA1759" s="29">
        <v>1</v>
      </c>
      <c r="AB1759" s="29">
        <v>108.35039999999999</v>
      </c>
    </row>
    <row r="1760" spans="1:28">
      <c r="A1760" s="29">
        <v>14</v>
      </c>
      <c r="B1760" s="111">
        <v>1</v>
      </c>
      <c r="C1760" s="111">
        <v>314864</v>
      </c>
      <c r="D1760" s="111" t="s">
        <v>759</v>
      </c>
      <c r="E1760" s="111" t="s">
        <v>448</v>
      </c>
      <c r="F1760" s="265">
        <v>42313</v>
      </c>
      <c r="G1760" s="265">
        <v>42367</v>
      </c>
      <c r="H1760" s="266">
        <f t="shared" si="141"/>
        <v>2214.52</v>
      </c>
      <c r="I1760" s="266">
        <f t="shared" si="142"/>
        <v>0</v>
      </c>
      <c r="J1760" s="266">
        <v>1</v>
      </c>
      <c r="K1760" s="295">
        <f t="shared" si="143"/>
        <v>22.145199999999999</v>
      </c>
      <c r="L1760" s="312">
        <f t="shared" si="144"/>
        <v>54</v>
      </c>
      <c r="M1760" s="263"/>
      <c r="N1760" s="263"/>
      <c r="O1760" s="263"/>
      <c r="P1760" s="263"/>
      <c r="Q1760" s="263"/>
      <c r="R1760" s="263"/>
      <c r="S1760" s="263"/>
      <c r="T1760" s="263"/>
      <c r="U1760" s="263"/>
      <c r="V1760" s="29">
        <v>2214.52</v>
      </c>
      <c r="W1760" s="292">
        <v>0</v>
      </c>
      <c r="X1760" s="29">
        <v>398.61</v>
      </c>
      <c r="Y1760" s="29">
        <v>2613.13</v>
      </c>
      <c r="Z1760" s="29">
        <v>0</v>
      </c>
      <c r="AA1760" s="29">
        <v>1</v>
      </c>
      <c r="AB1760" s="29">
        <v>26.1313</v>
      </c>
    </row>
    <row r="1761" spans="1:28">
      <c r="A1761" s="29">
        <v>15</v>
      </c>
      <c r="B1761" s="111">
        <v>1</v>
      </c>
      <c r="C1761" s="111">
        <v>314865</v>
      </c>
      <c r="D1761" s="111" t="s">
        <v>757</v>
      </c>
      <c r="E1761" s="111" t="s">
        <v>448</v>
      </c>
      <c r="F1761" s="265">
        <v>42313</v>
      </c>
      <c r="G1761" s="265">
        <v>42356</v>
      </c>
      <c r="H1761" s="266">
        <f t="shared" si="141"/>
        <v>311.32</v>
      </c>
      <c r="I1761" s="266">
        <f t="shared" si="142"/>
        <v>0</v>
      </c>
      <c r="J1761" s="266">
        <v>1</v>
      </c>
      <c r="K1761" s="295">
        <f t="shared" si="143"/>
        <v>3.1132</v>
      </c>
      <c r="L1761" s="312">
        <f t="shared" si="144"/>
        <v>43</v>
      </c>
      <c r="M1761" s="263"/>
      <c r="N1761" s="263"/>
      <c r="O1761" s="263"/>
      <c r="P1761" s="263"/>
      <c r="Q1761" s="263"/>
      <c r="R1761" s="263"/>
      <c r="S1761" s="263"/>
      <c r="T1761" s="263"/>
      <c r="U1761" s="263"/>
      <c r="V1761" s="29">
        <v>311.32</v>
      </c>
      <c r="W1761" s="292">
        <v>0</v>
      </c>
      <c r="X1761" s="29">
        <v>56.04</v>
      </c>
      <c r="Y1761" s="29">
        <v>367.36</v>
      </c>
      <c r="Z1761" s="29">
        <v>0</v>
      </c>
      <c r="AA1761" s="29">
        <v>1</v>
      </c>
      <c r="AB1761" s="29">
        <v>3.6736</v>
      </c>
    </row>
    <row r="1762" spans="1:28">
      <c r="A1762" s="29">
        <v>16</v>
      </c>
      <c r="B1762" s="111">
        <v>1</v>
      </c>
      <c r="C1762" s="111">
        <v>314926</v>
      </c>
      <c r="D1762" s="111" t="s">
        <v>758</v>
      </c>
      <c r="E1762" s="111" t="s">
        <v>448</v>
      </c>
      <c r="F1762" s="265">
        <v>42314</v>
      </c>
      <c r="G1762" s="265">
        <v>42357</v>
      </c>
      <c r="H1762" s="266">
        <f t="shared" si="141"/>
        <v>67.7</v>
      </c>
      <c r="I1762" s="266">
        <f t="shared" si="142"/>
        <v>43.88</v>
      </c>
      <c r="J1762" s="266">
        <v>1</v>
      </c>
      <c r="K1762" s="295">
        <f t="shared" si="143"/>
        <v>0.2382</v>
      </c>
      <c r="L1762" s="312">
        <f t="shared" si="144"/>
        <v>43</v>
      </c>
      <c r="M1762" s="263"/>
      <c r="N1762" s="263"/>
      <c r="O1762" s="263"/>
      <c r="P1762" s="263"/>
      <c r="Q1762" s="263"/>
      <c r="R1762" s="263"/>
      <c r="S1762" s="263"/>
      <c r="T1762" s="263"/>
      <c r="U1762" s="263"/>
      <c r="V1762" s="29">
        <v>67.7</v>
      </c>
      <c r="W1762" s="292">
        <v>0</v>
      </c>
      <c r="X1762" s="29">
        <v>12.19</v>
      </c>
      <c r="Y1762" s="29">
        <v>79.89</v>
      </c>
      <c r="Z1762" s="29">
        <v>43.88</v>
      </c>
      <c r="AA1762" s="29">
        <v>1</v>
      </c>
      <c r="AB1762" s="29">
        <v>0.36009999999999998</v>
      </c>
    </row>
    <row r="1763" spans="1:28">
      <c r="A1763" s="29">
        <v>17</v>
      </c>
      <c r="B1763" s="111">
        <v>1</v>
      </c>
      <c r="C1763" s="111">
        <v>314935</v>
      </c>
      <c r="D1763" s="111" t="s">
        <v>760</v>
      </c>
      <c r="E1763" s="111" t="s">
        <v>448</v>
      </c>
      <c r="F1763" s="265">
        <v>42314</v>
      </c>
      <c r="G1763" s="265">
        <v>42356</v>
      </c>
      <c r="H1763" s="266">
        <f t="shared" si="141"/>
        <v>296.31</v>
      </c>
      <c r="I1763" s="266">
        <f t="shared" si="142"/>
        <v>0</v>
      </c>
      <c r="J1763" s="266">
        <v>1</v>
      </c>
      <c r="K1763" s="295">
        <f t="shared" si="143"/>
        <v>2.9631000000000003</v>
      </c>
      <c r="L1763" s="312">
        <f t="shared" si="144"/>
        <v>42</v>
      </c>
      <c r="M1763" s="263"/>
      <c r="N1763" s="263"/>
      <c r="O1763" s="263"/>
      <c r="P1763" s="263"/>
      <c r="Q1763" s="263"/>
      <c r="R1763" s="263"/>
      <c r="S1763" s="263"/>
      <c r="T1763" s="263"/>
      <c r="U1763" s="263"/>
      <c r="V1763" s="29">
        <v>296.31</v>
      </c>
      <c r="W1763" s="292">
        <v>0</v>
      </c>
      <c r="X1763" s="29">
        <v>53.34</v>
      </c>
      <c r="Y1763" s="29">
        <v>349.65</v>
      </c>
      <c r="Z1763" s="29">
        <v>0</v>
      </c>
      <c r="AA1763" s="29">
        <v>1</v>
      </c>
      <c r="AB1763" s="29">
        <v>3.4965000000000002</v>
      </c>
    </row>
    <row r="1764" spans="1:28">
      <c r="A1764" s="29">
        <v>18</v>
      </c>
      <c r="B1764" s="111">
        <v>1</v>
      </c>
      <c r="C1764" s="111">
        <v>314936</v>
      </c>
      <c r="D1764" s="111" t="s">
        <v>760</v>
      </c>
      <c r="E1764" s="111" t="s">
        <v>448</v>
      </c>
      <c r="F1764" s="265">
        <v>42314</v>
      </c>
      <c r="G1764" s="265">
        <v>42356</v>
      </c>
      <c r="H1764" s="266">
        <f t="shared" si="141"/>
        <v>871.36</v>
      </c>
      <c r="I1764" s="266">
        <f t="shared" si="142"/>
        <v>0</v>
      </c>
      <c r="J1764" s="266">
        <v>1</v>
      </c>
      <c r="K1764" s="295">
        <f t="shared" si="143"/>
        <v>8.7135999999999996</v>
      </c>
      <c r="L1764" s="312">
        <f t="shared" si="144"/>
        <v>42</v>
      </c>
      <c r="M1764" s="263"/>
      <c r="N1764" s="263"/>
      <c r="O1764" s="263"/>
      <c r="P1764" s="263"/>
      <c r="Q1764" s="263"/>
      <c r="R1764" s="263"/>
      <c r="S1764" s="263"/>
      <c r="T1764" s="263"/>
      <c r="U1764" s="263"/>
      <c r="V1764" s="29">
        <v>871.36</v>
      </c>
      <c r="W1764" s="292">
        <v>0</v>
      </c>
      <c r="X1764" s="29">
        <v>156.84</v>
      </c>
      <c r="Y1764" s="29">
        <v>1028.2</v>
      </c>
      <c r="Z1764" s="29">
        <v>0</v>
      </c>
      <c r="AA1764" s="29">
        <v>1</v>
      </c>
      <c r="AB1764" s="29">
        <v>10.282</v>
      </c>
    </row>
    <row r="1765" spans="1:28">
      <c r="A1765" s="29">
        <v>19</v>
      </c>
      <c r="B1765" s="111">
        <v>1</v>
      </c>
      <c r="C1765" s="111">
        <v>314963</v>
      </c>
      <c r="D1765" s="111" t="s">
        <v>759</v>
      </c>
      <c r="E1765" s="111" t="s">
        <v>448</v>
      </c>
      <c r="F1765" s="265">
        <v>42314</v>
      </c>
      <c r="G1765" s="265">
        <v>42342</v>
      </c>
      <c r="H1765" s="266">
        <f t="shared" si="141"/>
        <v>909.2</v>
      </c>
      <c r="I1765" s="266">
        <f t="shared" si="142"/>
        <v>0</v>
      </c>
      <c r="J1765" s="266">
        <v>1</v>
      </c>
      <c r="K1765" s="295">
        <f t="shared" si="143"/>
        <v>9.0920000000000005</v>
      </c>
      <c r="L1765" s="312">
        <f t="shared" si="144"/>
        <v>28</v>
      </c>
      <c r="M1765" s="263"/>
      <c r="N1765" s="263"/>
      <c r="O1765" s="263"/>
      <c r="P1765" s="263"/>
      <c r="Q1765" s="263"/>
      <c r="R1765" s="263"/>
      <c r="S1765" s="263"/>
      <c r="T1765" s="263"/>
      <c r="U1765" s="263"/>
      <c r="V1765" s="29">
        <v>909.2</v>
      </c>
      <c r="W1765" s="292">
        <v>0</v>
      </c>
      <c r="X1765" s="29">
        <v>163.66</v>
      </c>
      <c r="Y1765" s="29">
        <v>1072.8599999999999</v>
      </c>
      <c r="Z1765" s="29">
        <v>0</v>
      </c>
      <c r="AA1765" s="29">
        <v>1</v>
      </c>
      <c r="AB1765" s="29">
        <v>10.7286</v>
      </c>
    </row>
    <row r="1766" spans="1:28">
      <c r="A1766" s="29">
        <v>20</v>
      </c>
      <c r="B1766" s="111">
        <v>1</v>
      </c>
      <c r="C1766" s="111">
        <v>315013</v>
      </c>
      <c r="D1766" s="111" t="s">
        <v>758</v>
      </c>
      <c r="E1766" s="111" t="s">
        <v>448</v>
      </c>
      <c r="F1766" s="265">
        <v>42315</v>
      </c>
      <c r="G1766" s="265">
        <v>42357</v>
      </c>
      <c r="H1766" s="266">
        <f t="shared" si="141"/>
        <v>793.23</v>
      </c>
      <c r="I1766" s="266">
        <f t="shared" si="142"/>
        <v>0</v>
      </c>
      <c r="J1766" s="266">
        <v>1</v>
      </c>
      <c r="K1766" s="295">
        <f t="shared" si="143"/>
        <v>7.9323000000000006</v>
      </c>
      <c r="L1766" s="312">
        <f t="shared" si="144"/>
        <v>42</v>
      </c>
      <c r="M1766" s="263"/>
      <c r="N1766" s="263"/>
      <c r="O1766" s="263"/>
      <c r="P1766" s="263"/>
      <c r="Q1766" s="263"/>
      <c r="R1766" s="263"/>
      <c r="S1766" s="263"/>
      <c r="T1766" s="263"/>
      <c r="U1766" s="263"/>
      <c r="V1766" s="29">
        <v>793.23</v>
      </c>
      <c r="W1766" s="292">
        <v>0</v>
      </c>
      <c r="X1766" s="29">
        <v>142.78</v>
      </c>
      <c r="Y1766" s="29">
        <v>936.01</v>
      </c>
      <c r="Z1766" s="29">
        <v>0</v>
      </c>
      <c r="AA1766" s="29">
        <v>1</v>
      </c>
      <c r="AB1766" s="29">
        <v>9.3600999999999992</v>
      </c>
    </row>
    <row r="1767" spans="1:28">
      <c r="A1767" s="29">
        <v>21</v>
      </c>
      <c r="B1767" s="111">
        <v>1</v>
      </c>
      <c r="C1767" s="111">
        <v>314937</v>
      </c>
      <c r="D1767" s="111" t="s">
        <v>759</v>
      </c>
      <c r="E1767" s="111" t="s">
        <v>448</v>
      </c>
      <c r="F1767" s="265">
        <v>42314</v>
      </c>
      <c r="G1767" s="265">
        <v>42350</v>
      </c>
      <c r="H1767" s="266">
        <f t="shared" si="141"/>
        <v>1409.4</v>
      </c>
      <c r="I1767" s="266">
        <f t="shared" si="142"/>
        <v>0</v>
      </c>
      <c r="J1767" s="266">
        <v>1</v>
      </c>
      <c r="K1767" s="295">
        <f t="shared" si="143"/>
        <v>14.094000000000001</v>
      </c>
      <c r="L1767" s="312">
        <f t="shared" si="144"/>
        <v>36</v>
      </c>
      <c r="M1767" s="263"/>
      <c r="N1767" s="263"/>
      <c r="O1767" s="263"/>
      <c r="P1767" s="263"/>
      <c r="Q1767" s="263"/>
      <c r="R1767" s="263"/>
      <c r="S1767" s="263"/>
      <c r="T1767" s="263"/>
      <c r="U1767" s="263"/>
      <c r="V1767" s="29">
        <v>1409.4</v>
      </c>
      <c r="W1767" s="292">
        <v>0</v>
      </c>
      <c r="X1767" s="29">
        <v>253.69</v>
      </c>
      <c r="Y1767" s="29">
        <v>1663.09</v>
      </c>
      <c r="Z1767" s="29">
        <v>0</v>
      </c>
      <c r="AA1767" s="29">
        <v>1</v>
      </c>
      <c r="AB1767" s="29">
        <v>16.6309</v>
      </c>
    </row>
    <row r="1768" spans="1:28">
      <c r="A1768" s="29">
        <v>22</v>
      </c>
      <c r="B1768" s="111">
        <v>1</v>
      </c>
      <c r="C1768" s="111">
        <v>315057</v>
      </c>
      <c r="D1768" s="111" t="s">
        <v>759</v>
      </c>
      <c r="E1768" s="111" t="s">
        <v>448</v>
      </c>
      <c r="F1768" s="265">
        <v>42317</v>
      </c>
      <c r="G1768" s="265">
        <v>42367</v>
      </c>
      <c r="H1768" s="266">
        <f t="shared" si="141"/>
        <v>3636.8</v>
      </c>
      <c r="I1768" s="266">
        <f t="shared" si="142"/>
        <v>0</v>
      </c>
      <c r="J1768" s="266">
        <v>1</v>
      </c>
      <c r="K1768" s="295">
        <f t="shared" si="143"/>
        <v>36.368000000000002</v>
      </c>
      <c r="L1768" s="312">
        <f t="shared" si="144"/>
        <v>50</v>
      </c>
      <c r="M1768" s="263"/>
      <c r="N1768" s="263"/>
      <c r="O1768" s="263"/>
      <c r="P1768" s="263"/>
      <c r="Q1768" s="263"/>
      <c r="R1768" s="263"/>
      <c r="S1768" s="263"/>
      <c r="T1768" s="263"/>
      <c r="U1768" s="263"/>
      <c r="V1768" s="29">
        <v>3636.8</v>
      </c>
      <c r="W1768" s="292">
        <v>0</v>
      </c>
      <c r="X1768" s="29">
        <v>654.62</v>
      </c>
      <c r="Y1768" s="29">
        <v>4291.42</v>
      </c>
      <c r="Z1768" s="29">
        <v>0</v>
      </c>
      <c r="AA1768" s="29">
        <v>1</v>
      </c>
      <c r="AB1768" s="29">
        <v>42.914200000000001</v>
      </c>
    </row>
    <row r="1769" spans="1:28">
      <c r="A1769" s="29">
        <v>23</v>
      </c>
      <c r="B1769" s="111">
        <v>1</v>
      </c>
      <c r="C1769" s="111">
        <v>315130</v>
      </c>
      <c r="D1769" s="111" t="s">
        <v>758</v>
      </c>
      <c r="E1769" s="111" t="s">
        <v>448</v>
      </c>
      <c r="F1769" s="265">
        <v>42318</v>
      </c>
      <c r="G1769" s="265">
        <v>42357</v>
      </c>
      <c r="H1769" s="266">
        <f t="shared" si="141"/>
        <v>467.77</v>
      </c>
      <c r="I1769" s="266">
        <f t="shared" si="142"/>
        <v>0</v>
      </c>
      <c r="J1769" s="266">
        <v>1</v>
      </c>
      <c r="K1769" s="295">
        <f t="shared" si="143"/>
        <v>4.6776999999999997</v>
      </c>
      <c r="L1769" s="312">
        <f t="shared" si="144"/>
        <v>39</v>
      </c>
      <c r="M1769" s="263"/>
      <c r="N1769" s="263"/>
      <c r="O1769" s="263"/>
      <c r="P1769" s="263"/>
      <c r="Q1769" s="263"/>
      <c r="R1769" s="263"/>
      <c r="S1769" s="263"/>
      <c r="T1769" s="263"/>
      <c r="U1769" s="263"/>
      <c r="V1769" s="29">
        <v>467.77</v>
      </c>
      <c r="W1769" s="292">
        <v>0</v>
      </c>
      <c r="X1769" s="29">
        <v>84.2</v>
      </c>
      <c r="Y1769" s="29">
        <v>551.97</v>
      </c>
      <c r="Z1769" s="29">
        <v>0</v>
      </c>
      <c r="AA1769" s="29">
        <v>1</v>
      </c>
      <c r="AB1769" s="29">
        <v>5.5197000000000003</v>
      </c>
    </row>
    <row r="1770" spans="1:28">
      <c r="A1770" s="29">
        <v>24</v>
      </c>
      <c r="B1770" s="111">
        <v>1</v>
      </c>
      <c r="C1770" s="111">
        <v>315139</v>
      </c>
      <c r="D1770" s="111" t="s">
        <v>758</v>
      </c>
      <c r="E1770" s="111" t="s">
        <v>448</v>
      </c>
      <c r="F1770" s="265">
        <v>42318</v>
      </c>
      <c r="G1770" s="265">
        <v>42357</v>
      </c>
      <c r="H1770" s="266">
        <f t="shared" si="141"/>
        <v>5542.61</v>
      </c>
      <c r="I1770" s="266">
        <f t="shared" si="142"/>
        <v>0</v>
      </c>
      <c r="J1770" s="266">
        <v>1</v>
      </c>
      <c r="K1770" s="295">
        <f t="shared" si="143"/>
        <v>55.426099999999998</v>
      </c>
      <c r="L1770" s="312">
        <f t="shared" si="144"/>
        <v>39</v>
      </c>
      <c r="M1770" s="263"/>
      <c r="N1770" s="263"/>
      <c r="O1770" s="263"/>
      <c r="P1770" s="263"/>
      <c r="Q1770" s="263"/>
      <c r="R1770" s="263"/>
      <c r="S1770" s="263"/>
      <c r="T1770" s="263"/>
      <c r="U1770" s="263"/>
      <c r="V1770" s="29">
        <v>5542.61</v>
      </c>
      <c r="W1770" s="292">
        <v>0</v>
      </c>
      <c r="X1770" s="29">
        <v>997.67</v>
      </c>
      <c r="Y1770" s="29">
        <v>6540.28</v>
      </c>
      <c r="Z1770" s="29">
        <v>0</v>
      </c>
      <c r="AA1770" s="29">
        <v>1</v>
      </c>
      <c r="AB1770" s="29">
        <v>65.402799999999999</v>
      </c>
    </row>
    <row r="1771" spans="1:28">
      <c r="A1771" s="29">
        <v>25</v>
      </c>
      <c r="B1771" s="111">
        <v>1</v>
      </c>
      <c r="C1771" s="111">
        <v>315129</v>
      </c>
      <c r="D1771" s="111" t="s">
        <v>758</v>
      </c>
      <c r="E1771" s="111" t="s">
        <v>448</v>
      </c>
      <c r="F1771" s="265">
        <v>42318</v>
      </c>
      <c r="G1771" s="265">
        <v>42357</v>
      </c>
      <c r="H1771" s="266">
        <f t="shared" si="141"/>
        <v>3466.65</v>
      </c>
      <c r="I1771" s="266">
        <f t="shared" si="142"/>
        <v>0</v>
      </c>
      <c r="J1771" s="266">
        <v>1</v>
      </c>
      <c r="K1771" s="295">
        <f t="shared" si="143"/>
        <v>34.666499999999999</v>
      </c>
      <c r="L1771" s="312">
        <f t="shared" si="144"/>
        <v>39</v>
      </c>
      <c r="M1771" s="263"/>
      <c r="N1771" s="263"/>
      <c r="O1771" s="263"/>
      <c r="P1771" s="263"/>
      <c r="Q1771" s="263"/>
      <c r="R1771" s="263"/>
      <c r="S1771" s="263"/>
      <c r="T1771" s="263"/>
      <c r="U1771" s="263"/>
      <c r="V1771" s="29">
        <v>3466.65</v>
      </c>
      <c r="W1771" s="292">
        <v>0</v>
      </c>
      <c r="X1771" s="29">
        <v>624</v>
      </c>
      <c r="Y1771" s="29">
        <v>4090.65</v>
      </c>
      <c r="Z1771" s="29">
        <v>0</v>
      </c>
      <c r="AA1771" s="29">
        <v>1</v>
      </c>
      <c r="AB1771" s="29">
        <v>40.906500000000001</v>
      </c>
    </row>
    <row r="1772" spans="1:28">
      <c r="A1772" s="29">
        <v>26</v>
      </c>
      <c r="B1772" s="111">
        <v>1</v>
      </c>
      <c r="C1772" s="111">
        <v>315111</v>
      </c>
      <c r="D1772" s="111" t="s">
        <v>759</v>
      </c>
      <c r="E1772" s="111" t="s">
        <v>448</v>
      </c>
      <c r="F1772" s="265">
        <v>42317</v>
      </c>
      <c r="G1772" s="265">
        <v>42367</v>
      </c>
      <c r="H1772" s="266">
        <f t="shared" si="141"/>
        <v>1818.4</v>
      </c>
      <c r="I1772" s="266">
        <f t="shared" si="142"/>
        <v>0</v>
      </c>
      <c r="J1772" s="266">
        <v>1</v>
      </c>
      <c r="K1772" s="295">
        <f t="shared" si="143"/>
        <v>18.184000000000001</v>
      </c>
      <c r="L1772" s="312">
        <f t="shared" si="144"/>
        <v>50</v>
      </c>
      <c r="M1772" s="263"/>
      <c r="N1772" s="263"/>
      <c r="O1772" s="263"/>
      <c r="P1772" s="263"/>
      <c r="Q1772" s="263"/>
      <c r="R1772" s="263"/>
      <c r="S1772" s="263"/>
      <c r="T1772" s="263"/>
      <c r="U1772" s="263"/>
      <c r="V1772" s="29">
        <v>1818.4</v>
      </c>
      <c r="W1772" s="292">
        <v>0</v>
      </c>
      <c r="X1772" s="29">
        <v>327.31</v>
      </c>
      <c r="Y1772" s="29">
        <v>2145.71</v>
      </c>
      <c r="Z1772" s="29">
        <v>0</v>
      </c>
      <c r="AA1772" s="29">
        <v>1</v>
      </c>
      <c r="AB1772" s="29">
        <v>21.457100000000001</v>
      </c>
    </row>
    <row r="1773" spans="1:28">
      <c r="A1773" s="29">
        <v>27</v>
      </c>
      <c r="B1773" s="111">
        <v>1</v>
      </c>
      <c r="C1773" s="111">
        <v>315196</v>
      </c>
      <c r="D1773" s="111" t="s">
        <v>759</v>
      </c>
      <c r="E1773" s="111" t="s">
        <v>448</v>
      </c>
      <c r="F1773" s="265">
        <v>42318</v>
      </c>
      <c r="G1773" s="265">
        <v>42367</v>
      </c>
      <c r="H1773" s="266">
        <f t="shared" si="141"/>
        <v>3868.4</v>
      </c>
      <c r="I1773" s="266">
        <f t="shared" si="142"/>
        <v>0</v>
      </c>
      <c r="J1773" s="266">
        <v>1</v>
      </c>
      <c r="K1773" s="295">
        <f t="shared" si="143"/>
        <v>38.684000000000005</v>
      </c>
      <c r="L1773" s="312">
        <f t="shared" si="144"/>
        <v>49</v>
      </c>
      <c r="M1773" s="263"/>
      <c r="N1773" s="263"/>
      <c r="O1773" s="263"/>
      <c r="P1773" s="263"/>
      <c r="Q1773" s="263"/>
      <c r="R1773" s="263"/>
      <c r="S1773" s="263"/>
      <c r="T1773" s="263"/>
      <c r="U1773" s="263"/>
      <c r="V1773" s="29">
        <v>3868.4</v>
      </c>
      <c r="W1773" s="292">
        <v>0</v>
      </c>
      <c r="X1773" s="29">
        <v>696.31</v>
      </c>
      <c r="Y1773" s="29">
        <v>4564.71</v>
      </c>
      <c r="Z1773" s="29">
        <v>0</v>
      </c>
      <c r="AA1773" s="29">
        <v>1</v>
      </c>
      <c r="AB1773" s="29">
        <v>45.647100000000002</v>
      </c>
    </row>
    <row r="1774" spans="1:28">
      <c r="A1774" s="29">
        <v>28</v>
      </c>
      <c r="B1774" s="111">
        <v>1</v>
      </c>
      <c r="C1774" s="111">
        <v>315257</v>
      </c>
      <c r="D1774" s="111" t="s">
        <v>758</v>
      </c>
      <c r="E1774" s="111" t="s">
        <v>448</v>
      </c>
      <c r="F1774" s="265">
        <v>42319</v>
      </c>
      <c r="G1774" s="265">
        <v>42357</v>
      </c>
      <c r="H1774" s="266">
        <f t="shared" si="141"/>
        <v>1699.95</v>
      </c>
      <c r="I1774" s="266">
        <f t="shared" si="142"/>
        <v>0</v>
      </c>
      <c r="J1774" s="266">
        <v>1</v>
      </c>
      <c r="K1774" s="295">
        <f t="shared" si="143"/>
        <v>16.999500000000001</v>
      </c>
      <c r="L1774" s="312">
        <f t="shared" si="144"/>
        <v>38</v>
      </c>
      <c r="M1774" s="263"/>
      <c r="N1774" s="263"/>
      <c r="O1774" s="263"/>
      <c r="P1774" s="263"/>
      <c r="Q1774" s="263"/>
      <c r="R1774" s="263"/>
      <c r="S1774" s="263"/>
      <c r="T1774" s="263"/>
      <c r="U1774" s="263"/>
      <c r="V1774" s="29">
        <v>1699.95</v>
      </c>
      <c r="W1774" s="292">
        <v>0</v>
      </c>
      <c r="X1774" s="29">
        <v>305.99</v>
      </c>
      <c r="Y1774" s="29">
        <v>2005.94</v>
      </c>
      <c r="Z1774" s="29">
        <v>0</v>
      </c>
      <c r="AA1774" s="29">
        <v>1</v>
      </c>
      <c r="AB1774" s="29">
        <v>20.0594</v>
      </c>
    </row>
    <row r="1775" spans="1:28">
      <c r="A1775" s="29">
        <v>29</v>
      </c>
      <c r="B1775" s="111">
        <v>1</v>
      </c>
      <c r="C1775" s="111">
        <v>315270</v>
      </c>
      <c r="D1775" s="111" t="s">
        <v>758</v>
      </c>
      <c r="E1775" s="111" t="s">
        <v>448</v>
      </c>
      <c r="F1775" s="265">
        <v>42319</v>
      </c>
      <c r="G1775" s="265">
        <v>42357</v>
      </c>
      <c r="H1775" s="266">
        <f t="shared" si="141"/>
        <v>59.64</v>
      </c>
      <c r="I1775" s="266">
        <f t="shared" si="142"/>
        <v>0</v>
      </c>
      <c r="J1775" s="266">
        <v>1</v>
      </c>
      <c r="K1775" s="295">
        <f t="shared" si="143"/>
        <v>0.59640000000000004</v>
      </c>
      <c r="L1775" s="312">
        <f t="shared" si="144"/>
        <v>38</v>
      </c>
      <c r="M1775" s="263"/>
      <c r="N1775" s="263"/>
      <c r="O1775" s="263"/>
      <c r="P1775" s="263"/>
      <c r="Q1775" s="263"/>
      <c r="R1775" s="263"/>
      <c r="S1775" s="263"/>
      <c r="T1775" s="263"/>
      <c r="U1775" s="263"/>
      <c r="V1775" s="29">
        <v>59.64</v>
      </c>
      <c r="W1775" s="292">
        <v>0</v>
      </c>
      <c r="X1775" s="29">
        <v>10.74</v>
      </c>
      <c r="Y1775" s="29">
        <v>70.38</v>
      </c>
      <c r="Z1775" s="29">
        <v>0</v>
      </c>
      <c r="AA1775" s="29">
        <v>1</v>
      </c>
      <c r="AB1775" s="29">
        <v>0.70379999999999998</v>
      </c>
    </row>
    <row r="1776" spans="1:28">
      <c r="A1776" s="29">
        <v>30</v>
      </c>
      <c r="B1776" s="111">
        <v>1</v>
      </c>
      <c r="C1776" s="111">
        <v>315387</v>
      </c>
      <c r="D1776" s="111" t="s">
        <v>758</v>
      </c>
      <c r="E1776" s="111" t="s">
        <v>448</v>
      </c>
      <c r="F1776" s="265">
        <v>42320</v>
      </c>
      <c r="G1776" s="265">
        <v>42357</v>
      </c>
      <c r="H1776" s="266">
        <f t="shared" si="141"/>
        <v>1115.82</v>
      </c>
      <c r="I1776" s="266">
        <f t="shared" si="142"/>
        <v>0</v>
      </c>
      <c r="J1776" s="266">
        <v>1</v>
      </c>
      <c r="K1776" s="295">
        <f t="shared" si="143"/>
        <v>11.158199999999999</v>
      </c>
      <c r="L1776" s="312">
        <f t="shared" si="144"/>
        <v>37</v>
      </c>
      <c r="M1776" s="263"/>
      <c r="N1776" s="263"/>
      <c r="O1776" s="263"/>
      <c r="P1776" s="263"/>
      <c r="Q1776" s="263"/>
      <c r="R1776" s="263"/>
      <c r="S1776" s="263"/>
      <c r="T1776" s="263"/>
      <c r="U1776" s="263"/>
      <c r="V1776" s="29">
        <v>1115.82</v>
      </c>
      <c r="W1776" s="292">
        <v>0</v>
      </c>
      <c r="X1776" s="29">
        <v>200.85</v>
      </c>
      <c r="Y1776" s="29">
        <v>1316.67</v>
      </c>
      <c r="Z1776" s="29">
        <v>0</v>
      </c>
      <c r="AA1776" s="29">
        <v>1</v>
      </c>
      <c r="AB1776" s="29">
        <v>13.166700000000001</v>
      </c>
    </row>
    <row r="1777" spans="1:28">
      <c r="A1777" s="29">
        <v>31</v>
      </c>
      <c r="B1777" s="111">
        <v>1</v>
      </c>
      <c r="C1777" s="111">
        <v>315362</v>
      </c>
      <c r="D1777" s="111" t="s">
        <v>757</v>
      </c>
      <c r="E1777" s="111" t="s">
        <v>448</v>
      </c>
      <c r="F1777" s="265">
        <v>42320</v>
      </c>
      <c r="G1777" s="265">
        <v>42356</v>
      </c>
      <c r="H1777" s="266">
        <f t="shared" si="141"/>
        <v>210.11</v>
      </c>
      <c r="I1777" s="266">
        <f t="shared" si="142"/>
        <v>0</v>
      </c>
      <c r="J1777" s="266">
        <v>1</v>
      </c>
      <c r="K1777" s="295">
        <f t="shared" si="143"/>
        <v>2.1011000000000002</v>
      </c>
      <c r="L1777" s="312">
        <f t="shared" si="144"/>
        <v>36</v>
      </c>
      <c r="M1777" s="263"/>
      <c r="N1777" s="263"/>
      <c r="O1777" s="263"/>
      <c r="P1777" s="263"/>
      <c r="Q1777" s="263"/>
      <c r="R1777" s="263"/>
      <c r="S1777" s="263"/>
      <c r="T1777" s="263"/>
      <c r="U1777" s="263"/>
      <c r="V1777" s="29">
        <v>210.11</v>
      </c>
      <c r="W1777" s="292">
        <v>0</v>
      </c>
      <c r="X1777" s="29">
        <v>37.82</v>
      </c>
      <c r="Y1777" s="29">
        <v>247.93</v>
      </c>
      <c r="Z1777" s="29">
        <v>0</v>
      </c>
      <c r="AA1777" s="29">
        <v>1</v>
      </c>
      <c r="AB1777" s="29">
        <v>2.4792999999999998</v>
      </c>
    </row>
    <row r="1778" spans="1:28">
      <c r="A1778" s="29">
        <v>32</v>
      </c>
      <c r="B1778" s="111">
        <v>6</v>
      </c>
      <c r="C1778" s="111">
        <v>1178</v>
      </c>
      <c r="D1778" s="111" t="s">
        <v>458</v>
      </c>
      <c r="E1778" s="111" t="s">
        <v>448</v>
      </c>
      <c r="F1778" s="265">
        <v>42320</v>
      </c>
      <c r="G1778" s="265">
        <v>42352</v>
      </c>
      <c r="H1778" s="266">
        <f t="shared" si="141"/>
        <v>6228.81</v>
      </c>
      <c r="I1778" s="266">
        <f t="shared" si="142"/>
        <v>0</v>
      </c>
      <c r="J1778" s="266">
        <v>1</v>
      </c>
      <c r="K1778" s="295">
        <f t="shared" si="143"/>
        <v>62.288100000000007</v>
      </c>
      <c r="L1778" s="312">
        <f t="shared" si="144"/>
        <v>32</v>
      </c>
      <c r="M1778" s="263"/>
      <c r="N1778" s="263"/>
      <c r="O1778" s="263"/>
      <c r="P1778" s="263"/>
      <c r="Q1778" s="263"/>
      <c r="R1778" s="263"/>
      <c r="S1778" s="263"/>
      <c r="T1778" s="263"/>
      <c r="U1778" s="263"/>
      <c r="V1778" s="29">
        <v>6228.81</v>
      </c>
      <c r="W1778" s="292">
        <v>0</v>
      </c>
      <c r="X1778" s="29">
        <v>1121.19</v>
      </c>
      <c r="Y1778" s="29">
        <v>7350</v>
      </c>
      <c r="Z1778" s="29">
        <v>0</v>
      </c>
      <c r="AA1778" s="29">
        <v>1</v>
      </c>
      <c r="AB1778" s="29">
        <v>73.5</v>
      </c>
    </row>
    <row r="1779" spans="1:28">
      <c r="A1779" s="29">
        <v>33</v>
      </c>
      <c r="B1779" s="111">
        <v>1</v>
      </c>
      <c r="C1779" s="111">
        <v>315482</v>
      </c>
      <c r="D1779" s="111" t="s">
        <v>758</v>
      </c>
      <c r="E1779" s="111" t="s">
        <v>448</v>
      </c>
      <c r="F1779" s="265">
        <v>42321</v>
      </c>
      <c r="G1779" s="265">
        <v>42357</v>
      </c>
      <c r="H1779" s="266">
        <f t="shared" ref="H1779:H1810" si="145">V1779+W1779</f>
        <v>636.79999999999995</v>
      </c>
      <c r="I1779" s="266">
        <f t="shared" ref="I1779:I1810" si="146">Z1779</f>
        <v>0</v>
      </c>
      <c r="J1779" s="266">
        <v>1</v>
      </c>
      <c r="K1779" s="295">
        <f t="shared" ref="K1779:K1810" si="147">(H1779-I1779)*J1779%</f>
        <v>6.3679999999999994</v>
      </c>
      <c r="L1779" s="312">
        <f t="shared" ref="L1779:L1810" si="148">G1779-F1779</f>
        <v>36</v>
      </c>
      <c r="M1779" s="263"/>
      <c r="N1779" s="263"/>
      <c r="O1779" s="263"/>
      <c r="P1779" s="263"/>
      <c r="Q1779" s="263"/>
      <c r="R1779" s="263"/>
      <c r="S1779" s="263"/>
      <c r="T1779" s="263"/>
      <c r="U1779" s="263"/>
      <c r="V1779" s="29">
        <v>636.79999999999995</v>
      </c>
      <c r="W1779" s="292">
        <v>0</v>
      </c>
      <c r="X1779" s="29">
        <v>114.62</v>
      </c>
      <c r="Y1779" s="29">
        <v>751.42</v>
      </c>
      <c r="Z1779" s="29">
        <v>0</v>
      </c>
      <c r="AA1779" s="29">
        <v>1</v>
      </c>
      <c r="AB1779" s="29">
        <v>7.5141999999999998</v>
      </c>
    </row>
    <row r="1780" spans="1:28">
      <c r="A1780" s="29">
        <v>34</v>
      </c>
      <c r="B1780" s="111">
        <v>1</v>
      </c>
      <c r="C1780" s="111">
        <v>315507</v>
      </c>
      <c r="D1780" s="111" t="s">
        <v>758</v>
      </c>
      <c r="E1780" s="111" t="s">
        <v>448</v>
      </c>
      <c r="F1780" s="265">
        <v>42321</v>
      </c>
      <c r="G1780" s="265">
        <v>42357</v>
      </c>
      <c r="H1780" s="266">
        <f t="shared" si="145"/>
        <v>266.45999999999998</v>
      </c>
      <c r="I1780" s="266">
        <f t="shared" si="146"/>
        <v>0</v>
      </c>
      <c r="J1780" s="266">
        <v>1</v>
      </c>
      <c r="K1780" s="295">
        <f t="shared" si="147"/>
        <v>2.6645999999999996</v>
      </c>
      <c r="L1780" s="312">
        <f t="shared" si="148"/>
        <v>36</v>
      </c>
      <c r="M1780" s="263"/>
      <c r="N1780" s="263"/>
      <c r="O1780" s="263"/>
      <c r="P1780" s="263"/>
      <c r="Q1780" s="263"/>
      <c r="R1780" s="263"/>
      <c r="S1780" s="263"/>
      <c r="T1780" s="263"/>
      <c r="U1780" s="263"/>
      <c r="V1780" s="29">
        <v>266.45999999999998</v>
      </c>
      <c r="W1780" s="292">
        <v>0</v>
      </c>
      <c r="X1780" s="29">
        <v>47.96</v>
      </c>
      <c r="Y1780" s="29">
        <v>314.42</v>
      </c>
      <c r="Z1780" s="29">
        <v>0</v>
      </c>
      <c r="AA1780" s="29">
        <v>1</v>
      </c>
      <c r="AB1780" s="29">
        <v>3.1442000000000001</v>
      </c>
    </row>
    <row r="1781" spans="1:28">
      <c r="A1781" s="29">
        <v>35</v>
      </c>
      <c r="B1781" s="111">
        <v>1</v>
      </c>
      <c r="C1781" s="111">
        <v>315461</v>
      </c>
      <c r="D1781" s="111" t="s">
        <v>758</v>
      </c>
      <c r="E1781" s="111" t="s">
        <v>448</v>
      </c>
      <c r="F1781" s="265">
        <v>42321</v>
      </c>
      <c r="G1781" s="265">
        <v>42357</v>
      </c>
      <c r="H1781" s="266">
        <f t="shared" si="145"/>
        <v>2974.86</v>
      </c>
      <c r="I1781" s="266">
        <f t="shared" si="146"/>
        <v>0</v>
      </c>
      <c r="J1781" s="266">
        <v>1</v>
      </c>
      <c r="K1781" s="295">
        <f t="shared" si="147"/>
        <v>29.748600000000003</v>
      </c>
      <c r="L1781" s="312">
        <f t="shared" si="148"/>
        <v>36</v>
      </c>
      <c r="M1781" s="263"/>
      <c r="N1781" s="263"/>
      <c r="O1781" s="263"/>
      <c r="P1781" s="263"/>
      <c r="Q1781" s="263"/>
      <c r="R1781" s="263"/>
      <c r="S1781" s="263"/>
      <c r="T1781" s="263"/>
      <c r="U1781" s="263"/>
      <c r="V1781" s="29">
        <v>2974.86</v>
      </c>
      <c r="W1781" s="292">
        <v>0</v>
      </c>
      <c r="X1781" s="29">
        <v>535.47</v>
      </c>
      <c r="Y1781" s="29">
        <v>3510.33</v>
      </c>
      <c r="Z1781" s="29">
        <v>0</v>
      </c>
      <c r="AA1781" s="29">
        <v>1</v>
      </c>
      <c r="AB1781" s="29">
        <v>35.103299999999997</v>
      </c>
    </row>
    <row r="1782" spans="1:28">
      <c r="A1782" s="29">
        <v>36</v>
      </c>
      <c r="B1782" s="111">
        <v>1</v>
      </c>
      <c r="C1782" s="111">
        <v>315585</v>
      </c>
      <c r="D1782" s="111" t="s">
        <v>758</v>
      </c>
      <c r="E1782" s="111" t="s">
        <v>448</v>
      </c>
      <c r="F1782" s="265">
        <v>42322</v>
      </c>
      <c r="G1782" s="265">
        <v>42367</v>
      </c>
      <c r="H1782" s="266">
        <f t="shared" si="145"/>
        <v>3993.38</v>
      </c>
      <c r="I1782" s="266">
        <f t="shared" si="146"/>
        <v>1323.95</v>
      </c>
      <c r="J1782" s="266">
        <v>1</v>
      </c>
      <c r="K1782" s="295">
        <f t="shared" si="147"/>
        <v>26.694300000000002</v>
      </c>
      <c r="L1782" s="312">
        <f t="shared" si="148"/>
        <v>45</v>
      </c>
      <c r="M1782" s="263"/>
      <c r="N1782" s="263"/>
      <c r="O1782" s="263"/>
      <c r="P1782" s="263"/>
      <c r="Q1782" s="263"/>
      <c r="R1782" s="263"/>
      <c r="S1782" s="263"/>
      <c r="T1782" s="263"/>
      <c r="U1782" s="263"/>
      <c r="V1782" s="29">
        <v>3993.38</v>
      </c>
      <c r="W1782" s="292">
        <v>0</v>
      </c>
      <c r="X1782" s="29">
        <v>718.81</v>
      </c>
      <c r="Y1782" s="29">
        <v>4712.1899999999996</v>
      </c>
      <c r="Z1782" s="29">
        <v>1323.95</v>
      </c>
      <c r="AA1782" s="29">
        <v>1</v>
      </c>
      <c r="AB1782" s="29">
        <v>33.882399999999997</v>
      </c>
    </row>
    <row r="1783" spans="1:28">
      <c r="A1783" s="29">
        <v>37</v>
      </c>
      <c r="B1783" s="111">
        <v>1</v>
      </c>
      <c r="C1783" s="111">
        <v>315609</v>
      </c>
      <c r="D1783" s="111" t="s">
        <v>757</v>
      </c>
      <c r="E1783" s="111" t="s">
        <v>448</v>
      </c>
      <c r="F1783" s="265">
        <v>42322</v>
      </c>
      <c r="G1783" s="265">
        <v>42356</v>
      </c>
      <c r="H1783" s="266">
        <f t="shared" si="145"/>
        <v>383.24</v>
      </c>
      <c r="I1783" s="266">
        <f t="shared" si="146"/>
        <v>0</v>
      </c>
      <c r="J1783" s="266">
        <v>1</v>
      </c>
      <c r="K1783" s="295">
        <f t="shared" si="147"/>
        <v>3.8324000000000003</v>
      </c>
      <c r="L1783" s="312">
        <f t="shared" si="148"/>
        <v>34</v>
      </c>
      <c r="M1783" s="263"/>
      <c r="N1783" s="263"/>
      <c r="O1783" s="263"/>
      <c r="P1783" s="263"/>
      <c r="Q1783" s="263"/>
      <c r="R1783" s="263"/>
      <c r="S1783" s="263"/>
      <c r="T1783" s="263"/>
      <c r="U1783" s="263"/>
      <c r="V1783" s="29">
        <v>383.24</v>
      </c>
      <c r="W1783" s="292">
        <v>0</v>
      </c>
      <c r="X1783" s="29">
        <v>68.98</v>
      </c>
      <c r="Y1783" s="29">
        <v>452.22</v>
      </c>
      <c r="Z1783" s="29">
        <v>0</v>
      </c>
      <c r="AA1783" s="29">
        <v>1</v>
      </c>
      <c r="AB1783" s="29">
        <v>4.5221999999999998</v>
      </c>
    </row>
    <row r="1784" spans="1:28">
      <c r="A1784" s="29">
        <v>38</v>
      </c>
      <c r="B1784" s="111">
        <v>1</v>
      </c>
      <c r="C1784" s="111">
        <v>315715</v>
      </c>
      <c r="D1784" s="111" t="s">
        <v>758</v>
      </c>
      <c r="E1784" s="111" t="s">
        <v>448</v>
      </c>
      <c r="F1784" s="265">
        <v>42325</v>
      </c>
      <c r="G1784" s="265">
        <v>42368</v>
      </c>
      <c r="H1784" s="266">
        <f t="shared" si="145"/>
        <v>4724.16</v>
      </c>
      <c r="I1784" s="266">
        <f t="shared" si="146"/>
        <v>0</v>
      </c>
      <c r="J1784" s="266">
        <v>1</v>
      </c>
      <c r="K1784" s="295">
        <f t="shared" si="147"/>
        <v>47.241599999999998</v>
      </c>
      <c r="L1784" s="312">
        <f t="shared" si="148"/>
        <v>43</v>
      </c>
      <c r="M1784" s="263"/>
      <c r="N1784" s="263"/>
      <c r="O1784" s="263"/>
      <c r="P1784" s="263"/>
      <c r="Q1784" s="263"/>
      <c r="R1784" s="263"/>
      <c r="S1784" s="263"/>
      <c r="T1784" s="263"/>
      <c r="U1784" s="263"/>
      <c r="V1784" s="29">
        <v>4724.16</v>
      </c>
      <c r="W1784" s="292">
        <v>0</v>
      </c>
      <c r="X1784" s="29">
        <v>850.35</v>
      </c>
      <c r="Y1784" s="29">
        <v>5574.51</v>
      </c>
      <c r="Z1784" s="29">
        <v>0</v>
      </c>
      <c r="AA1784" s="29">
        <v>1</v>
      </c>
      <c r="AB1784" s="29">
        <v>55.745100000000001</v>
      </c>
    </row>
    <row r="1785" spans="1:28">
      <c r="A1785" s="29">
        <v>39</v>
      </c>
      <c r="B1785" s="111">
        <v>1</v>
      </c>
      <c r="C1785" s="111">
        <v>315706</v>
      </c>
      <c r="D1785" s="111" t="s">
        <v>758</v>
      </c>
      <c r="E1785" s="111" t="s">
        <v>448</v>
      </c>
      <c r="F1785" s="265">
        <v>42325</v>
      </c>
      <c r="G1785" s="265">
        <v>42368</v>
      </c>
      <c r="H1785" s="266">
        <f t="shared" si="145"/>
        <v>1672.96</v>
      </c>
      <c r="I1785" s="266">
        <f t="shared" si="146"/>
        <v>0</v>
      </c>
      <c r="J1785" s="266">
        <v>1</v>
      </c>
      <c r="K1785" s="295">
        <f t="shared" si="147"/>
        <v>16.729600000000001</v>
      </c>
      <c r="L1785" s="312">
        <f t="shared" si="148"/>
        <v>43</v>
      </c>
      <c r="M1785" s="263"/>
      <c r="N1785" s="263"/>
      <c r="O1785" s="263"/>
      <c r="P1785" s="263"/>
      <c r="Q1785" s="263"/>
      <c r="R1785" s="263"/>
      <c r="S1785" s="263"/>
      <c r="T1785" s="263"/>
      <c r="U1785" s="263"/>
      <c r="V1785" s="29">
        <v>1672.96</v>
      </c>
      <c r="W1785" s="292">
        <v>0</v>
      </c>
      <c r="X1785" s="29">
        <v>301.13</v>
      </c>
      <c r="Y1785" s="29">
        <v>1974.09</v>
      </c>
      <c r="Z1785" s="29">
        <v>0</v>
      </c>
      <c r="AA1785" s="29">
        <v>1</v>
      </c>
      <c r="AB1785" s="29">
        <v>19.7409</v>
      </c>
    </row>
    <row r="1786" spans="1:28">
      <c r="A1786" s="29">
        <v>40</v>
      </c>
      <c r="B1786" s="111">
        <v>1</v>
      </c>
      <c r="C1786" s="111">
        <v>315820</v>
      </c>
      <c r="D1786" s="111" t="s">
        <v>758</v>
      </c>
      <c r="E1786" s="111" t="s">
        <v>448</v>
      </c>
      <c r="F1786" s="265">
        <v>42326</v>
      </c>
      <c r="G1786" s="265">
        <v>42368</v>
      </c>
      <c r="H1786" s="266">
        <f t="shared" si="145"/>
        <v>507.76</v>
      </c>
      <c r="I1786" s="266">
        <f t="shared" si="146"/>
        <v>0</v>
      </c>
      <c r="J1786" s="266">
        <v>1</v>
      </c>
      <c r="K1786" s="295">
        <f t="shared" si="147"/>
        <v>5.0776000000000003</v>
      </c>
      <c r="L1786" s="312">
        <f t="shared" si="148"/>
        <v>42</v>
      </c>
      <c r="M1786" s="263"/>
      <c r="N1786" s="263"/>
      <c r="O1786" s="263"/>
      <c r="P1786" s="263"/>
      <c r="Q1786" s="263"/>
      <c r="R1786" s="263"/>
      <c r="S1786" s="263"/>
      <c r="T1786" s="263"/>
      <c r="U1786" s="263"/>
      <c r="V1786" s="29">
        <v>507.76</v>
      </c>
      <c r="W1786" s="292">
        <v>0</v>
      </c>
      <c r="X1786" s="29">
        <v>91.4</v>
      </c>
      <c r="Y1786" s="29">
        <v>599.16</v>
      </c>
      <c r="Z1786" s="29">
        <v>0</v>
      </c>
      <c r="AA1786" s="29">
        <v>1</v>
      </c>
      <c r="AB1786" s="29">
        <v>5.9916</v>
      </c>
    </row>
    <row r="1787" spans="1:28">
      <c r="A1787" s="29">
        <v>41</v>
      </c>
      <c r="B1787" s="111">
        <v>1</v>
      </c>
      <c r="C1787" s="111">
        <v>315929</v>
      </c>
      <c r="D1787" s="111" t="s">
        <v>758</v>
      </c>
      <c r="E1787" s="111" t="s">
        <v>448</v>
      </c>
      <c r="F1787" s="265">
        <v>42327</v>
      </c>
      <c r="G1787" s="265">
        <v>42368</v>
      </c>
      <c r="H1787" s="266">
        <f t="shared" si="145"/>
        <v>9587.6200000000008</v>
      </c>
      <c r="I1787" s="266">
        <f t="shared" si="146"/>
        <v>0</v>
      </c>
      <c r="J1787" s="266">
        <v>1</v>
      </c>
      <c r="K1787" s="295">
        <f t="shared" si="147"/>
        <v>95.876200000000011</v>
      </c>
      <c r="L1787" s="312">
        <f t="shared" si="148"/>
        <v>41</v>
      </c>
      <c r="M1787" s="263"/>
      <c r="N1787" s="263"/>
      <c r="O1787" s="263"/>
      <c r="P1787" s="263"/>
      <c r="Q1787" s="263"/>
      <c r="R1787" s="263"/>
      <c r="S1787" s="263"/>
      <c r="T1787" s="263"/>
      <c r="U1787" s="263"/>
      <c r="V1787" s="29">
        <v>9587.6200000000008</v>
      </c>
      <c r="W1787" s="292">
        <v>0</v>
      </c>
      <c r="X1787" s="29">
        <v>1725.77</v>
      </c>
      <c r="Y1787" s="29">
        <v>11313.39</v>
      </c>
      <c r="Z1787" s="29">
        <v>0</v>
      </c>
      <c r="AA1787" s="29">
        <v>1</v>
      </c>
      <c r="AB1787" s="29">
        <v>113.1339</v>
      </c>
    </row>
    <row r="1788" spans="1:28">
      <c r="A1788" s="29">
        <v>42</v>
      </c>
      <c r="B1788" s="111">
        <v>1</v>
      </c>
      <c r="C1788" s="111">
        <v>316013</v>
      </c>
      <c r="D1788" s="111" t="s">
        <v>758</v>
      </c>
      <c r="E1788" s="111" t="s">
        <v>448</v>
      </c>
      <c r="F1788" s="265">
        <v>42328</v>
      </c>
      <c r="G1788" s="265">
        <v>42368</v>
      </c>
      <c r="H1788" s="266">
        <f t="shared" si="145"/>
        <v>1031.6199999999999</v>
      </c>
      <c r="I1788" s="266">
        <f t="shared" si="146"/>
        <v>0</v>
      </c>
      <c r="J1788" s="266">
        <v>1</v>
      </c>
      <c r="K1788" s="295">
        <f t="shared" si="147"/>
        <v>10.316199999999998</v>
      </c>
      <c r="L1788" s="312">
        <f t="shared" si="148"/>
        <v>40</v>
      </c>
      <c r="M1788" s="263"/>
      <c r="N1788" s="263"/>
      <c r="O1788" s="263"/>
      <c r="P1788" s="263"/>
      <c r="Q1788" s="263"/>
      <c r="R1788" s="263"/>
      <c r="S1788" s="263"/>
      <c r="T1788" s="263"/>
      <c r="U1788" s="263"/>
      <c r="V1788" s="29">
        <v>1031.6199999999999</v>
      </c>
      <c r="W1788" s="292">
        <v>0</v>
      </c>
      <c r="X1788" s="29">
        <v>185.69</v>
      </c>
      <c r="Y1788" s="29">
        <v>1217.31</v>
      </c>
      <c r="Z1788" s="29">
        <v>0</v>
      </c>
      <c r="AA1788" s="29">
        <v>1</v>
      </c>
      <c r="AB1788" s="29">
        <v>12.1731</v>
      </c>
    </row>
    <row r="1789" spans="1:28">
      <c r="A1789" s="29">
        <v>43</v>
      </c>
      <c r="B1789" s="111">
        <v>1</v>
      </c>
      <c r="C1789" s="111">
        <v>315928</v>
      </c>
      <c r="D1789" s="111" t="s">
        <v>758</v>
      </c>
      <c r="E1789" s="111" t="s">
        <v>448</v>
      </c>
      <c r="F1789" s="265">
        <v>42327</v>
      </c>
      <c r="G1789" s="265">
        <v>42368</v>
      </c>
      <c r="H1789" s="266">
        <f t="shared" si="145"/>
        <v>5120.79</v>
      </c>
      <c r="I1789" s="266">
        <f t="shared" si="146"/>
        <v>0</v>
      </c>
      <c r="J1789" s="266">
        <v>1</v>
      </c>
      <c r="K1789" s="295">
        <f t="shared" si="147"/>
        <v>51.207900000000002</v>
      </c>
      <c r="L1789" s="312">
        <f t="shared" si="148"/>
        <v>41</v>
      </c>
      <c r="M1789" s="263"/>
      <c r="N1789" s="263"/>
      <c r="O1789" s="263"/>
      <c r="P1789" s="263"/>
      <c r="Q1789" s="263"/>
      <c r="R1789" s="263"/>
      <c r="S1789" s="263"/>
      <c r="T1789" s="263"/>
      <c r="U1789" s="263"/>
      <c r="V1789" s="29">
        <v>5120.79</v>
      </c>
      <c r="W1789" s="292">
        <v>0</v>
      </c>
      <c r="X1789" s="29">
        <v>921.74</v>
      </c>
      <c r="Y1789" s="29">
        <v>6042.53</v>
      </c>
      <c r="Z1789" s="29">
        <v>0</v>
      </c>
      <c r="AA1789" s="29">
        <v>1</v>
      </c>
      <c r="AB1789" s="29">
        <v>60.4253</v>
      </c>
    </row>
    <row r="1790" spans="1:28">
      <c r="A1790" s="29">
        <v>44</v>
      </c>
      <c r="B1790" s="111">
        <v>1</v>
      </c>
      <c r="C1790" s="111">
        <v>316160</v>
      </c>
      <c r="D1790" s="111" t="s">
        <v>758</v>
      </c>
      <c r="E1790" s="111" t="s">
        <v>448</v>
      </c>
      <c r="F1790" s="265">
        <v>42331</v>
      </c>
      <c r="G1790" s="265">
        <v>42368</v>
      </c>
      <c r="H1790" s="266">
        <f t="shared" si="145"/>
        <v>5833.89</v>
      </c>
      <c r="I1790" s="266">
        <f t="shared" si="146"/>
        <v>0</v>
      </c>
      <c r="J1790" s="266">
        <v>1</v>
      </c>
      <c r="K1790" s="295">
        <f t="shared" si="147"/>
        <v>58.338900000000002</v>
      </c>
      <c r="L1790" s="312">
        <f t="shared" si="148"/>
        <v>37</v>
      </c>
      <c r="M1790" s="263"/>
      <c r="N1790" s="263"/>
      <c r="O1790" s="263"/>
      <c r="P1790" s="263"/>
      <c r="Q1790" s="263"/>
      <c r="R1790" s="263"/>
      <c r="S1790" s="263"/>
      <c r="T1790" s="263"/>
      <c r="U1790" s="263"/>
      <c r="V1790" s="29">
        <v>5833.89</v>
      </c>
      <c r="W1790" s="292">
        <v>0</v>
      </c>
      <c r="X1790" s="29">
        <v>1050.0999999999999</v>
      </c>
      <c r="Y1790" s="29">
        <v>6883.99</v>
      </c>
      <c r="Z1790" s="29">
        <v>0</v>
      </c>
      <c r="AA1790" s="29">
        <v>1</v>
      </c>
      <c r="AB1790" s="29">
        <v>68.8399</v>
      </c>
    </row>
    <row r="1791" spans="1:28">
      <c r="A1791" s="29">
        <v>45</v>
      </c>
      <c r="B1791" s="111">
        <v>1</v>
      </c>
      <c r="C1791" s="111">
        <v>316128</v>
      </c>
      <c r="D1791" s="111" t="s">
        <v>758</v>
      </c>
      <c r="E1791" s="111" t="s">
        <v>448</v>
      </c>
      <c r="F1791" s="265">
        <v>42329</v>
      </c>
      <c r="G1791" s="265">
        <v>42368</v>
      </c>
      <c r="H1791" s="266">
        <f t="shared" si="145"/>
        <v>2269.9899999999998</v>
      </c>
      <c r="I1791" s="266">
        <f t="shared" si="146"/>
        <v>0</v>
      </c>
      <c r="J1791" s="266">
        <v>1</v>
      </c>
      <c r="K1791" s="295">
        <f t="shared" si="147"/>
        <v>22.6999</v>
      </c>
      <c r="L1791" s="312">
        <f t="shared" si="148"/>
        <v>39</v>
      </c>
      <c r="M1791" s="263"/>
      <c r="N1791" s="263"/>
      <c r="O1791" s="263"/>
      <c r="P1791" s="263"/>
      <c r="Q1791" s="263"/>
      <c r="R1791" s="263"/>
      <c r="S1791" s="263"/>
      <c r="T1791" s="263"/>
      <c r="U1791" s="263"/>
      <c r="V1791" s="29">
        <v>2269.9899999999998</v>
      </c>
      <c r="W1791" s="292">
        <v>0</v>
      </c>
      <c r="X1791" s="29">
        <v>408.6</v>
      </c>
      <c r="Y1791" s="29">
        <v>2678.59</v>
      </c>
      <c r="Z1791" s="29">
        <v>0</v>
      </c>
      <c r="AA1791" s="29">
        <v>1</v>
      </c>
      <c r="AB1791" s="29">
        <v>26.785900000000002</v>
      </c>
    </row>
    <row r="1792" spans="1:28">
      <c r="A1792" s="29">
        <v>46</v>
      </c>
      <c r="B1792" s="111">
        <v>1</v>
      </c>
      <c r="C1792" s="111">
        <v>316127</v>
      </c>
      <c r="D1792" s="111" t="s">
        <v>758</v>
      </c>
      <c r="E1792" s="111" t="s">
        <v>448</v>
      </c>
      <c r="F1792" s="265">
        <v>42329</v>
      </c>
      <c r="G1792" s="265">
        <v>42368</v>
      </c>
      <c r="H1792" s="266">
        <f t="shared" si="145"/>
        <v>3875.11</v>
      </c>
      <c r="I1792" s="266">
        <f t="shared" si="146"/>
        <v>0</v>
      </c>
      <c r="J1792" s="266">
        <v>1</v>
      </c>
      <c r="K1792" s="295">
        <f t="shared" si="147"/>
        <v>38.751100000000001</v>
      </c>
      <c r="L1792" s="312">
        <f t="shared" si="148"/>
        <v>39</v>
      </c>
      <c r="M1792" s="263"/>
      <c r="N1792" s="263"/>
      <c r="O1792" s="263"/>
      <c r="P1792" s="263"/>
      <c r="Q1792" s="263"/>
      <c r="R1792" s="263"/>
      <c r="S1792" s="263"/>
      <c r="T1792" s="263"/>
      <c r="U1792" s="263"/>
      <c r="V1792" s="29">
        <v>3875.11</v>
      </c>
      <c r="W1792" s="292">
        <v>0</v>
      </c>
      <c r="X1792" s="29">
        <v>697.52</v>
      </c>
      <c r="Y1792" s="29">
        <v>4572.63</v>
      </c>
      <c r="Z1792" s="29">
        <v>0</v>
      </c>
      <c r="AA1792" s="29">
        <v>1</v>
      </c>
      <c r="AB1792" s="29">
        <v>45.726300000000002</v>
      </c>
    </row>
    <row r="1793" spans="1:28">
      <c r="A1793" s="29">
        <v>47</v>
      </c>
      <c r="B1793" s="111">
        <v>1</v>
      </c>
      <c r="C1793" s="111">
        <v>316181</v>
      </c>
      <c r="D1793" s="111" t="s">
        <v>758</v>
      </c>
      <c r="E1793" s="111" t="s">
        <v>448</v>
      </c>
      <c r="F1793" s="265">
        <v>42331</v>
      </c>
      <c r="G1793" s="265">
        <v>42368</v>
      </c>
      <c r="H1793" s="266">
        <f t="shared" si="145"/>
        <v>2363.52</v>
      </c>
      <c r="I1793" s="266">
        <f t="shared" si="146"/>
        <v>0</v>
      </c>
      <c r="J1793" s="266">
        <v>1</v>
      </c>
      <c r="K1793" s="295">
        <f t="shared" si="147"/>
        <v>23.635200000000001</v>
      </c>
      <c r="L1793" s="312">
        <f t="shared" si="148"/>
        <v>37</v>
      </c>
      <c r="M1793" s="263"/>
      <c r="N1793" s="263"/>
      <c r="O1793" s="263"/>
      <c r="P1793" s="263"/>
      <c r="Q1793" s="263"/>
      <c r="R1793" s="263"/>
      <c r="S1793" s="263"/>
      <c r="T1793" s="263"/>
      <c r="U1793" s="263"/>
      <c r="V1793" s="29">
        <v>2363.52</v>
      </c>
      <c r="W1793" s="292">
        <v>0</v>
      </c>
      <c r="X1793" s="29">
        <v>425.43</v>
      </c>
      <c r="Y1793" s="29">
        <v>2788.95</v>
      </c>
      <c r="Z1793" s="29">
        <v>0</v>
      </c>
      <c r="AA1793" s="29">
        <v>1</v>
      </c>
      <c r="AB1793" s="29">
        <v>27.889500000000002</v>
      </c>
    </row>
    <row r="1794" spans="1:28">
      <c r="A1794" s="29">
        <v>48</v>
      </c>
      <c r="B1794" s="111">
        <v>1</v>
      </c>
      <c r="C1794" s="111">
        <v>316221</v>
      </c>
      <c r="D1794" s="111" t="s">
        <v>758</v>
      </c>
      <c r="E1794" s="111" t="s">
        <v>448</v>
      </c>
      <c r="F1794" s="265">
        <v>42332</v>
      </c>
      <c r="G1794" s="265">
        <v>42368</v>
      </c>
      <c r="H1794" s="266">
        <f t="shared" si="145"/>
        <v>1063.69</v>
      </c>
      <c r="I1794" s="266">
        <f t="shared" si="146"/>
        <v>0</v>
      </c>
      <c r="J1794" s="266">
        <v>1</v>
      </c>
      <c r="K1794" s="295">
        <f t="shared" si="147"/>
        <v>10.636900000000001</v>
      </c>
      <c r="L1794" s="312">
        <f t="shared" si="148"/>
        <v>36</v>
      </c>
      <c r="M1794" s="263"/>
      <c r="N1794" s="263"/>
      <c r="O1794" s="263"/>
      <c r="P1794" s="263"/>
      <c r="Q1794" s="263"/>
      <c r="R1794" s="263"/>
      <c r="S1794" s="263"/>
      <c r="T1794" s="263"/>
      <c r="U1794" s="263"/>
      <c r="V1794" s="29">
        <v>1063.69</v>
      </c>
      <c r="W1794" s="292">
        <v>0</v>
      </c>
      <c r="X1794" s="29">
        <v>191.46</v>
      </c>
      <c r="Y1794" s="29">
        <v>1255.1500000000001</v>
      </c>
      <c r="Z1794" s="29">
        <v>0</v>
      </c>
      <c r="AA1794" s="29">
        <v>1</v>
      </c>
      <c r="AB1794" s="29">
        <v>12.551500000000001</v>
      </c>
    </row>
    <row r="1795" spans="1:28">
      <c r="A1795" s="29">
        <v>49</v>
      </c>
      <c r="B1795" s="111">
        <v>1</v>
      </c>
      <c r="C1795" s="111">
        <v>316243</v>
      </c>
      <c r="D1795" s="111" t="s">
        <v>758</v>
      </c>
      <c r="E1795" s="111" t="s">
        <v>448</v>
      </c>
      <c r="F1795" s="265">
        <v>42332</v>
      </c>
      <c r="G1795" s="265">
        <v>42368</v>
      </c>
      <c r="H1795" s="266">
        <f t="shared" si="145"/>
        <v>2767.55</v>
      </c>
      <c r="I1795" s="266">
        <f t="shared" si="146"/>
        <v>0</v>
      </c>
      <c r="J1795" s="266">
        <v>1</v>
      </c>
      <c r="K1795" s="295">
        <f t="shared" si="147"/>
        <v>27.675500000000003</v>
      </c>
      <c r="L1795" s="312">
        <f t="shared" si="148"/>
        <v>36</v>
      </c>
      <c r="M1795" s="263"/>
      <c r="N1795" s="263"/>
      <c r="O1795" s="263"/>
      <c r="P1795" s="263"/>
      <c r="Q1795" s="263"/>
      <c r="R1795" s="263"/>
      <c r="S1795" s="263"/>
      <c r="T1795" s="263"/>
      <c r="U1795" s="263"/>
      <c r="V1795" s="29">
        <v>2767.55</v>
      </c>
      <c r="W1795" s="292">
        <v>0</v>
      </c>
      <c r="X1795" s="29">
        <v>498.16</v>
      </c>
      <c r="Y1795" s="29">
        <v>3265.71</v>
      </c>
      <c r="Z1795" s="29">
        <v>0</v>
      </c>
      <c r="AA1795" s="29">
        <v>1</v>
      </c>
      <c r="AB1795" s="29">
        <v>32.6571</v>
      </c>
    </row>
    <row r="1796" spans="1:28">
      <c r="A1796" s="29">
        <v>50</v>
      </c>
      <c r="B1796" s="111">
        <v>1</v>
      </c>
      <c r="C1796" s="111">
        <v>316227</v>
      </c>
      <c r="D1796" s="111" t="s">
        <v>758</v>
      </c>
      <c r="E1796" s="111" t="s">
        <v>448</v>
      </c>
      <c r="F1796" s="265">
        <v>42332</v>
      </c>
      <c r="G1796" s="265">
        <v>42368</v>
      </c>
      <c r="H1796" s="266">
        <f t="shared" si="145"/>
        <v>747.89</v>
      </c>
      <c r="I1796" s="266">
        <f t="shared" si="146"/>
        <v>0</v>
      </c>
      <c r="J1796" s="266">
        <v>1</v>
      </c>
      <c r="K1796" s="295">
        <f t="shared" si="147"/>
        <v>7.4789000000000003</v>
      </c>
      <c r="L1796" s="312">
        <f t="shared" si="148"/>
        <v>36</v>
      </c>
      <c r="M1796" s="263"/>
      <c r="N1796" s="263"/>
      <c r="O1796" s="263"/>
      <c r="P1796" s="263"/>
      <c r="Q1796" s="263"/>
      <c r="R1796" s="263"/>
      <c r="S1796" s="263"/>
      <c r="T1796" s="263"/>
      <c r="U1796" s="263"/>
      <c r="V1796" s="29">
        <v>747.89</v>
      </c>
      <c r="W1796" s="292">
        <v>0</v>
      </c>
      <c r="X1796" s="29">
        <v>134.62</v>
      </c>
      <c r="Y1796" s="29">
        <v>882.51</v>
      </c>
      <c r="Z1796" s="29">
        <v>0</v>
      </c>
      <c r="AA1796" s="29">
        <v>1</v>
      </c>
      <c r="AB1796" s="29">
        <v>8.8251000000000008</v>
      </c>
    </row>
    <row r="1797" spans="1:28">
      <c r="A1797" s="29">
        <v>51</v>
      </c>
      <c r="B1797" s="111">
        <v>1</v>
      </c>
      <c r="C1797" s="111">
        <v>316298</v>
      </c>
      <c r="D1797" s="111" t="s">
        <v>772</v>
      </c>
      <c r="E1797" s="111" t="s">
        <v>448</v>
      </c>
      <c r="F1797" s="265">
        <v>42332</v>
      </c>
      <c r="G1797" s="265">
        <v>42343</v>
      </c>
      <c r="H1797" s="266">
        <f t="shared" si="145"/>
        <v>30426.799999999999</v>
      </c>
      <c r="I1797" s="266">
        <f t="shared" si="146"/>
        <v>0</v>
      </c>
      <c r="J1797" s="266">
        <v>0.5</v>
      </c>
      <c r="K1797" s="295">
        <f t="shared" si="147"/>
        <v>152.13399999999999</v>
      </c>
      <c r="L1797" s="312">
        <f t="shared" si="148"/>
        <v>11</v>
      </c>
      <c r="M1797" s="263"/>
      <c r="N1797" s="263"/>
      <c r="O1797" s="263"/>
      <c r="P1797" s="263"/>
      <c r="Q1797" s="263"/>
      <c r="R1797" s="263"/>
      <c r="S1797" s="263"/>
      <c r="T1797" s="263"/>
      <c r="U1797" s="263"/>
      <c r="V1797" s="29">
        <v>30426.799999999999</v>
      </c>
      <c r="W1797" s="292">
        <v>0</v>
      </c>
      <c r="X1797" s="29">
        <v>5476.82</v>
      </c>
      <c r="Y1797" s="29">
        <v>35903.620000000003</v>
      </c>
      <c r="Z1797" s="29">
        <v>0</v>
      </c>
      <c r="AA1797" s="29">
        <v>1</v>
      </c>
      <c r="AB1797" s="29">
        <v>359.03620000000001</v>
      </c>
    </row>
    <row r="1798" spans="1:28">
      <c r="A1798" s="29">
        <v>52</v>
      </c>
      <c r="B1798" s="111">
        <v>1</v>
      </c>
      <c r="C1798" s="111">
        <v>316327</v>
      </c>
      <c r="D1798" s="111" t="s">
        <v>760</v>
      </c>
      <c r="E1798" s="111" t="s">
        <v>448</v>
      </c>
      <c r="F1798" s="265">
        <v>42333</v>
      </c>
      <c r="G1798" s="265">
        <v>42356</v>
      </c>
      <c r="H1798" s="266">
        <f t="shared" si="145"/>
        <v>435.68</v>
      </c>
      <c r="I1798" s="266">
        <f t="shared" si="146"/>
        <v>0</v>
      </c>
      <c r="J1798" s="266">
        <v>1</v>
      </c>
      <c r="K1798" s="295">
        <f t="shared" si="147"/>
        <v>4.3567999999999998</v>
      </c>
      <c r="L1798" s="312">
        <f t="shared" si="148"/>
        <v>23</v>
      </c>
      <c r="M1798" s="263"/>
      <c r="N1798" s="263"/>
      <c r="O1798" s="263"/>
      <c r="P1798" s="263"/>
      <c r="Q1798" s="263"/>
      <c r="R1798" s="263"/>
      <c r="S1798" s="263"/>
      <c r="T1798" s="263"/>
      <c r="U1798" s="263"/>
      <c r="V1798" s="29">
        <v>435.68</v>
      </c>
      <c r="W1798" s="292">
        <v>0</v>
      </c>
      <c r="X1798" s="29">
        <v>78.42</v>
      </c>
      <c r="Y1798" s="29">
        <v>514.1</v>
      </c>
      <c r="Z1798" s="29">
        <v>0</v>
      </c>
      <c r="AA1798" s="29">
        <v>1</v>
      </c>
      <c r="AB1798" s="29">
        <v>5.141</v>
      </c>
    </row>
    <row r="1799" spans="1:28">
      <c r="A1799" s="29">
        <v>53</v>
      </c>
      <c r="B1799" s="111">
        <v>1</v>
      </c>
      <c r="C1799" s="111">
        <v>316518</v>
      </c>
      <c r="D1799" s="111" t="s">
        <v>758</v>
      </c>
      <c r="E1799" s="111" t="s">
        <v>448</v>
      </c>
      <c r="F1799" s="265">
        <v>42334</v>
      </c>
      <c r="G1799" s="265">
        <v>42368</v>
      </c>
      <c r="H1799" s="266">
        <f t="shared" si="145"/>
        <v>3748.88</v>
      </c>
      <c r="I1799" s="266">
        <f t="shared" si="146"/>
        <v>0</v>
      </c>
      <c r="J1799" s="266">
        <v>1</v>
      </c>
      <c r="K1799" s="295">
        <f t="shared" si="147"/>
        <v>37.488800000000005</v>
      </c>
      <c r="L1799" s="312">
        <f t="shared" si="148"/>
        <v>34</v>
      </c>
      <c r="M1799" s="263"/>
      <c r="N1799" s="263"/>
      <c r="O1799" s="263"/>
      <c r="P1799" s="263"/>
      <c r="Q1799" s="263"/>
      <c r="R1799" s="263"/>
      <c r="S1799" s="263"/>
      <c r="T1799" s="263"/>
      <c r="U1799" s="263"/>
      <c r="V1799" s="29">
        <v>3748.88</v>
      </c>
      <c r="W1799" s="292">
        <v>0</v>
      </c>
      <c r="X1799" s="29">
        <v>674.8</v>
      </c>
      <c r="Y1799" s="29">
        <v>4423.68</v>
      </c>
      <c r="Z1799" s="29">
        <v>0</v>
      </c>
      <c r="AA1799" s="29">
        <v>1</v>
      </c>
      <c r="AB1799" s="29">
        <v>44.236800000000002</v>
      </c>
    </row>
    <row r="1800" spans="1:28">
      <c r="A1800" s="29">
        <v>54</v>
      </c>
      <c r="B1800" s="111">
        <v>1</v>
      </c>
      <c r="C1800" s="111">
        <v>316519</v>
      </c>
      <c r="D1800" s="111" t="s">
        <v>758</v>
      </c>
      <c r="E1800" s="111" t="s">
        <v>448</v>
      </c>
      <c r="F1800" s="265">
        <v>42334</v>
      </c>
      <c r="G1800" s="265">
        <v>42368</v>
      </c>
      <c r="H1800" s="266">
        <f t="shared" si="145"/>
        <v>516.16</v>
      </c>
      <c r="I1800" s="266">
        <f t="shared" si="146"/>
        <v>0</v>
      </c>
      <c r="J1800" s="266">
        <v>1</v>
      </c>
      <c r="K1800" s="295">
        <f t="shared" si="147"/>
        <v>5.1616</v>
      </c>
      <c r="L1800" s="312">
        <f t="shared" si="148"/>
        <v>34</v>
      </c>
      <c r="M1800" s="263"/>
      <c r="N1800" s="263"/>
      <c r="O1800" s="263"/>
      <c r="P1800" s="263"/>
      <c r="Q1800" s="263"/>
      <c r="R1800" s="263"/>
      <c r="S1800" s="263"/>
      <c r="T1800" s="263"/>
      <c r="U1800" s="263"/>
      <c r="V1800" s="29">
        <v>516.16</v>
      </c>
      <c r="W1800" s="292">
        <v>0</v>
      </c>
      <c r="X1800" s="29">
        <v>92.91</v>
      </c>
      <c r="Y1800" s="29">
        <v>609.07000000000005</v>
      </c>
      <c r="Z1800" s="29">
        <v>0</v>
      </c>
      <c r="AA1800" s="29">
        <v>1</v>
      </c>
      <c r="AB1800" s="29">
        <v>6.0907</v>
      </c>
    </row>
    <row r="1801" spans="1:28">
      <c r="A1801" s="29">
        <v>55</v>
      </c>
      <c r="B1801" s="111">
        <v>1</v>
      </c>
      <c r="C1801" s="111">
        <v>316460</v>
      </c>
      <c r="D1801" s="111" t="s">
        <v>758</v>
      </c>
      <c r="E1801" s="111" t="s">
        <v>448</v>
      </c>
      <c r="F1801" s="265">
        <v>42334</v>
      </c>
      <c r="G1801" s="265">
        <v>42368</v>
      </c>
      <c r="H1801" s="266">
        <f t="shared" si="145"/>
        <v>6317.4</v>
      </c>
      <c r="I1801" s="266">
        <f t="shared" si="146"/>
        <v>0</v>
      </c>
      <c r="J1801" s="266">
        <v>1</v>
      </c>
      <c r="K1801" s="295">
        <f t="shared" si="147"/>
        <v>63.173999999999999</v>
      </c>
      <c r="L1801" s="312">
        <f t="shared" si="148"/>
        <v>34</v>
      </c>
      <c r="M1801" s="263"/>
      <c r="N1801" s="263"/>
      <c r="O1801" s="263"/>
      <c r="P1801" s="263"/>
      <c r="Q1801" s="263"/>
      <c r="R1801" s="263"/>
      <c r="S1801" s="263"/>
      <c r="T1801" s="263"/>
      <c r="U1801" s="263"/>
      <c r="V1801" s="29">
        <v>6317.4</v>
      </c>
      <c r="W1801" s="292">
        <v>0</v>
      </c>
      <c r="X1801" s="29">
        <v>1137.1300000000001</v>
      </c>
      <c r="Y1801" s="29">
        <v>7454.53</v>
      </c>
      <c r="Z1801" s="29">
        <v>0</v>
      </c>
      <c r="AA1801" s="29">
        <v>1</v>
      </c>
      <c r="AB1801" s="29">
        <v>74.545299999999997</v>
      </c>
    </row>
    <row r="1802" spans="1:28">
      <c r="A1802" s="29">
        <v>56</v>
      </c>
      <c r="B1802" s="111">
        <v>1</v>
      </c>
      <c r="C1802" s="111">
        <v>316663</v>
      </c>
      <c r="D1802" s="111" t="s">
        <v>758</v>
      </c>
      <c r="E1802" s="111" t="s">
        <v>448</v>
      </c>
      <c r="F1802" s="265">
        <v>42335</v>
      </c>
      <c r="G1802" s="265">
        <v>42368</v>
      </c>
      <c r="H1802" s="266">
        <f t="shared" si="145"/>
        <v>2324.31</v>
      </c>
      <c r="I1802" s="266">
        <f t="shared" si="146"/>
        <v>0</v>
      </c>
      <c r="J1802" s="266">
        <v>1</v>
      </c>
      <c r="K1802" s="295">
        <f t="shared" si="147"/>
        <v>23.243099999999998</v>
      </c>
      <c r="L1802" s="312">
        <f t="shared" si="148"/>
        <v>33</v>
      </c>
      <c r="M1802" s="263"/>
      <c r="N1802" s="263"/>
      <c r="O1802" s="263"/>
      <c r="P1802" s="263"/>
      <c r="Q1802" s="263"/>
      <c r="R1802" s="263"/>
      <c r="S1802" s="263"/>
      <c r="T1802" s="263"/>
      <c r="U1802" s="263"/>
      <c r="V1802" s="29">
        <v>2324.31</v>
      </c>
      <c r="W1802" s="292">
        <v>0</v>
      </c>
      <c r="X1802" s="29">
        <v>418.38</v>
      </c>
      <c r="Y1802" s="29">
        <v>2742.69</v>
      </c>
      <c r="Z1802" s="29">
        <v>0</v>
      </c>
      <c r="AA1802" s="29">
        <v>1</v>
      </c>
      <c r="AB1802" s="29">
        <v>27.4269</v>
      </c>
    </row>
    <row r="1803" spans="1:28">
      <c r="A1803" s="29">
        <v>57</v>
      </c>
      <c r="B1803" s="111">
        <v>1</v>
      </c>
      <c r="C1803" s="111">
        <v>316606</v>
      </c>
      <c r="D1803" s="111" t="s">
        <v>758</v>
      </c>
      <c r="E1803" s="111" t="s">
        <v>448</v>
      </c>
      <c r="F1803" s="265">
        <v>42335</v>
      </c>
      <c r="G1803" s="265">
        <v>42368</v>
      </c>
      <c r="H1803" s="266">
        <f t="shared" si="145"/>
        <v>935.54</v>
      </c>
      <c r="I1803" s="266">
        <f t="shared" si="146"/>
        <v>0</v>
      </c>
      <c r="J1803" s="266">
        <v>1</v>
      </c>
      <c r="K1803" s="295">
        <f t="shared" si="147"/>
        <v>9.3553999999999995</v>
      </c>
      <c r="L1803" s="312">
        <f t="shared" si="148"/>
        <v>33</v>
      </c>
      <c r="M1803" s="263"/>
      <c r="N1803" s="263"/>
      <c r="O1803" s="263"/>
      <c r="P1803" s="263"/>
      <c r="Q1803" s="263"/>
      <c r="R1803" s="263"/>
      <c r="S1803" s="263"/>
      <c r="T1803" s="263"/>
      <c r="U1803" s="263"/>
      <c r="V1803" s="29">
        <v>935.54</v>
      </c>
      <c r="W1803" s="292">
        <v>0</v>
      </c>
      <c r="X1803" s="29">
        <v>168.4</v>
      </c>
      <c r="Y1803" s="29">
        <v>1103.94</v>
      </c>
      <c r="Z1803" s="29">
        <v>0</v>
      </c>
      <c r="AA1803" s="29">
        <v>1</v>
      </c>
      <c r="AB1803" s="29">
        <v>11.039400000000001</v>
      </c>
    </row>
    <row r="1804" spans="1:28">
      <c r="A1804" s="29">
        <v>58</v>
      </c>
      <c r="B1804" s="111">
        <v>1</v>
      </c>
      <c r="C1804" s="111">
        <v>316685</v>
      </c>
      <c r="D1804" s="111" t="s">
        <v>758</v>
      </c>
      <c r="E1804" s="111" t="s">
        <v>448</v>
      </c>
      <c r="F1804" s="265">
        <v>42336</v>
      </c>
      <c r="G1804" s="265">
        <v>42368</v>
      </c>
      <c r="H1804" s="266">
        <f t="shared" si="145"/>
        <v>1340.34</v>
      </c>
      <c r="I1804" s="266">
        <f t="shared" si="146"/>
        <v>0</v>
      </c>
      <c r="J1804" s="266">
        <v>1</v>
      </c>
      <c r="K1804" s="295">
        <f t="shared" si="147"/>
        <v>13.4034</v>
      </c>
      <c r="L1804" s="312">
        <f t="shared" si="148"/>
        <v>32</v>
      </c>
      <c r="M1804" s="263"/>
      <c r="N1804" s="263"/>
      <c r="O1804" s="263"/>
      <c r="P1804" s="263"/>
      <c r="Q1804" s="263"/>
      <c r="R1804" s="263"/>
      <c r="S1804" s="263"/>
      <c r="T1804" s="263"/>
      <c r="U1804" s="263"/>
      <c r="V1804" s="29">
        <v>1340.34</v>
      </c>
      <c r="W1804" s="292">
        <v>0</v>
      </c>
      <c r="X1804" s="29">
        <v>241.26</v>
      </c>
      <c r="Y1804" s="29">
        <v>1581.6</v>
      </c>
      <c r="Z1804" s="29">
        <v>0</v>
      </c>
      <c r="AA1804" s="29">
        <v>1</v>
      </c>
      <c r="AB1804" s="29">
        <v>15.816000000000001</v>
      </c>
    </row>
    <row r="1805" spans="1:28">
      <c r="A1805" s="29">
        <v>59</v>
      </c>
      <c r="B1805" s="111">
        <v>1</v>
      </c>
      <c r="C1805" s="111">
        <v>316699</v>
      </c>
      <c r="D1805" s="111" t="s">
        <v>758</v>
      </c>
      <c r="E1805" s="111" t="s">
        <v>448</v>
      </c>
      <c r="F1805" s="265">
        <v>42336</v>
      </c>
      <c r="G1805" s="265">
        <v>42368</v>
      </c>
      <c r="H1805" s="266">
        <f t="shared" si="145"/>
        <v>3857.49</v>
      </c>
      <c r="I1805" s="266">
        <f t="shared" si="146"/>
        <v>0</v>
      </c>
      <c r="J1805" s="266">
        <v>1</v>
      </c>
      <c r="K1805" s="295">
        <f t="shared" si="147"/>
        <v>38.5749</v>
      </c>
      <c r="L1805" s="312">
        <f t="shared" si="148"/>
        <v>32</v>
      </c>
      <c r="M1805" s="263"/>
      <c r="N1805" s="263"/>
      <c r="O1805" s="263"/>
      <c r="P1805" s="263"/>
      <c r="Q1805" s="263"/>
      <c r="R1805" s="263"/>
      <c r="S1805" s="263"/>
      <c r="T1805" s="263"/>
      <c r="U1805" s="263"/>
      <c r="V1805" s="29">
        <v>3857.49</v>
      </c>
      <c r="W1805" s="292">
        <v>0</v>
      </c>
      <c r="X1805" s="29">
        <v>694.35</v>
      </c>
      <c r="Y1805" s="29">
        <v>4551.84</v>
      </c>
      <c r="Z1805" s="29">
        <v>0</v>
      </c>
      <c r="AA1805" s="29">
        <v>1</v>
      </c>
      <c r="AB1805" s="29">
        <v>45.5184</v>
      </c>
    </row>
    <row r="1806" spans="1:28">
      <c r="A1806" s="29">
        <v>60</v>
      </c>
      <c r="B1806" s="111">
        <v>1</v>
      </c>
      <c r="C1806" s="111">
        <v>316700</v>
      </c>
      <c r="D1806" s="111" t="s">
        <v>758</v>
      </c>
      <c r="E1806" s="111" t="s">
        <v>448</v>
      </c>
      <c r="F1806" s="265">
        <v>42336</v>
      </c>
      <c r="G1806" s="265">
        <v>42368</v>
      </c>
      <c r="H1806" s="266">
        <f t="shared" si="145"/>
        <v>2330.63</v>
      </c>
      <c r="I1806" s="266">
        <f t="shared" si="146"/>
        <v>0</v>
      </c>
      <c r="J1806" s="266">
        <v>1</v>
      </c>
      <c r="K1806" s="295">
        <f t="shared" si="147"/>
        <v>23.3063</v>
      </c>
      <c r="L1806" s="312">
        <f t="shared" si="148"/>
        <v>32</v>
      </c>
      <c r="M1806" s="263"/>
      <c r="N1806" s="263"/>
      <c r="O1806" s="263"/>
      <c r="P1806" s="263"/>
      <c r="Q1806" s="263"/>
      <c r="R1806" s="263"/>
      <c r="S1806" s="263"/>
      <c r="T1806" s="263"/>
      <c r="U1806" s="263"/>
      <c r="V1806" s="29">
        <v>2330.63</v>
      </c>
      <c r="W1806" s="292">
        <v>0</v>
      </c>
      <c r="X1806" s="29">
        <v>419.51</v>
      </c>
      <c r="Y1806" s="29">
        <v>2750.14</v>
      </c>
      <c r="Z1806" s="29">
        <v>0</v>
      </c>
      <c r="AA1806" s="29">
        <v>1</v>
      </c>
      <c r="AB1806" s="29">
        <v>27.5014</v>
      </c>
    </row>
    <row r="1807" spans="1:28">
      <c r="A1807" s="29">
        <v>61</v>
      </c>
      <c r="B1807" s="111">
        <v>1</v>
      </c>
      <c r="C1807" s="111">
        <v>316701</v>
      </c>
      <c r="D1807" s="111" t="s">
        <v>758</v>
      </c>
      <c r="E1807" s="111" t="s">
        <v>448</v>
      </c>
      <c r="F1807" s="265">
        <v>42336</v>
      </c>
      <c r="G1807" s="265">
        <v>42368</v>
      </c>
      <c r="H1807" s="266">
        <f t="shared" si="145"/>
        <v>902.54</v>
      </c>
      <c r="I1807" s="266">
        <f t="shared" si="146"/>
        <v>0</v>
      </c>
      <c r="J1807" s="266">
        <v>1</v>
      </c>
      <c r="K1807" s="295">
        <f t="shared" si="147"/>
        <v>9.0253999999999994</v>
      </c>
      <c r="L1807" s="312">
        <f t="shared" si="148"/>
        <v>32</v>
      </c>
      <c r="M1807" s="263"/>
      <c r="N1807" s="263"/>
      <c r="O1807" s="263"/>
      <c r="P1807" s="263"/>
      <c r="Q1807" s="263"/>
      <c r="R1807" s="263"/>
      <c r="S1807" s="263"/>
      <c r="T1807" s="263"/>
      <c r="U1807" s="263"/>
      <c r="V1807" s="29">
        <v>902.54</v>
      </c>
      <c r="W1807" s="292">
        <v>0</v>
      </c>
      <c r="X1807" s="29">
        <v>162.46</v>
      </c>
      <c r="Y1807" s="29">
        <v>1065</v>
      </c>
      <c r="Z1807" s="29">
        <v>0</v>
      </c>
      <c r="AA1807" s="29">
        <v>1</v>
      </c>
      <c r="AB1807" s="29">
        <v>10.65</v>
      </c>
    </row>
    <row r="1808" spans="1:28">
      <c r="A1808" s="29">
        <v>62</v>
      </c>
      <c r="B1808" s="111">
        <v>1</v>
      </c>
      <c r="C1808" s="111">
        <v>316713</v>
      </c>
      <c r="D1808" s="111" t="s">
        <v>758</v>
      </c>
      <c r="E1808" s="111" t="s">
        <v>448</v>
      </c>
      <c r="F1808" s="265">
        <v>42336</v>
      </c>
      <c r="G1808" s="265">
        <v>42368</v>
      </c>
      <c r="H1808" s="266">
        <f t="shared" si="145"/>
        <v>3751.44</v>
      </c>
      <c r="I1808" s="266">
        <f t="shared" si="146"/>
        <v>0</v>
      </c>
      <c r="J1808" s="266">
        <v>1</v>
      </c>
      <c r="K1808" s="295">
        <f t="shared" si="147"/>
        <v>37.514400000000002</v>
      </c>
      <c r="L1808" s="312">
        <f t="shared" si="148"/>
        <v>32</v>
      </c>
      <c r="M1808" s="263"/>
      <c r="N1808" s="263"/>
      <c r="O1808" s="263"/>
      <c r="P1808" s="263"/>
      <c r="Q1808" s="263"/>
      <c r="R1808" s="263"/>
      <c r="S1808" s="263"/>
      <c r="T1808" s="263"/>
      <c r="U1808" s="263"/>
      <c r="V1808" s="29">
        <v>3751.44</v>
      </c>
      <c r="W1808" s="292">
        <v>0</v>
      </c>
      <c r="X1808" s="29">
        <v>675.26</v>
      </c>
      <c r="Y1808" s="29">
        <v>4426.7</v>
      </c>
      <c r="Z1808" s="29">
        <v>0</v>
      </c>
      <c r="AA1808" s="29">
        <v>1</v>
      </c>
      <c r="AB1808" s="29">
        <v>44.267000000000003</v>
      </c>
    </row>
    <row r="1809" spans="1:28">
      <c r="A1809" s="29">
        <v>63</v>
      </c>
      <c r="B1809" s="111">
        <v>1</v>
      </c>
      <c r="C1809" s="111">
        <v>316686</v>
      </c>
      <c r="D1809" s="111" t="s">
        <v>758</v>
      </c>
      <c r="E1809" s="111" t="s">
        <v>448</v>
      </c>
      <c r="F1809" s="265">
        <v>42336</v>
      </c>
      <c r="G1809" s="265">
        <v>42368</v>
      </c>
      <c r="H1809" s="266">
        <f t="shared" si="145"/>
        <v>4963.6000000000004</v>
      </c>
      <c r="I1809" s="266">
        <f t="shared" si="146"/>
        <v>0</v>
      </c>
      <c r="J1809" s="266">
        <v>1</v>
      </c>
      <c r="K1809" s="295">
        <f t="shared" si="147"/>
        <v>49.636000000000003</v>
      </c>
      <c r="L1809" s="312">
        <f t="shared" si="148"/>
        <v>32</v>
      </c>
      <c r="M1809" s="263"/>
      <c r="N1809" s="263"/>
      <c r="O1809" s="263"/>
      <c r="P1809" s="263"/>
      <c r="Q1809" s="263"/>
      <c r="R1809" s="263"/>
      <c r="S1809" s="263"/>
      <c r="T1809" s="263"/>
      <c r="U1809" s="263"/>
      <c r="V1809" s="29">
        <v>4963.6000000000004</v>
      </c>
      <c r="W1809" s="292">
        <v>0</v>
      </c>
      <c r="X1809" s="29">
        <v>893.45</v>
      </c>
      <c r="Y1809" s="29">
        <v>5857.05</v>
      </c>
      <c r="Z1809" s="29">
        <v>0</v>
      </c>
      <c r="AA1809" s="29">
        <v>1</v>
      </c>
      <c r="AB1809" s="29">
        <v>58.570500000000003</v>
      </c>
    </row>
    <row r="1810" spans="1:28">
      <c r="A1810" s="29">
        <v>64</v>
      </c>
      <c r="B1810" s="111">
        <v>1</v>
      </c>
      <c r="C1810" s="111">
        <v>316801</v>
      </c>
      <c r="D1810" s="111" t="s">
        <v>798</v>
      </c>
      <c r="E1810" s="111" t="s">
        <v>448</v>
      </c>
      <c r="F1810" s="265">
        <v>42338</v>
      </c>
      <c r="G1810" s="265">
        <v>42339</v>
      </c>
      <c r="H1810" s="266">
        <f t="shared" si="145"/>
        <v>263.61</v>
      </c>
      <c r="I1810" s="266">
        <f t="shared" si="146"/>
        <v>0</v>
      </c>
      <c r="J1810" s="266">
        <v>1</v>
      </c>
      <c r="K1810" s="295">
        <f t="shared" si="147"/>
        <v>2.6361000000000003</v>
      </c>
      <c r="L1810" s="312">
        <f t="shared" si="148"/>
        <v>1</v>
      </c>
      <c r="M1810" s="263"/>
      <c r="N1810" s="263"/>
      <c r="O1810" s="263"/>
      <c r="P1810" s="263"/>
      <c r="Q1810" s="263"/>
      <c r="R1810" s="263"/>
      <c r="S1810" s="263"/>
      <c r="T1810" s="263"/>
      <c r="U1810" s="263"/>
      <c r="V1810" s="29">
        <v>263.61</v>
      </c>
      <c r="W1810" s="292">
        <v>0</v>
      </c>
      <c r="X1810" s="29">
        <v>47.45</v>
      </c>
      <c r="Y1810" s="29">
        <v>311.06</v>
      </c>
      <c r="Z1810" s="29">
        <v>0</v>
      </c>
      <c r="AA1810" s="29">
        <v>1</v>
      </c>
      <c r="AB1810" s="29">
        <v>3.1105999999999998</v>
      </c>
    </row>
    <row r="1811" spans="1:28">
      <c r="A1811" s="29">
        <v>65</v>
      </c>
      <c r="B1811" s="111">
        <v>1</v>
      </c>
      <c r="C1811" s="111">
        <v>316941</v>
      </c>
      <c r="D1811" s="111" t="s">
        <v>758</v>
      </c>
      <c r="E1811" s="111" t="s">
        <v>448</v>
      </c>
      <c r="F1811" s="265">
        <v>42338</v>
      </c>
      <c r="G1811" s="265">
        <v>42368</v>
      </c>
      <c r="H1811" s="266">
        <f t="shared" ref="H1811:H1826" si="149">V1811+W1811</f>
        <v>616.5</v>
      </c>
      <c r="I1811" s="266">
        <f t="shared" ref="I1811:I1826" si="150">Z1811</f>
        <v>0</v>
      </c>
      <c r="J1811" s="266">
        <v>1</v>
      </c>
      <c r="K1811" s="295">
        <f t="shared" ref="K1811:K1826" si="151">(H1811-I1811)*J1811%</f>
        <v>6.165</v>
      </c>
      <c r="L1811" s="312">
        <f t="shared" ref="L1811:L1826" si="152">G1811-F1811</f>
        <v>30</v>
      </c>
      <c r="M1811" s="263"/>
      <c r="N1811" s="263"/>
      <c r="O1811" s="263"/>
      <c r="P1811" s="263"/>
      <c r="Q1811" s="263"/>
      <c r="R1811" s="263"/>
      <c r="S1811" s="263"/>
      <c r="T1811" s="263"/>
      <c r="U1811" s="263"/>
      <c r="V1811" s="29">
        <v>616.5</v>
      </c>
      <c r="W1811" s="292">
        <v>0</v>
      </c>
      <c r="X1811" s="29">
        <v>110.97</v>
      </c>
      <c r="Y1811" s="29">
        <v>727.47</v>
      </c>
      <c r="Z1811" s="29">
        <v>0</v>
      </c>
      <c r="AA1811" s="29">
        <v>1</v>
      </c>
      <c r="AB1811" s="29">
        <v>7.2747000000000002</v>
      </c>
    </row>
    <row r="1812" spans="1:28">
      <c r="A1812" s="29">
        <v>66</v>
      </c>
      <c r="B1812" s="111">
        <v>1</v>
      </c>
      <c r="C1812" s="111">
        <v>317103</v>
      </c>
      <c r="D1812" s="111" t="s">
        <v>761</v>
      </c>
      <c r="E1812" s="111" t="s">
        <v>448</v>
      </c>
      <c r="F1812" s="265">
        <v>42340</v>
      </c>
      <c r="G1812" s="265">
        <v>42350</v>
      </c>
      <c r="H1812" s="266">
        <f t="shared" si="149"/>
        <v>20916.66</v>
      </c>
      <c r="I1812" s="266">
        <f t="shared" si="150"/>
        <v>0</v>
      </c>
      <c r="J1812" s="266">
        <v>0.5</v>
      </c>
      <c r="K1812" s="295">
        <f t="shared" si="151"/>
        <v>104.58330000000001</v>
      </c>
      <c r="L1812" s="312">
        <f t="shared" si="152"/>
        <v>10</v>
      </c>
      <c r="M1812" s="263"/>
      <c r="N1812" s="263"/>
      <c r="O1812" s="263"/>
      <c r="P1812" s="263"/>
      <c r="Q1812" s="263"/>
      <c r="R1812" s="263"/>
      <c r="S1812" s="263"/>
      <c r="T1812" s="263"/>
      <c r="U1812" s="263"/>
      <c r="V1812" s="29">
        <v>20916.66</v>
      </c>
      <c r="W1812" s="292">
        <v>0</v>
      </c>
      <c r="X1812" s="29">
        <v>3765</v>
      </c>
      <c r="Y1812" s="29">
        <v>24681.66</v>
      </c>
      <c r="Z1812" s="29">
        <v>0</v>
      </c>
      <c r="AA1812" s="29">
        <v>1</v>
      </c>
      <c r="AB1812" s="29">
        <v>246.81659999999999</v>
      </c>
    </row>
    <row r="1813" spans="1:28">
      <c r="A1813" s="29">
        <v>67</v>
      </c>
      <c r="B1813" s="111">
        <v>1</v>
      </c>
      <c r="C1813" s="111">
        <v>316816</v>
      </c>
      <c r="D1813" s="111" t="s">
        <v>764</v>
      </c>
      <c r="E1813" s="111" t="s">
        <v>448</v>
      </c>
      <c r="F1813" s="265">
        <v>42338</v>
      </c>
      <c r="G1813" s="265">
        <v>42343</v>
      </c>
      <c r="H1813" s="266">
        <f t="shared" si="149"/>
        <v>17690</v>
      </c>
      <c r="I1813" s="266">
        <f t="shared" si="150"/>
        <v>0</v>
      </c>
      <c r="J1813" s="266">
        <v>0.5</v>
      </c>
      <c r="K1813" s="295">
        <f t="shared" si="151"/>
        <v>88.45</v>
      </c>
      <c r="L1813" s="312">
        <f t="shared" si="152"/>
        <v>5</v>
      </c>
      <c r="M1813" s="263"/>
      <c r="N1813" s="263"/>
      <c r="O1813" s="263"/>
      <c r="P1813" s="263"/>
      <c r="Q1813" s="263"/>
      <c r="R1813" s="263"/>
      <c r="S1813" s="263"/>
      <c r="T1813" s="263"/>
      <c r="U1813" s="263"/>
      <c r="V1813" s="29">
        <v>17690</v>
      </c>
      <c r="W1813" s="292">
        <v>0</v>
      </c>
      <c r="X1813" s="29">
        <v>3184.2</v>
      </c>
      <c r="Y1813" s="29">
        <v>20874.2</v>
      </c>
      <c r="Z1813" s="29">
        <v>0</v>
      </c>
      <c r="AA1813" s="29">
        <v>1</v>
      </c>
      <c r="AB1813" s="29">
        <v>208.74199999999999</v>
      </c>
    </row>
    <row r="1814" spans="1:28">
      <c r="A1814" s="29">
        <v>68</v>
      </c>
      <c r="B1814" s="111">
        <v>1</v>
      </c>
      <c r="C1814" s="111">
        <v>317545</v>
      </c>
      <c r="D1814" s="111" t="s">
        <v>798</v>
      </c>
      <c r="E1814" s="111" t="s">
        <v>448</v>
      </c>
      <c r="F1814" s="265">
        <v>42348</v>
      </c>
      <c r="G1814" s="265">
        <v>42349</v>
      </c>
      <c r="H1814" s="266">
        <f t="shared" si="149"/>
        <v>435.68</v>
      </c>
      <c r="I1814" s="266">
        <f t="shared" si="150"/>
        <v>0</v>
      </c>
      <c r="J1814" s="266">
        <v>1</v>
      </c>
      <c r="K1814" s="295">
        <f t="shared" si="151"/>
        <v>4.3567999999999998</v>
      </c>
      <c r="L1814" s="312">
        <f t="shared" si="152"/>
        <v>1</v>
      </c>
      <c r="M1814" s="263"/>
      <c r="N1814" s="263"/>
      <c r="O1814" s="263"/>
      <c r="P1814" s="263"/>
      <c r="Q1814" s="263"/>
      <c r="R1814" s="263"/>
      <c r="S1814" s="263"/>
      <c r="T1814" s="263"/>
      <c r="U1814" s="263"/>
      <c r="V1814" s="29">
        <v>435.68</v>
      </c>
      <c r="W1814" s="292">
        <v>0</v>
      </c>
      <c r="X1814" s="29">
        <v>78.42</v>
      </c>
      <c r="Y1814" s="29">
        <v>514.1</v>
      </c>
      <c r="Z1814" s="29">
        <v>0</v>
      </c>
      <c r="AA1814" s="29">
        <v>1</v>
      </c>
      <c r="AB1814" s="29">
        <v>5.141</v>
      </c>
    </row>
    <row r="1815" spans="1:28">
      <c r="A1815" s="29">
        <v>69</v>
      </c>
      <c r="B1815" s="111">
        <v>1</v>
      </c>
      <c r="C1815" s="111">
        <v>317547</v>
      </c>
      <c r="D1815" s="111" t="s">
        <v>772</v>
      </c>
      <c r="E1815" s="111" t="s">
        <v>448</v>
      </c>
      <c r="F1815" s="265">
        <v>42348</v>
      </c>
      <c r="G1815" s="265">
        <v>42353</v>
      </c>
      <c r="H1815" s="266">
        <f t="shared" si="149"/>
        <v>7287.25</v>
      </c>
      <c r="I1815" s="266">
        <f t="shared" si="150"/>
        <v>0</v>
      </c>
      <c r="J1815" s="266">
        <v>0.5</v>
      </c>
      <c r="K1815" s="295">
        <f t="shared" si="151"/>
        <v>36.436250000000001</v>
      </c>
      <c r="L1815" s="312">
        <f t="shared" si="152"/>
        <v>5</v>
      </c>
      <c r="M1815" s="263"/>
      <c r="N1815" s="263"/>
      <c r="O1815" s="263"/>
      <c r="P1815" s="263"/>
      <c r="Q1815" s="263"/>
      <c r="R1815" s="263"/>
      <c r="S1815" s="263"/>
      <c r="T1815" s="263"/>
      <c r="U1815" s="263"/>
      <c r="V1815" s="29">
        <v>7287.25</v>
      </c>
      <c r="W1815" s="292">
        <v>0</v>
      </c>
      <c r="X1815" s="29">
        <v>1311.71</v>
      </c>
      <c r="Y1815" s="29">
        <v>8598.9599999999991</v>
      </c>
      <c r="Z1815" s="29">
        <v>0</v>
      </c>
      <c r="AA1815" s="29">
        <v>1</v>
      </c>
      <c r="AB1815" s="29">
        <v>85.989599999999996</v>
      </c>
    </row>
    <row r="1816" spans="1:28">
      <c r="A1816" s="29">
        <v>70</v>
      </c>
      <c r="B1816" s="111">
        <v>1</v>
      </c>
      <c r="C1816" s="111">
        <v>317742</v>
      </c>
      <c r="D1816" s="111" t="s">
        <v>761</v>
      </c>
      <c r="E1816" s="111" t="s">
        <v>448</v>
      </c>
      <c r="F1816" s="265">
        <v>42350</v>
      </c>
      <c r="G1816" s="265">
        <v>42350</v>
      </c>
      <c r="H1816" s="266">
        <f t="shared" si="149"/>
        <v>2830.4</v>
      </c>
      <c r="I1816" s="266">
        <f t="shared" si="150"/>
        <v>0</v>
      </c>
      <c r="J1816" s="266">
        <v>0.5</v>
      </c>
      <c r="K1816" s="295">
        <f t="shared" si="151"/>
        <v>14.152000000000001</v>
      </c>
      <c r="L1816" s="312">
        <f t="shared" si="152"/>
        <v>0</v>
      </c>
      <c r="M1816" s="263"/>
      <c r="N1816" s="263"/>
      <c r="O1816" s="263"/>
      <c r="P1816" s="263"/>
      <c r="Q1816" s="263"/>
      <c r="R1816" s="263"/>
      <c r="S1816" s="263"/>
      <c r="T1816" s="263"/>
      <c r="U1816" s="263"/>
      <c r="V1816" s="29">
        <v>2830.4</v>
      </c>
      <c r="W1816" s="292">
        <v>0</v>
      </c>
      <c r="X1816" s="29">
        <v>509.47</v>
      </c>
      <c r="Y1816" s="29">
        <v>3339.87</v>
      </c>
      <c r="Z1816" s="29">
        <v>0</v>
      </c>
      <c r="AA1816" s="29">
        <v>1</v>
      </c>
      <c r="AB1816" s="29">
        <v>33.398699999999998</v>
      </c>
    </row>
    <row r="1817" spans="1:28">
      <c r="A1817" s="29">
        <v>71</v>
      </c>
      <c r="B1817" s="111">
        <v>1</v>
      </c>
      <c r="C1817" s="111">
        <v>317744</v>
      </c>
      <c r="D1817" s="111" t="s">
        <v>772</v>
      </c>
      <c r="E1817" s="111" t="s">
        <v>448</v>
      </c>
      <c r="F1817" s="265">
        <v>42350</v>
      </c>
      <c r="G1817" s="265">
        <v>42353</v>
      </c>
      <c r="H1817" s="266">
        <f t="shared" si="149"/>
        <v>9906.4</v>
      </c>
      <c r="I1817" s="266">
        <f t="shared" si="150"/>
        <v>0</v>
      </c>
      <c r="J1817" s="266">
        <v>0.5</v>
      </c>
      <c r="K1817" s="295">
        <f t="shared" si="151"/>
        <v>49.531999999999996</v>
      </c>
      <c r="L1817" s="312">
        <f t="shared" si="152"/>
        <v>3</v>
      </c>
      <c r="M1817" s="263"/>
      <c r="N1817" s="263"/>
      <c r="O1817" s="263"/>
      <c r="P1817" s="263"/>
      <c r="Q1817" s="263"/>
      <c r="R1817" s="263"/>
      <c r="S1817" s="263"/>
      <c r="T1817" s="263"/>
      <c r="U1817" s="263"/>
      <c r="V1817" s="29">
        <v>9906.4</v>
      </c>
      <c r="W1817" s="292">
        <v>0</v>
      </c>
      <c r="X1817" s="29">
        <v>1783.15</v>
      </c>
      <c r="Y1817" s="29">
        <v>11689.55</v>
      </c>
      <c r="Z1817" s="29">
        <v>0</v>
      </c>
      <c r="AA1817" s="29">
        <v>1</v>
      </c>
      <c r="AB1817" s="29">
        <v>116.8955</v>
      </c>
    </row>
    <row r="1818" spans="1:28">
      <c r="A1818" s="29">
        <v>72</v>
      </c>
      <c r="B1818" s="111">
        <v>1</v>
      </c>
      <c r="C1818" s="111">
        <v>317833</v>
      </c>
      <c r="D1818" s="111" t="s">
        <v>761</v>
      </c>
      <c r="E1818" s="111" t="s">
        <v>448</v>
      </c>
      <c r="F1818" s="265">
        <v>42352</v>
      </c>
      <c r="G1818" s="265">
        <v>42352</v>
      </c>
      <c r="H1818" s="266">
        <f t="shared" si="149"/>
        <v>4356.83</v>
      </c>
      <c r="I1818" s="266">
        <f t="shared" si="150"/>
        <v>0</v>
      </c>
      <c r="J1818" s="266">
        <v>1</v>
      </c>
      <c r="K1818" s="295">
        <f t="shared" si="151"/>
        <v>43.568300000000001</v>
      </c>
      <c r="L1818" s="312">
        <f t="shared" si="152"/>
        <v>0</v>
      </c>
      <c r="M1818" s="263"/>
      <c r="N1818" s="263"/>
      <c r="O1818" s="263"/>
      <c r="P1818" s="263"/>
      <c r="Q1818" s="263"/>
      <c r="R1818" s="263"/>
      <c r="S1818" s="263"/>
      <c r="T1818" s="263"/>
      <c r="U1818" s="263"/>
      <c r="V1818" s="29">
        <v>4356.83</v>
      </c>
      <c r="W1818" s="292">
        <v>0</v>
      </c>
      <c r="X1818" s="29">
        <v>784.23</v>
      </c>
      <c r="Y1818" s="29">
        <v>5141.0600000000004</v>
      </c>
      <c r="Z1818" s="29">
        <v>0</v>
      </c>
      <c r="AA1818" s="29">
        <v>1</v>
      </c>
      <c r="AB1818" s="29">
        <v>51.410600000000002</v>
      </c>
    </row>
    <row r="1819" spans="1:28">
      <c r="A1819" s="29">
        <v>73</v>
      </c>
      <c r="B1819" s="111">
        <v>6</v>
      </c>
      <c r="C1819" s="111">
        <v>1226</v>
      </c>
      <c r="D1819" s="111" t="s">
        <v>467</v>
      </c>
      <c r="E1819" s="111" t="s">
        <v>448</v>
      </c>
      <c r="F1819" s="265">
        <v>42353</v>
      </c>
      <c r="G1819" s="265">
        <v>42368</v>
      </c>
      <c r="H1819" s="266">
        <f t="shared" si="149"/>
        <v>5727.97</v>
      </c>
      <c r="I1819" s="266">
        <f t="shared" si="150"/>
        <v>0</v>
      </c>
      <c r="J1819" s="266">
        <v>1</v>
      </c>
      <c r="K1819" s="295">
        <f t="shared" si="151"/>
        <v>57.279700000000005</v>
      </c>
      <c r="L1819" s="312">
        <f t="shared" si="152"/>
        <v>15</v>
      </c>
      <c r="M1819" s="263"/>
      <c r="N1819" s="263"/>
      <c r="O1819" s="263"/>
      <c r="P1819" s="263"/>
      <c r="Q1819" s="263"/>
      <c r="R1819" s="263"/>
      <c r="S1819" s="263"/>
      <c r="T1819" s="263"/>
      <c r="U1819" s="263"/>
      <c r="V1819" s="29">
        <v>5727.97</v>
      </c>
      <c r="W1819" s="292">
        <v>0</v>
      </c>
      <c r="X1819" s="29">
        <v>1031.03</v>
      </c>
      <c r="Y1819" s="29">
        <v>6759</v>
      </c>
      <c r="Z1819" s="29">
        <v>0</v>
      </c>
      <c r="AA1819" s="29">
        <v>1</v>
      </c>
      <c r="AB1819" s="29">
        <v>67.59</v>
      </c>
    </row>
    <row r="1820" spans="1:28">
      <c r="A1820" s="29">
        <v>74</v>
      </c>
      <c r="B1820" s="111">
        <v>1</v>
      </c>
      <c r="C1820" s="111">
        <v>317976</v>
      </c>
      <c r="D1820" s="111" t="s">
        <v>772</v>
      </c>
      <c r="E1820" s="111" t="s">
        <v>448</v>
      </c>
      <c r="F1820" s="265">
        <v>42354</v>
      </c>
      <c r="G1820" s="265">
        <v>42354</v>
      </c>
      <c r="H1820" s="266">
        <f t="shared" si="149"/>
        <v>16982.400000000001</v>
      </c>
      <c r="I1820" s="266">
        <f t="shared" si="150"/>
        <v>0</v>
      </c>
      <c r="J1820" s="266">
        <v>0.5</v>
      </c>
      <c r="K1820" s="295">
        <f t="shared" si="151"/>
        <v>84.912000000000006</v>
      </c>
      <c r="L1820" s="312">
        <f t="shared" si="152"/>
        <v>0</v>
      </c>
      <c r="M1820" s="263"/>
      <c r="N1820" s="263"/>
      <c r="O1820" s="263"/>
      <c r="P1820" s="263"/>
      <c r="Q1820" s="263"/>
      <c r="R1820" s="263"/>
      <c r="S1820" s="263"/>
      <c r="T1820" s="263"/>
      <c r="U1820" s="263"/>
      <c r="V1820" s="29">
        <v>16982.400000000001</v>
      </c>
      <c r="W1820" s="292">
        <v>0</v>
      </c>
      <c r="X1820" s="29">
        <v>3056.83</v>
      </c>
      <c r="Y1820" s="29">
        <v>20039.23</v>
      </c>
      <c r="Z1820" s="29">
        <v>0</v>
      </c>
      <c r="AA1820" s="29">
        <v>1</v>
      </c>
      <c r="AB1820" s="29">
        <v>200.39230000000001</v>
      </c>
    </row>
    <row r="1821" spans="1:28">
      <c r="A1821" s="29">
        <v>75</v>
      </c>
      <c r="B1821" s="111">
        <v>1</v>
      </c>
      <c r="C1821" s="111">
        <v>317743</v>
      </c>
      <c r="D1821" s="111" t="s">
        <v>772</v>
      </c>
      <c r="E1821" s="111" t="s">
        <v>448</v>
      </c>
      <c r="F1821" s="265">
        <v>42350</v>
      </c>
      <c r="G1821" s="265">
        <v>42353</v>
      </c>
      <c r="H1821" s="266">
        <f t="shared" si="149"/>
        <v>5830.42</v>
      </c>
      <c r="I1821" s="266">
        <f t="shared" si="150"/>
        <v>0</v>
      </c>
      <c r="J1821" s="266">
        <v>0.5</v>
      </c>
      <c r="K1821" s="295">
        <f t="shared" si="151"/>
        <v>29.152100000000001</v>
      </c>
      <c r="L1821" s="312">
        <f t="shared" si="152"/>
        <v>3</v>
      </c>
      <c r="M1821" s="263"/>
      <c r="N1821" s="263"/>
      <c r="O1821" s="263"/>
      <c r="P1821" s="263"/>
      <c r="Q1821" s="263"/>
      <c r="R1821" s="263"/>
      <c r="S1821" s="263"/>
      <c r="T1821" s="263"/>
      <c r="U1821" s="263"/>
      <c r="V1821" s="29">
        <v>5830.42</v>
      </c>
      <c r="W1821" s="292">
        <v>0</v>
      </c>
      <c r="X1821" s="29">
        <v>1049.48</v>
      </c>
      <c r="Y1821" s="29">
        <v>6879.9</v>
      </c>
      <c r="Z1821" s="29">
        <v>0</v>
      </c>
      <c r="AA1821" s="29">
        <v>1</v>
      </c>
      <c r="AB1821" s="29">
        <v>68.799000000000007</v>
      </c>
    </row>
    <row r="1822" spans="1:28">
      <c r="A1822" s="29">
        <v>76</v>
      </c>
      <c r="B1822" s="111">
        <v>1</v>
      </c>
      <c r="C1822" s="111">
        <v>224064</v>
      </c>
      <c r="D1822" s="111" t="s">
        <v>466</v>
      </c>
      <c r="E1822" s="111" t="s">
        <v>382</v>
      </c>
      <c r="F1822" s="265">
        <v>40693</v>
      </c>
      <c r="G1822" s="265">
        <v>42354</v>
      </c>
      <c r="H1822" s="266">
        <f t="shared" si="149"/>
        <v>254.24</v>
      </c>
      <c r="I1822" s="266">
        <f t="shared" si="150"/>
        <v>0</v>
      </c>
      <c r="J1822" s="266">
        <v>0</v>
      </c>
      <c r="K1822" s="295">
        <f t="shared" si="151"/>
        <v>0</v>
      </c>
      <c r="L1822" s="312">
        <f t="shared" si="152"/>
        <v>1661</v>
      </c>
      <c r="M1822" s="263"/>
      <c r="N1822" s="263"/>
      <c r="O1822" s="263"/>
      <c r="P1822" s="263"/>
      <c r="Q1822" s="263"/>
      <c r="R1822" s="263"/>
      <c r="S1822" s="263"/>
      <c r="T1822" s="263"/>
      <c r="U1822" s="263"/>
      <c r="V1822" s="29">
        <v>254.24</v>
      </c>
      <c r="W1822" s="292">
        <v>0</v>
      </c>
      <c r="X1822" s="29">
        <v>45.76</v>
      </c>
      <c r="Y1822" s="29">
        <v>300</v>
      </c>
      <c r="Z1822" s="29">
        <v>0</v>
      </c>
      <c r="AA1822" s="29">
        <v>1</v>
      </c>
      <c r="AB1822" s="29">
        <v>3</v>
      </c>
    </row>
    <row r="1823" spans="1:28">
      <c r="A1823" s="29">
        <v>77</v>
      </c>
      <c r="B1823" s="111">
        <v>1</v>
      </c>
      <c r="C1823" s="111">
        <v>172346</v>
      </c>
      <c r="D1823" s="111" t="s">
        <v>381</v>
      </c>
      <c r="E1823" s="111" t="s">
        <v>382</v>
      </c>
      <c r="F1823" s="265">
        <v>40141</v>
      </c>
      <c r="G1823" s="265">
        <v>42354</v>
      </c>
      <c r="H1823" s="266">
        <f t="shared" si="149"/>
        <v>1371.43</v>
      </c>
      <c r="I1823" s="266">
        <f t="shared" si="150"/>
        <v>0</v>
      </c>
      <c r="J1823" s="266">
        <v>0</v>
      </c>
      <c r="K1823" s="295">
        <f t="shared" si="151"/>
        <v>0</v>
      </c>
      <c r="L1823" s="312">
        <f t="shared" si="152"/>
        <v>2213</v>
      </c>
      <c r="M1823" s="263"/>
      <c r="N1823" s="263"/>
      <c r="O1823" s="263"/>
      <c r="P1823" s="263"/>
      <c r="Q1823" s="263"/>
      <c r="R1823" s="263"/>
      <c r="S1823" s="263"/>
      <c r="T1823" s="263"/>
      <c r="U1823" s="263"/>
      <c r="V1823" s="29">
        <v>1371.43</v>
      </c>
      <c r="W1823" s="292">
        <v>0</v>
      </c>
      <c r="X1823" s="29">
        <v>260.57</v>
      </c>
      <c r="Y1823" s="29">
        <v>1632</v>
      </c>
      <c r="Z1823" s="29">
        <v>0</v>
      </c>
      <c r="AA1823" s="29">
        <v>1</v>
      </c>
      <c r="AB1823" s="29">
        <v>16.32</v>
      </c>
    </row>
    <row r="1824" spans="1:28">
      <c r="A1824" s="29">
        <v>78</v>
      </c>
      <c r="B1824" s="111">
        <v>4</v>
      </c>
      <c r="C1824" s="111">
        <v>17456</v>
      </c>
      <c r="D1824" s="111" t="s">
        <v>767</v>
      </c>
      <c r="E1824" s="111" t="s">
        <v>448</v>
      </c>
      <c r="F1824" s="265">
        <v>41956</v>
      </c>
      <c r="G1824" s="265">
        <v>42355</v>
      </c>
      <c r="H1824" s="266">
        <f t="shared" si="149"/>
        <v>50.54</v>
      </c>
      <c r="I1824" s="266">
        <f t="shared" si="150"/>
        <v>59.64</v>
      </c>
      <c r="J1824" s="266">
        <v>0</v>
      </c>
      <c r="K1824" s="295">
        <f t="shared" si="151"/>
        <v>0</v>
      </c>
      <c r="L1824" s="312">
        <f t="shared" si="152"/>
        <v>399</v>
      </c>
      <c r="M1824" s="263"/>
      <c r="N1824" s="263"/>
      <c r="O1824" s="263"/>
      <c r="P1824" s="263"/>
      <c r="Q1824" s="263"/>
      <c r="R1824" s="263"/>
      <c r="S1824" s="263"/>
      <c r="T1824" s="263"/>
      <c r="U1824" s="263"/>
      <c r="V1824" s="29">
        <v>50.54</v>
      </c>
      <c r="W1824" s="292">
        <v>0</v>
      </c>
      <c r="X1824" s="29">
        <v>9.1</v>
      </c>
      <c r="Y1824" s="29">
        <v>59.64</v>
      </c>
      <c r="Z1824" s="29">
        <v>59.64</v>
      </c>
      <c r="AA1824" s="29">
        <v>1</v>
      </c>
      <c r="AB1824" s="29">
        <v>0</v>
      </c>
    </row>
    <row r="1825" spans="1:28">
      <c r="A1825" s="29">
        <v>79</v>
      </c>
      <c r="B1825" s="111">
        <v>1</v>
      </c>
      <c r="C1825" s="111">
        <v>318142</v>
      </c>
      <c r="D1825" s="111" t="s">
        <v>772</v>
      </c>
      <c r="E1825" s="111" t="s">
        <v>448</v>
      </c>
      <c r="F1825" s="265">
        <v>42356</v>
      </c>
      <c r="G1825" s="265">
        <v>42366</v>
      </c>
      <c r="H1825" s="266">
        <f t="shared" si="149"/>
        <v>5830.42</v>
      </c>
      <c r="I1825" s="266">
        <f t="shared" si="150"/>
        <v>0</v>
      </c>
      <c r="J1825" s="266">
        <v>0.5</v>
      </c>
      <c r="K1825" s="295">
        <f t="shared" si="151"/>
        <v>29.152100000000001</v>
      </c>
      <c r="L1825" s="312">
        <f t="shared" si="152"/>
        <v>10</v>
      </c>
      <c r="M1825" s="263"/>
      <c r="N1825" s="263"/>
      <c r="O1825" s="263"/>
      <c r="P1825" s="263"/>
      <c r="Q1825" s="263"/>
      <c r="R1825" s="263"/>
      <c r="S1825" s="263"/>
      <c r="T1825" s="263"/>
      <c r="U1825" s="263"/>
      <c r="V1825" s="29">
        <v>5830.42</v>
      </c>
      <c r="W1825" s="292">
        <v>0</v>
      </c>
      <c r="X1825" s="29">
        <v>1049.48</v>
      </c>
      <c r="Y1825" s="29">
        <v>6879.9</v>
      </c>
      <c r="Z1825" s="29">
        <v>0</v>
      </c>
      <c r="AA1825" s="29">
        <v>1</v>
      </c>
      <c r="AB1825" s="29">
        <v>68.799000000000007</v>
      </c>
    </row>
    <row r="1826" spans="1:28">
      <c r="A1826" s="29">
        <v>80</v>
      </c>
      <c r="B1826" s="111">
        <v>1</v>
      </c>
      <c r="C1826" s="111">
        <v>318140</v>
      </c>
      <c r="D1826" s="111" t="s">
        <v>772</v>
      </c>
      <c r="E1826" s="111" t="s">
        <v>448</v>
      </c>
      <c r="F1826" s="265">
        <v>42356</v>
      </c>
      <c r="G1826" s="265">
        <v>42366</v>
      </c>
      <c r="H1826" s="266">
        <f t="shared" si="149"/>
        <v>2830.4</v>
      </c>
      <c r="I1826" s="266">
        <f t="shared" si="150"/>
        <v>0</v>
      </c>
      <c r="J1826" s="266">
        <v>0.5</v>
      </c>
      <c r="K1826" s="295">
        <f t="shared" si="151"/>
        <v>14.152000000000001</v>
      </c>
      <c r="L1826" s="312">
        <f t="shared" si="152"/>
        <v>10</v>
      </c>
      <c r="M1826" s="263"/>
      <c r="N1826" s="263"/>
      <c r="O1826" s="263"/>
      <c r="P1826" s="263"/>
      <c r="Q1826" s="263"/>
      <c r="R1826" s="263"/>
      <c r="S1826" s="263"/>
      <c r="T1826" s="263"/>
      <c r="U1826" s="263"/>
      <c r="V1826" s="29">
        <v>2830.4</v>
      </c>
      <c r="W1826" s="292">
        <v>0</v>
      </c>
      <c r="X1826" s="29">
        <v>509.47</v>
      </c>
      <c r="Y1826" s="29">
        <v>3339.87</v>
      </c>
      <c r="Z1826" s="29">
        <v>0</v>
      </c>
      <c r="AA1826" s="29">
        <v>1</v>
      </c>
      <c r="AB1826" s="29">
        <v>33.398699999999998</v>
      </c>
    </row>
    <row r="1827" spans="1:28">
      <c r="G1827" s="268" t="s">
        <v>765</v>
      </c>
      <c r="H1827" s="269">
        <f>SUM(H1747:H1826)</f>
        <v>285798.94999999995</v>
      </c>
      <c r="I1827" s="59"/>
      <c r="J1827" s="311" t="s">
        <v>383</v>
      </c>
      <c r="K1827" s="269">
        <f>SUM(K1747:K1826)</f>
        <v>2201.3285499999993</v>
      </c>
    </row>
    <row r="1833" spans="1:28">
      <c r="A1833" s="29">
        <v>1</v>
      </c>
      <c r="B1833" s="29">
        <v>1</v>
      </c>
      <c r="C1833" s="313">
        <v>316298</v>
      </c>
      <c r="D1833" s="29" t="s">
        <v>772</v>
      </c>
      <c r="E1833" s="29" t="s">
        <v>448</v>
      </c>
      <c r="F1833" s="263">
        <v>42332</v>
      </c>
      <c r="G1833" s="263">
        <v>42343</v>
      </c>
      <c r="H1833" s="29">
        <v>30426.799999999999</v>
      </c>
      <c r="I1833" s="29">
        <v>0</v>
      </c>
      <c r="J1833" s="292">
        <v>5476.82</v>
      </c>
      <c r="K1833" s="29">
        <v>35903.620000000003</v>
      </c>
      <c r="L1833" s="29">
        <v>0</v>
      </c>
      <c r="M1833" s="29">
        <v>1</v>
      </c>
      <c r="N1833" s="29">
        <v>359.03620000000001</v>
      </c>
      <c r="O1833" s="29">
        <v>12520</v>
      </c>
      <c r="P1833" s="29">
        <v>988047</v>
      </c>
    </row>
    <row r="1834" spans="1:28">
      <c r="A1834" s="29">
        <v>2</v>
      </c>
      <c r="B1834" s="29">
        <v>1</v>
      </c>
      <c r="C1834" s="313">
        <v>316298</v>
      </c>
      <c r="D1834" s="29" t="s">
        <v>772</v>
      </c>
      <c r="E1834" s="29" t="s">
        <v>448</v>
      </c>
      <c r="F1834" s="263">
        <v>42332</v>
      </c>
      <c r="G1834" s="263">
        <v>42343</v>
      </c>
      <c r="H1834" s="29">
        <v>30426.799999999999</v>
      </c>
      <c r="I1834" s="29">
        <v>0</v>
      </c>
      <c r="J1834" s="292">
        <v>5476.82</v>
      </c>
      <c r="K1834" s="29">
        <v>35903.620000000003</v>
      </c>
      <c r="L1834" s="29">
        <v>0</v>
      </c>
      <c r="M1834" s="29">
        <v>1</v>
      </c>
      <c r="N1834" s="29">
        <v>359.03620000000001</v>
      </c>
      <c r="O1834" s="29">
        <v>12520</v>
      </c>
      <c r="P1834" s="29">
        <v>988047</v>
      </c>
    </row>
    <row r="1835" spans="1:28">
      <c r="A1835" s="29">
        <v>3</v>
      </c>
      <c r="B1835" s="29">
        <v>1</v>
      </c>
      <c r="C1835" s="313">
        <v>316298</v>
      </c>
      <c r="D1835" s="29" t="s">
        <v>772</v>
      </c>
      <c r="E1835" s="29" t="s">
        <v>448</v>
      </c>
      <c r="F1835" s="263">
        <v>42332</v>
      </c>
      <c r="G1835" s="263">
        <v>42343</v>
      </c>
      <c r="H1835" s="29">
        <v>30426.799999999999</v>
      </c>
      <c r="I1835" s="29">
        <v>0</v>
      </c>
      <c r="J1835" s="292">
        <v>5476.82</v>
      </c>
      <c r="K1835" s="29">
        <v>35903.620000000003</v>
      </c>
      <c r="L1835" s="29">
        <v>0</v>
      </c>
      <c r="M1835" s="29">
        <v>1</v>
      </c>
      <c r="N1835" s="29">
        <v>359.03620000000001</v>
      </c>
      <c r="O1835" s="29">
        <v>12520</v>
      </c>
      <c r="P1835" s="29">
        <v>988047</v>
      </c>
    </row>
    <row r="1836" spans="1:28">
      <c r="A1836" s="29">
        <v>4</v>
      </c>
      <c r="B1836" s="29">
        <v>1</v>
      </c>
      <c r="C1836" s="313">
        <v>316298</v>
      </c>
      <c r="D1836" s="29" t="s">
        <v>772</v>
      </c>
      <c r="E1836" s="29" t="s">
        <v>448</v>
      </c>
      <c r="F1836" s="263">
        <v>42332</v>
      </c>
      <c r="G1836" s="263">
        <v>42343</v>
      </c>
      <c r="H1836" s="29">
        <v>30426.799999999999</v>
      </c>
      <c r="I1836" s="29">
        <v>0</v>
      </c>
      <c r="J1836" s="292">
        <v>5476.82</v>
      </c>
      <c r="K1836" s="29">
        <v>35903.620000000003</v>
      </c>
      <c r="L1836" s="29">
        <v>0</v>
      </c>
      <c r="M1836" s="29">
        <v>1</v>
      </c>
      <c r="N1836" s="29">
        <v>359.03620000000001</v>
      </c>
      <c r="O1836" s="29">
        <v>12519</v>
      </c>
      <c r="P1836" s="29">
        <v>988047</v>
      </c>
    </row>
    <row r="1837" spans="1:28">
      <c r="A1837" s="29">
        <v>5</v>
      </c>
      <c r="B1837" s="29">
        <v>1</v>
      </c>
      <c r="C1837" s="313">
        <v>316298</v>
      </c>
      <c r="D1837" s="29" t="s">
        <v>772</v>
      </c>
      <c r="E1837" s="29" t="s">
        <v>448</v>
      </c>
      <c r="F1837" s="263">
        <v>42332</v>
      </c>
      <c r="G1837" s="263">
        <v>42343</v>
      </c>
      <c r="H1837" s="29">
        <v>30426.799999999999</v>
      </c>
      <c r="I1837" s="29">
        <v>0</v>
      </c>
      <c r="J1837" s="292">
        <v>5476.82</v>
      </c>
      <c r="K1837" s="29">
        <v>35903.620000000003</v>
      </c>
      <c r="L1837" s="29">
        <v>0</v>
      </c>
      <c r="M1837" s="29">
        <v>1</v>
      </c>
      <c r="N1837" s="29">
        <v>359.03620000000001</v>
      </c>
      <c r="O1837" s="29">
        <v>12519</v>
      </c>
      <c r="P1837" s="29">
        <v>988047</v>
      </c>
    </row>
    <row r="1838" spans="1:28">
      <c r="A1838" s="29">
        <v>6</v>
      </c>
      <c r="B1838" s="29">
        <v>1</v>
      </c>
      <c r="C1838" s="29">
        <v>316816</v>
      </c>
      <c r="D1838" s="29" t="s">
        <v>764</v>
      </c>
      <c r="E1838" s="29" t="s">
        <v>448</v>
      </c>
      <c r="F1838" s="263">
        <v>42338</v>
      </c>
      <c r="G1838" s="263">
        <v>42343</v>
      </c>
      <c r="H1838" s="29">
        <v>17690</v>
      </c>
      <c r="I1838" s="29">
        <v>0</v>
      </c>
      <c r="J1838" s="292">
        <v>3184.2</v>
      </c>
      <c r="K1838" s="29">
        <v>20874.2</v>
      </c>
      <c r="L1838" s="29">
        <v>0</v>
      </c>
      <c r="M1838" s="29">
        <v>1</v>
      </c>
      <c r="N1838" s="29">
        <v>208.74199999999999</v>
      </c>
      <c r="O1838" s="29">
        <v>12520</v>
      </c>
      <c r="P1838" s="29">
        <v>988854</v>
      </c>
    </row>
    <row r="1839" spans="1:28">
      <c r="A1839" s="29">
        <v>7</v>
      </c>
      <c r="B1839" s="29">
        <v>1</v>
      </c>
      <c r="C1839" s="29">
        <v>316816</v>
      </c>
      <c r="D1839" s="29" t="s">
        <v>764</v>
      </c>
      <c r="E1839" s="29" t="s">
        <v>448</v>
      </c>
      <c r="F1839" s="263">
        <v>42338</v>
      </c>
      <c r="G1839" s="263">
        <v>42343</v>
      </c>
      <c r="H1839" s="29">
        <v>17690</v>
      </c>
      <c r="I1839" s="29">
        <v>0</v>
      </c>
      <c r="J1839" s="292">
        <v>3184.2</v>
      </c>
      <c r="K1839" s="29">
        <v>20874.2</v>
      </c>
      <c r="L1839" s="29">
        <v>0</v>
      </c>
      <c r="M1839" s="29">
        <v>1</v>
      </c>
      <c r="N1839" s="29">
        <v>208.74199999999999</v>
      </c>
      <c r="O1839" s="29">
        <v>12520</v>
      </c>
      <c r="P1839" s="29">
        <v>988854</v>
      </c>
    </row>
    <row r="1840" spans="1:28">
      <c r="A1840" s="29">
        <v>8</v>
      </c>
      <c r="B1840" s="29">
        <v>1</v>
      </c>
      <c r="C1840" s="29">
        <v>316816</v>
      </c>
      <c r="D1840" s="29" t="s">
        <v>764</v>
      </c>
      <c r="E1840" s="29" t="s">
        <v>448</v>
      </c>
      <c r="F1840" s="263">
        <v>42338</v>
      </c>
      <c r="G1840" s="263">
        <v>42343</v>
      </c>
      <c r="H1840" s="29">
        <v>17690</v>
      </c>
      <c r="I1840" s="29">
        <v>0</v>
      </c>
      <c r="J1840" s="292">
        <v>3184.2</v>
      </c>
      <c r="K1840" s="29">
        <v>20874.2</v>
      </c>
      <c r="L1840" s="29">
        <v>0</v>
      </c>
      <c r="M1840" s="29">
        <v>1</v>
      </c>
      <c r="N1840" s="29">
        <v>208.74199999999999</v>
      </c>
      <c r="O1840" s="29">
        <v>12519</v>
      </c>
      <c r="P1840" s="29">
        <v>988854</v>
      </c>
    </row>
    <row r="1841" spans="1:16">
      <c r="A1841" s="29">
        <v>9</v>
      </c>
      <c r="B1841" s="29">
        <v>1</v>
      </c>
      <c r="C1841" s="29">
        <v>316816</v>
      </c>
      <c r="D1841" s="29" t="s">
        <v>764</v>
      </c>
      <c r="E1841" s="29" t="s">
        <v>448</v>
      </c>
      <c r="F1841" s="263">
        <v>42338</v>
      </c>
      <c r="G1841" s="263">
        <v>42343</v>
      </c>
      <c r="H1841" s="29">
        <v>17690</v>
      </c>
      <c r="I1841" s="29">
        <v>0</v>
      </c>
      <c r="J1841" s="292">
        <v>3184.2</v>
      </c>
      <c r="K1841" s="29">
        <v>20874.2</v>
      </c>
      <c r="L1841" s="29">
        <v>0</v>
      </c>
      <c r="M1841" s="29">
        <v>1</v>
      </c>
      <c r="N1841" s="29">
        <v>208.74199999999999</v>
      </c>
      <c r="O1841" s="29">
        <v>12519</v>
      </c>
      <c r="P1841" s="29">
        <v>988854</v>
      </c>
    </row>
    <row r="1842" spans="1:16">
      <c r="A1842" s="29">
        <v>10</v>
      </c>
      <c r="B1842" s="29">
        <v>1</v>
      </c>
      <c r="C1842" s="313">
        <v>317103</v>
      </c>
      <c r="D1842" s="29" t="s">
        <v>761</v>
      </c>
      <c r="E1842" s="29" t="s">
        <v>448</v>
      </c>
      <c r="F1842" s="263">
        <v>42340</v>
      </c>
      <c r="G1842" s="263">
        <v>42350</v>
      </c>
      <c r="H1842" s="29">
        <v>20916.66</v>
      </c>
      <c r="I1842" s="29">
        <v>0</v>
      </c>
      <c r="J1842" s="292">
        <v>3765</v>
      </c>
      <c r="K1842" s="29">
        <v>24681.66</v>
      </c>
      <c r="L1842" s="29">
        <v>0</v>
      </c>
      <c r="M1842" s="29">
        <v>1</v>
      </c>
      <c r="N1842" s="29">
        <v>246.81659999999999</v>
      </c>
      <c r="O1842" s="29">
        <v>12520</v>
      </c>
      <c r="P1842" s="29">
        <v>989249</v>
      </c>
    </row>
    <row r="1843" spans="1:16">
      <c r="A1843" s="29">
        <v>11</v>
      </c>
      <c r="B1843" s="29">
        <v>1</v>
      </c>
      <c r="C1843" s="313">
        <v>317103</v>
      </c>
      <c r="D1843" s="29" t="s">
        <v>761</v>
      </c>
      <c r="E1843" s="29" t="s">
        <v>448</v>
      </c>
      <c r="F1843" s="263">
        <v>42340</v>
      </c>
      <c r="G1843" s="263">
        <v>42350</v>
      </c>
      <c r="H1843" s="29">
        <v>20916.66</v>
      </c>
      <c r="I1843" s="29">
        <v>0</v>
      </c>
      <c r="J1843" s="292">
        <v>3765</v>
      </c>
      <c r="K1843" s="29">
        <v>24681.66</v>
      </c>
      <c r="L1843" s="29">
        <v>0</v>
      </c>
      <c r="M1843" s="29">
        <v>1</v>
      </c>
      <c r="N1843" s="29">
        <v>246.81659999999999</v>
      </c>
      <c r="O1843" s="29">
        <v>12520</v>
      </c>
      <c r="P1843" s="29">
        <v>989249</v>
      </c>
    </row>
    <row r="1844" spans="1:16">
      <c r="A1844" s="29">
        <v>12</v>
      </c>
      <c r="B1844" s="29">
        <v>1</v>
      </c>
      <c r="C1844" s="313">
        <v>317103</v>
      </c>
      <c r="D1844" s="29" t="s">
        <v>761</v>
      </c>
      <c r="E1844" s="29" t="s">
        <v>448</v>
      </c>
      <c r="F1844" s="263">
        <v>42340</v>
      </c>
      <c r="G1844" s="263">
        <v>42350</v>
      </c>
      <c r="H1844" s="29">
        <v>20916.66</v>
      </c>
      <c r="I1844" s="29">
        <v>0</v>
      </c>
      <c r="J1844" s="292">
        <v>3765</v>
      </c>
      <c r="K1844" s="29">
        <v>24681.66</v>
      </c>
      <c r="L1844" s="29">
        <v>0</v>
      </c>
      <c r="M1844" s="29">
        <v>1</v>
      </c>
      <c r="N1844" s="29">
        <v>246.81659999999999</v>
      </c>
      <c r="O1844" s="29">
        <v>12519</v>
      </c>
      <c r="P1844" s="29">
        <v>989249</v>
      </c>
    </row>
    <row r="1845" spans="1:16">
      <c r="A1845" s="29">
        <v>13</v>
      </c>
      <c r="B1845" s="29">
        <v>1</v>
      </c>
      <c r="C1845" s="313">
        <v>317103</v>
      </c>
      <c r="D1845" s="29" t="s">
        <v>761</v>
      </c>
      <c r="E1845" s="29" t="s">
        <v>448</v>
      </c>
      <c r="F1845" s="263">
        <v>42340</v>
      </c>
      <c r="G1845" s="263">
        <v>42350</v>
      </c>
      <c r="H1845" s="29">
        <v>20916.66</v>
      </c>
      <c r="I1845" s="29">
        <v>0</v>
      </c>
      <c r="J1845" s="292">
        <v>3765</v>
      </c>
      <c r="K1845" s="29">
        <v>24681.66</v>
      </c>
      <c r="L1845" s="29">
        <v>0</v>
      </c>
      <c r="M1845" s="29">
        <v>1</v>
      </c>
      <c r="N1845" s="29">
        <v>246.81659999999999</v>
      </c>
      <c r="O1845" s="29">
        <v>12519</v>
      </c>
      <c r="P1845" s="29">
        <v>989249</v>
      </c>
    </row>
    <row r="1846" spans="1:16">
      <c r="A1846" s="29">
        <v>14</v>
      </c>
      <c r="B1846" s="29">
        <v>1</v>
      </c>
      <c r="C1846" s="313">
        <v>317103</v>
      </c>
      <c r="D1846" s="29" t="s">
        <v>761</v>
      </c>
      <c r="E1846" s="29" t="s">
        <v>448</v>
      </c>
      <c r="F1846" s="263">
        <v>42340</v>
      </c>
      <c r="G1846" s="263">
        <v>42350</v>
      </c>
      <c r="H1846" s="29">
        <v>20916.66</v>
      </c>
      <c r="I1846" s="29">
        <v>0</v>
      </c>
      <c r="J1846" s="292">
        <v>3765</v>
      </c>
      <c r="K1846" s="29">
        <v>24681.66</v>
      </c>
      <c r="L1846" s="29">
        <v>0</v>
      </c>
      <c r="M1846" s="29">
        <v>1</v>
      </c>
      <c r="N1846" s="29">
        <v>246.81659999999999</v>
      </c>
      <c r="O1846" s="29">
        <v>12519</v>
      </c>
      <c r="P1846" s="29">
        <v>989249</v>
      </c>
    </row>
    <row r="1847" spans="1:16">
      <c r="A1847" s="29">
        <v>15</v>
      </c>
      <c r="B1847" s="29">
        <v>1</v>
      </c>
      <c r="C1847" s="29">
        <v>317547</v>
      </c>
      <c r="D1847" s="29" t="s">
        <v>772</v>
      </c>
      <c r="E1847" s="29" t="s">
        <v>448</v>
      </c>
      <c r="F1847" s="263">
        <v>42348</v>
      </c>
      <c r="G1847" s="263">
        <v>42353</v>
      </c>
      <c r="H1847" s="29">
        <v>7287.25</v>
      </c>
      <c r="I1847" s="29">
        <v>0</v>
      </c>
      <c r="J1847" s="292">
        <v>1311.71</v>
      </c>
      <c r="K1847" s="29">
        <v>8598.9599999999991</v>
      </c>
      <c r="L1847" s="29">
        <v>0</v>
      </c>
      <c r="M1847" s="29">
        <v>1</v>
      </c>
      <c r="N1847" s="29">
        <v>85.989599999999996</v>
      </c>
      <c r="O1847" s="29">
        <v>12519</v>
      </c>
      <c r="P1847" s="29">
        <v>989978</v>
      </c>
    </row>
    <row r="1848" spans="1:16">
      <c r="A1848" s="29">
        <v>16</v>
      </c>
      <c r="B1848" s="29">
        <v>1</v>
      </c>
      <c r="C1848" s="313">
        <v>317742</v>
      </c>
      <c r="D1848" s="29" t="s">
        <v>761</v>
      </c>
      <c r="E1848" s="29" t="s">
        <v>448</v>
      </c>
      <c r="F1848" s="263">
        <v>42350</v>
      </c>
      <c r="G1848" s="263">
        <v>42350</v>
      </c>
      <c r="H1848" s="29">
        <v>2830.4</v>
      </c>
      <c r="I1848" s="29">
        <v>0</v>
      </c>
      <c r="J1848" s="292">
        <v>509.47</v>
      </c>
      <c r="K1848" s="29">
        <v>3339.87</v>
      </c>
      <c r="L1848" s="29">
        <v>0</v>
      </c>
      <c r="M1848" s="29">
        <v>1</v>
      </c>
      <c r="N1848" s="29">
        <v>33.398699999999998</v>
      </c>
      <c r="O1848" s="29">
        <v>12520</v>
      </c>
      <c r="P1848" s="29">
        <v>990341</v>
      </c>
    </row>
    <row r="1849" spans="1:16">
      <c r="A1849" s="29">
        <v>17</v>
      </c>
      <c r="B1849" s="29">
        <v>1</v>
      </c>
      <c r="C1849" s="313">
        <v>317742</v>
      </c>
      <c r="D1849" s="29" t="s">
        <v>761</v>
      </c>
      <c r="E1849" s="29" t="s">
        <v>448</v>
      </c>
      <c r="F1849" s="263">
        <v>42350</v>
      </c>
      <c r="G1849" s="263">
        <v>42350</v>
      </c>
      <c r="H1849" s="29">
        <v>2830.4</v>
      </c>
      <c r="I1849" s="29">
        <v>0</v>
      </c>
      <c r="J1849" s="292">
        <v>509.47</v>
      </c>
      <c r="K1849" s="29">
        <v>3339.87</v>
      </c>
      <c r="L1849" s="29">
        <v>0</v>
      </c>
      <c r="M1849" s="29">
        <v>1</v>
      </c>
      <c r="N1849" s="29">
        <v>33.398699999999998</v>
      </c>
      <c r="O1849" s="29">
        <v>12520</v>
      </c>
      <c r="P1849" s="29">
        <v>990341</v>
      </c>
    </row>
    <row r="1850" spans="1:16">
      <c r="A1850" s="29">
        <v>18</v>
      </c>
      <c r="B1850" s="29">
        <v>1</v>
      </c>
      <c r="C1850" s="29">
        <v>317743</v>
      </c>
      <c r="D1850" s="29" t="s">
        <v>772</v>
      </c>
      <c r="E1850" s="29" t="s">
        <v>448</v>
      </c>
      <c r="F1850" s="263">
        <v>42350</v>
      </c>
      <c r="G1850" s="263">
        <v>42353</v>
      </c>
      <c r="H1850" s="29">
        <v>5830.42</v>
      </c>
      <c r="I1850" s="29">
        <v>0</v>
      </c>
      <c r="J1850" s="292">
        <v>1049.48</v>
      </c>
      <c r="K1850" s="29">
        <v>6879.9</v>
      </c>
      <c r="L1850" s="29">
        <v>0</v>
      </c>
      <c r="M1850" s="29">
        <v>1</v>
      </c>
      <c r="N1850" s="29">
        <v>68.799000000000007</v>
      </c>
      <c r="O1850" s="29">
        <v>12520</v>
      </c>
      <c r="P1850" s="29">
        <v>990343</v>
      </c>
    </row>
    <row r="1851" spans="1:16">
      <c r="A1851" s="29">
        <v>19</v>
      </c>
      <c r="B1851" s="29">
        <v>1</v>
      </c>
      <c r="C1851" s="313">
        <v>317744</v>
      </c>
      <c r="D1851" s="29" t="s">
        <v>772</v>
      </c>
      <c r="E1851" s="29" t="s">
        <v>448</v>
      </c>
      <c r="F1851" s="263">
        <v>42350</v>
      </c>
      <c r="G1851" s="263">
        <v>42353</v>
      </c>
      <c r="H1851" s="29">
        <v>9906.4</v>
      </c>
      <c r="I1851" s="29">
        <v>0</v>
      </c>
      <c r="J1851" s="292">
        <v>1783.15</v>
      </c>
      <c r="K1851" s="29">
        <v>11689.55</v>
      </c>
      <c r="L1851" s="29">
        <v>0</v>
      </c>
      <c r="M1851" s="29">
        <v>1</v>
      </c>
      <c r="N1851" s="29">
        <v>116.8955</v>
      </c>
      <c r="O1851" s="29">
        <v>12519</v>
      </c>
      <c r="P1851" s="29">
        <v>990344</v>
      </c>
    </row>
    <row r="1852" spans="1:16">
      <c r="A1852" s="29">
        <v>20</v>
      </c>
      <c r="B1852" s="29">
        <v>1</v>
      </c>
      <c r="C1852" s="313">
        <v>317744</v>
      </c>
      <c r="D1852" s="29" t="s">
        <v>772</v>
      </c>
      <c r="E1852" s="29" t="s">
        <v>448</v>
      </c>
      <c r="F1852" s="263">
        <v>42350</v>
      </c>
      <c r="G1852" s="263">
        <v>42353</v>
      </c>
      <c r="H1852" s="29">
        <v>9906.4</v>
      </c>
      <c r="I1852" s="29">
        <v>0</v>
      </c>
      <c r="J1852" s="292">
        <v>1783.15</v>
      </c>
      <c r="K1852" s="29">
        <v>11689.55</v>
      </c>
      <c r="L1852" s="29">
        <v>0</v>
      </c>
      <c r="M1852" s="29">
        <v>1</v>
      </c>
      <c r="N1852" s="29">
        <v>116.8955</v>
      </c>
      <c r="O1852" s="29">
        <v>12519</v>
      </c>
      <c r="P1852" s="29">
        <v>990344</v>
      </c>
    </row>
    <row r="1853" spans="1:16">
      <c r="A1853" s="29">
        <v>21</v>
      </c>
      <c r="B1853" s="29">
        <v>1</v>
      </c>
      <c r="C1853" s="29">
        <v>317976</v>
      </c>
      <c r="D1853" s="29" t="s">
        <v>772</v>
      </c>
      <c r="E1853" s="29" t="s">
        <v>448</v>
      </c>
      <c r="F1853" s="263">
        <v>42354</v>
      </c>
      <c r="G1853" s="263">
        <v>42354</v>
      </c>
      <c r="H1853" s="29">
        <v>16982.400000000001</v>
      </c>
      <c r="I1853" s="29">
        <v>0</v>
      </c>
      <c r="J1853" s="292">
        <v>3056.83</v>
      </c>
      <c r="K1853" s="29">
        <v>20039.23</v>
      </c>
      <c r="L1853" s="29">
        <v>0</v>
      </c>
      <c r="M1853" s="29">
        <v>1</v>
      </c>
      <c r="N1853" s="29">
        <v>200.39230000000001</v>
      </c>
      <c r="O1853" s="29">
        <v>12520</v>
      </c>
      <c r="P1853" s="29">
        <v>990731</v>
      </c>
    </row>
    <row r="1854" spans="1:16">
      <c r="B1854" s="29">
        <v>1</v>
      </c>
      <c r="C1854" s="29">
        <v>317976</v>
      </c>
      <c r="D1854" s="29" t="s">
        <v>772</v>
      </c>
      <c r="E1854" s="29" t="s">
        <v>448</v>
      </c>
      <c r="F1854" s="263">
        <v>42354</v>
      </c>
      <c r="G1854" s="263">
        <v>42354</v>
      </c>
      <c r="H1854" s="29">
        <v>16982.400000000001</v>
      </c>
      <c r="I1854" s="29">
        <v>0</v>
      </c>
      <c r="J1854" s="292">
        <v>3056.83</v>
      </c>
      <c r="K1854" s="29">
        <v>20039.23</v>
      </c>
      <c r="L1854" s="29">
        <v>0</v>
      </c>
      <c r="M1854" s="29">
        <v>1</v>
      </c>
      <c r="N1854" s="29">
        <v>200.39230000000001</v>
      </c>
      <c r="O1854" s="29">
        <v>12520</v>
      </c>
      <c r="P1854" s="29">
        <v>990731</v>
      </c>
    </row>
    <row r="1855" spans="1:16">
      <c r="B1855" s="29">
        <v>1</v>
      </c>
      <c r="C1855" s="313">
        <v>318140</v>
      </c>
      <c r="D1855" s="29" t="s">
        <v>772</v>
      </c>
      <c r="E1855" s="29" t="s">
        <v>448</v>
      </c>
      <c r="F1855" s="263">
        <v>42356</v>
      </c>
      <c r="G1855" s="263">
        <v>42366</v>
      </c>
      <c r="H1855" s="29">
        <v>2830.4</v>
      </c>
      <c r="I1855" s="29">
        <v>0</v>
      </c>
      <c r="J1855" s="292">
        <v>509.47</v>
      </c>
      <c r="K1855" s="29">
        <v>3339.87</v>
      </c>
      <c r="L1855" s="29">
        <v>0</v>
      </c>
      <c r="M1855" s="29">
        <v>1</v>
      </c>
      <c r="N1855" s="29">
        <v>33.398699999999998</v>
      </c>
      <c r="O1855" s="29">
        <v>12520</v>
      </c>
      <c r="P1855" s="29">
        <v>991005</v>
      </c>
    </row>
    <row r="1856" spans="1:16">
      <c r="B1856" s="29">
        <v>1</v>
      </c>
      <c r="C1856" s="29">
        <v>318142</v>
      </c>
      <c r="D1856" s="29" t="s">
        <v>772</v>
      </c>
      <c r="E1856" s="29" t="s">
        <v>448</v>
      </c>
      <c r="F1856" s="263">
        <v>42356</v>
      </c>
      <c r="G1856" s="263">
        <v>42366</v>
      </c>
      <c r="H1856" s="29">
        <v>5830.42</v>
      </c>
      <c r="I1856" s="29">
        <v>0</v>
      </c>
      <c r="J1856" s="292">
        <v>1049.48</v>
      </c>
      <c r="K1856" s="29">
        <v>6879.9</v>
      </c>
      <c r="L1856" s="29">
        <v>0</v>
      </c>
      <c r="M1856" s="29">
        <v>1</v>
      </c>
      <c r="N1856" s="29">
        <v>68.799000000000007</v>
      </c>
      <c r="O1856" s="29">
        <v>12520</v>
      </c>
      <c r="P1856" s="29">
        <v>991010</v>
      </c>
    </row>
    <row r="1858" spans="1:28">
      <c r="C1858" s="59"/>
      <c r="D1858" s="59"/>
      <c r="E1858" s="59" t="s">
        <v>801</v>
      </c>
      <c r="F1858" s="59"/>
      <c r="G1858" s="59"/>
      <c r="H1858" s="59"/>
      <c r="I1858" s="59"/>
      <c r="J1858" s="59"/>
      <c r="K1858" s="293"/>
    </row>
    <row r="1859" spans="1:28">
      <c r="C1859" s="59"/>
      <c r="D1859" s="59"/>
      <c r="E1859" s="59"/>
      <c r="F1859" s="59"/>
      <c r="G1859" s="59"/>
      <c r="H1859" s="59"/>
      <c r="I1859" s="59"/>
      <c r="J1859" s="59"/>
      <c r="K1859" s="293"/>
    </row>
    <row r="1860" spans="1:28">
      <c r="A1860" s="29" t="s">
        <v>45</v>
      </c>
      <c r="B1860" s="264" t="s">
        <v>369</v>
      </c>
      <c r="C1860" s="264" t="s">
        <v>370</v>
      </c>
      <c r="D1860" s="264" t="s">
        <v>371</v>
      </c>
      <c r="E1860" s="264" t="s">
        <v>372</v>
      </c>
      <c r="F1860" s="264" t="s">
        <v>373</v>
      </c>
      <c r="G1860" s="264" t="s">
        <v>393</v>
      </c>
      <c r="H1860" s="264" t="s">
        <v>375</v>
      </c>
      <c r="I1860" s="264" t="s">
        <v>376</v>
      </c>
      <c r="J1860" s="294" t="s">
        <v>377</v>
      </c>
      <c r="K1860" s="264" t="s">
        <v>378</v>
      </c>
      <c r="L1860" s="29" t="s">
        <v>771</v>
      </c>
    </row>
    <row r="1861" spans="1:28">
      <c r="A1861" s="29">
        <v>1</v>
      </c>
      <c r="B1861" s="111">
        <v>1</v>
      </c>
      <c r="C1861" s="111">
        <v>311250</v>
      </c>
      <c r="D1861" s="111" t="s">
        <v>772</v>
      </c>
      <c r="E1861" s="111" t="s">
        <v>448</v>
      </c>
      <c r="F1861" s="265">
        <v>42271</v>
      </c>
      <c r="G1861" s="265">
        <v>42390</v>
      </c>
      <c r="H1861" s="266">
        <f t="shared" ref="H1861:H1892" si="153">V1861+W1861</f>
        <v>12204</v>
      </c>
      <c r="I1861" s="266">
        <f t="shared" ref="I1861:I1892" si="154">Z1861/1.18</f>
        <v>0</v>
      </c>
      <c r="J1861" s="266">
        <v>0</v>
      </c>
      <c r="K1861" s="266">
        <f t="shared" ref="K1861:K1892" si="155">(H1861-I1861)*J1861%</f>
        <v>0</v>
      </c>
      <c r="L1861" s="312">
        <f t="shared" ref="L1861:L1892" si="156">G1861-F1861</f>
        <v>119</v>
      </c>
      <c r="M1861" s="263"/>
      <c r="N1861" s="263"/>
      <c r="O1861" s="263"/>
      <c r="P1861" s="263"/>
      <c r="Q1861" s="263"/>
      <c r="R1861" s="263"/>
      <c r="S1861" s="263"/>
      <c r="T1861" s="263"/>
      <c r="U1861" s="263"/>
      <c r="V1861" s="29">
        <v>12204</v>
      </c>
      <c r="W1861" s="29">
        <v>0</v>
      </c>
      <c r="X1861" s="292">
        <v>2196.7199999999998</v>
      </c>
      <c r="Y1861" s="29">
        <v>14400.72</v>
      </c>
      <c r="Z1861" s="29">
        <v>0</v>
      </c>
      <c r="AA1861" s="29">
        <v>1</v>
      </c>
      <c r="AB1861" s="29">
        <v>144.00720000000001</v>
      </c>
    </row>
    <row r="1862" spans="1:28">
      <c r="A1862" s="29">
        <v>2</v>
      </c>
      <c r="B1862" s="111">
        <v>1</v>
      </c>
      <c r="C1862" s="111">
        <v>314606</v>
      </c>
      <c r="D1862" s="111" t="s">
        <v>772</v>
      </c>
      <c r="E1862" s="111" t="s">
        <v>448</v>
      </c>
      <c r="F1862" s="265">
        <v>42308</v>
      </c>
      <c r="G1862" s="265">
        <v>42398</v>
      </c>
      <c r="H1862" s="266">
        <f t="shared" si="153"/>
        <v>19682.34</v>
      </c>
      <c r="I1862" s="266">
        <f t="shared" si="154"/>
        <v>0</v>
      </c>
      <c r="J1862" s="266">
        <v>0</v>
      </c>
      <c r="K1862" s="266">
        <f t="shared" si="155"/>
        <v>0</v>
      </c>
      <c r="L1862" s="312">
        <f t="shared" si="156"/>
        <v>90</v>
      </c>
      <c r="M1862" s="263"/>
      <c r="N1862" s="263"/>
      <c r="O1862" s="263"/>
      <c r="P1862" s="263"/>
      <c r="Q1862" s="263"/>
      <c r="R1862" s="263"/>
      <c r="S1862" s="263"/>
      <c r="T1862" s="263"/>
      <c r="U1862" s="263"/>
      <c r="V1862" s="29">
        <v>19682.34</v>
      </c>
      <c r="W1862" s="29">
        <v>0</v>
      </c>
      <c r="X1862" s="292">
        <v>3542.82</v>
      </c>
      <c r="Y1862" s="29">
        <v>23225.16</v>
      </c>
      <c r="Z1862" s="29">
        <v>0</v>
      </c>
      <c r="AA1862" s="29">
        <v>1</v>
      </c>
      <c r="AB1862" s="29">
        <v>232.2516</v>
      </c>
    </row>
    <row r="1863" spans="1:28">
      <c r="A1863" s="29">
        <v>3</v>
      </c>
      <c r="B1863" s="111">
        <v>1</v>
      </c>
      <c r="C1863" s="111">
        <v>314680</v>
      </c>
      <c r="D1863" s="111" t="s">
        <v>802</v>
      </c>
      <c r="E1863" s="111" t="s">
        <v>382</v>
      </c>
      <c r="F1863" s="265">
        <v>42310</v>
      </c>
      <c r="G1863" s="265">
        <v>42392</v>
      </c>
      <c r="H1863" s="266">
        <f t="shared" si="153"/>
        <v>1656.45</v>
      </c>
      <c r="I1863" s="266">
        <f t="shared" si="154"/>
        <v>0</v>
      </c>
      <c r="J1863" s="266">
        <v>0</v>
      </c>
      <c r="K1863" s="266">
        <f t="shared" si="155"/>
        <v>0</v>
      </c>
      <c r="L1863" s="312">
        <f t="shared" si="156"/>
        <v>82</v>
      </c>
      <c r="M1863" s="263"/>
      <c r="N1863" s="263"/>
      <c r="O1863" s="263"/>
      <c r="P1863" s="263"/>
      <c r="Q1863" s="263"/>
      <c r="R1863" s="263"/>
      <c r="S1863" s="263"/>
      <c r="T1863" s="263"/>
      <c r="U1863" s="263"/>
      <c r="V1863" s="29">
        <v>1656.45</v>
      </c>
      <c r="W1863" s="29">
        <v>0</v>
      </c>
      <c r="X1863" s="292">
        <v>298.16000000000003</v>
      </c>
      <c r="Y1863" s="29">
        <v>1954.61</v>
      </c>
      <c r="Z1863" s="29">
        <v>0</v>
      </c>
      <c r="AA1863" s="29">
        <v>1</v>
      </c>
      <c r="AB1863" s="29">
        <v>19.546099999999999</v>
      </c>
    </row>
    <row r="1864" spans="1:28">
      <c r="A1864" s="29">
        <v>4</v>
      </c>
      <c r="B1864" s="111">
        <v>1</v>
      </c>
      <c r="C1864" s="111">
        <v>314710</v>
      </c>
      <c r="D1864" s="111" t="s">
        <v>759</v>
      </c>
      <c r="E1864" s="111" t="s">
        <v>448</v>
      </c>
      <c r="F1864" s="265">
        <v>42311</v>
      </c>
      <c r="G1864" s="265">
        <v>42377</v>
      </c>
      <c r="H1864" s="266">
        <f t="shared" si="153"/>
        <v>3116.15</v>
      </c>
      <c r="I1864" s="266">
        <f t="shared" si="154"/>
        <v>0</v>
      </c>
      <c r="J1864" s="266">
        <v>1</v>
      </c>
      <c r="K1864" s="266">
        <f t="shared" si="155"/>
        <v>31.1615</v>
      </c>
      <c r="L1864" s="312">
        <f t="shared" si="156"/>
        <v>66</v>
      </c>
      <c r="M1864" s="263"/>
      <c r="N1864" s="263"/>
      <c r="O1864" s="263"/>
      <c r="P1864" s="263"/>
      <c r="Q1864" s="263"/>
      <c r="R1864" s="263"/>
      <c r="S1864" s="263"/>
      <c r="T1864" s="263"/>
      <c r="U1864" s="263"/>
      <c r="V1864" s="29">
        <v>3116.15</v>
      </c>
      <c r="W1864" s="29">
        <v>0</v>
      </c>
      <c r="X1864" s="292">
        <v>560.91</v>
      </c>
      <c r="Y1864" s="29">
        <v>3677.06</v>
      </c>
      <c r="Z1864" s="29">
        <v>0</v>
      </c>
      <c r="AA1864" s="29">
        <v>1</v>
      </c>
      <c r="AB1864" s="29">
        <v>36.770600000000002</v>
      </c>
    </row>
    <row r="1865" spans="1:28">
      <c r="A1865" s="29">
        <v>5</v>
      </c>
      <c r="B1865" s="111">
        <v>1</v>
      </c>
      <c r="C1865" s="111">
        <v>314768</v>
      </c>
      <c r="D1865" s="111" t="s">
        <v>802</v>
      </c>
      <c r="E1865" s="111" t="s">
        <v>382</v>
      </c>
      <c r="F1865" s="265">
        <v>42311</v>
      </c>
      <c r="G1865" s="265">
        <v>42392</v>
      </c>
      <c r="H1865" s="266">
        <f t="shared" si="153"/>
        <v>457.22</v>
      </c>
      <c r="I1865" s="266">
        <f t="shared" si="154"/>
        <v>0</v>
      </c>
      <c r="J1865" s="266">
        <v>0</v>
      </c>
      <c r="K1865" s="266">
        <f t="shared" si="155"/>
        <v>0</v>
      </c>
      <c r="L1865" s="312">
        <f t="shared" si="156"/>
        <v>81</v>
      </c>
      <c r="M1865" s="263"/>
      <c r="N1865" s="263"/>
      <c r="O1865" s="263"/>
      <c r="P1865" s="263"/>
      <c r="Q1865" s="263"/>
      <c r="R1865" s="263"/>
      <c r="S1865" s="263"/>
      <c r="T1865" s="263"/>
      <c r="U1865" s="263"/>
      <c r="V1865" s="29">
        <v>457.22</v>
      </c>
      <c r="W1865" s="29">
        <v>0</v>
      </c>
      <c r="X1865" s="292">
        <v>82.3</v>
      </c>
      <c r="Y1865" s="29">
        <v>539.52</v>
      </c>
      <c r="Z1865" s="29">
        <v>0</v>
      </c>
      <c r="AA1865" s="29">
        <v>1</v>
      </c>
      <c r="AB1865" s="29">
        <v>5.3952</v>
      </c>
    </row>
    <row r="1866" spans="1:28">
      <c r="A1866" s="29">
        <v>6</v>
      </c>
      <c r="B1866" s="111">
        <v>1</v>
      </c>
      <c r="C1866" s="111">
        <v>314787</v>
      </c>
      <c r="D1866" s="111" t="s">
        <v>802</v>
      </c>
      <c r="E1866" s="111" t="s">
        <v>382</v>
      </c>
      <c r="F1866" s="265">
        <v>42312</v>
      </c>
      <c r="G1866" s="265">
        <v>42392</v>
      </c>
      <c r="H1866" s="266">
        <f t="shared" si="153"/>
        <v>236.65</v>
      </c>
      <c r="I1866" s="266">
        <f t="shared" si="154"/>
        <v>0</v>
      </c>
      <c r="J1866" s="266">
        <v>0</v>
      </c>
      <c r="K1866" s="266">
        <f t="shared" si="155"/>
        <v>0</v>
      </c>
      <c r="L1866" s="312">
        <f t="shared" si="156"/>
        <v>80</v>
      </c>
      <c r="M1866" s="263"/>
      <c r="N1866" s="263"/>
      <c r="O1866" s="263"/>
      <c r="P1866" s="263"/>
      <c r="Q1866" s="263"/>
      <c r="R1866" s="263"/>
      <c r="S1866" s="263"/>
      <c r="T1866" s="263"/>
      <c r="U1866" s="263"/>
      <c r="V1866" s="29">
        <v>236.65</v>
      </c>
      <c r="W1866" s="29">
        <v>0</v>
      </c>
      <c r="X1866" s="292">
        <v>42.6</v>
      </c>
      <c r="Y1866" s="29">
        <v>279.25</v>
      </c>
      <c r="Z1866" s="29">
        <v>0</v>
      </c>
      <c r="AA1866" s="29">
        <v>1</v>
      </c>
      <c r="AB1866" s="29">
        <v>2.7925</v>
      </c>
    </row>
    <row r="1867" spans="1:28">
      <c r="A1867" s="29">
        <v>7</v>
      </c>
      <c r="B1867" s="111">
        <v>1</v>
      </c>
      <c r="C1867" s="111">
        <v>314948</v>
      </c>
      <c r="D1867" s="111" t="s">
        <v>802</v>
      </c>
      <c r="E1867" s="111" t="s">
        <v>382</v>
      </c>
      <c r="F1867" s="265">
        <v>42314</v>
      </c>
      <c r="G1867" s="265">
        <v>42392</v>
      </c>
      <c r="H1867" s="266">
        <f t="shared" si="153"/>
        <v>1114.1500000000001</v>
      </c>
      <c r="I1867" s="266">
        <f t="shared" si="154"/>
        <v>0</v>
      </c>
      <c r="J1867" s="266">
        <v>0</v>
      </c>
      <c r="K1867" s="266">
        <f t="shared" si="155"/>
        <v>0</v>
      </c>
      <c r="L1867" s="312">
        <f t="shared" si="156"/>
        <v>78</v>
      </c>
      <c r="M1867" s="263"/>
      <c r="N1867" s="263"/>
      <c r="O1867" s="263"/>
      <c r="P1867" s="263"/>
      <c r="Q1867" s="263"/>
      <c r="R1867" s="263"/>
      <c r="S1867" s="263"/>
      <c r="T1867" s="263"/>
      <c r="U1867" s="263"/>
      <c r="V1867" s="29">
        <v>1114.1500000000001</v>
      </c>
      <c r="W1867" s="29">
        <v>0</v>
      </c>
      <c r="X1867" s="292">
        <v>200.55</v>
      </c>
      <c r="Y1867" s="29">
        <v>1314.7</v>
      </c>
      <c r="Z1867" s="29">
        <v>0</v>
      </c>
      <c r="AA1867" s="29">
        <v>1</v>
      </c>
      <c r="AB1867" s="29">
        <v>13.147</v>
      </c>
    </row>
    <row r="1868" spans="1:28">
      <c r="A1868" s="29">
        <v>8</v>
      </c>
      <c r="B1868" s="111">
        <v>1</v>
      </c>
      <c r="C1868" s="111">
        <v>315023</v>
      </c>
      <c r="D1868" s="111" t="s">
        <v>800</v>
      </c>
      <c r="E1868" s="111" t="s">
        <v>448</v>
      </c>
      <c r="F1868" s="265">
        <v>42315</v>
      </c>
      <c r="G1868" s="265">
        <v>42392</v>
      </c>
      <c r="H1868" s="266">
        <f t="shared" si="153"/>
        <v>146.41999999999999</v>
      </c>
      <c r="I1868" s="266">
        <f t="shared" si="154"/>
        <v>0</v>
      </c>
      <c r="J1868" s="266">
        <v>0</v>
      </c>
      <c r="K1868" s="266">
        <f t="shared" si="155"/>
        <v>0</v>
      </c>
      <c r="L1868" s="312">
        <f t="shared" si="156"/>
        <v>77</v>
      </c>
      <c r="M1868" s="263"/>
      <c r="N1868" s="263"/>
      <c r="O1868" s="263"/>
      <c r="P1868" s="263"/>
      <c r="Q1868" s="263"/>
      <c r="R1868" s="263"/>
      <c r="S1868" s="263"/>
      <c r="T1868" s="263"/>
      <c r="U1868" s="263"/>
      <c r="V1868" s="29">
        <v>146.41999999999999</v>
      </c>
      <c r="W1868" s="29">
        <v>0</v>
      </c>
      <c r="X1868" s="292">
        <v>26.36</v>
      </c>
      <c r="Y1868" s="29">
        <v>172.78</v>
      </c>
      <c r="Z1868" s="29">
        <v>0</v>
      </c>
      <c r="AA1868" s="29">
        <v>1</v>
      </c>
      <c r="AB1868" s="29">
        <v>1.7278</v>
      </c>
    </row>
    <row r="1869" spans="1:28">
      <c r="A1869" s="29">
        <v>9</v>
      </c>
      <c r="B1869" s="111">
        <v>1</v>
      </c>
      <c r="C1869" s="111">
        <v>315073</v>
      </c>
      <c r="D1869" s="111" t="s">
        <v>802</v>
      </c>
      <c r="E1869" s="111" t="s">
        <v>382</v>
      </c>
      <c r="F1869" s="265">
        <v>42317</v>
      </c>
      <c r="G1869" s="265">
        <v>42392</v>
      </c>
      <c r="H1869" s="266">
        <f t="shared" si="153"/>
        <v>435.68</v>
      </c>
      <c r="I1869" s="266">
        <f t="shared" si="154"/>
        <v>0</v>
      </c>
      <c r="J1869" s="266">
        <v>1</v>
      </c>
      <c r="K1869" s="266">
        <f t="shared" si="155"/>
        <v>4.3567999999999998</v>
      </c>
      <c r="L1869" s="312">
        <f t="shared" si="156"/>
        <v>75</v>
      </c>
      <c r="M1869" s="263"/>
      <c r="N1869" s="263"/>
      <c r="O1869" s="263"/>
      <c r="P1869" s="263"/>
      <c r="Q1869" s="263"/>
      <c r="R1869" s="263"/>
      <c r="S1869" s="263"/>
      <c r="T1869" s="263"/>
      <c r="U1869" s="263"/>
      <c r="V1869" s="29">
        <v>435.68</v>
      </c>
      <c r="W1869" s="29">
        <v>0</v>
      </c>
      <c r="X1869" s="292">
        <v>78.42</v>
      </c>
      <c r="Y1869" s="29">
        <v>514.1</v>
      </c>
      <c r="Z1869" s="29">
        <v>0</v>
      </c>
      <c r="AA1869" s="29">
        <v>1</v>
      </c>
      <c r="AB1869" s="29">
        <v>5.141</v>
      </c>
    </row>
    <row r="1870" spans="1:28">
      <c r="A1870" s="29">
        <v>10</v>
      </c>
      <c r="B1870" s="111">
        <v>1</v>
      </c>
      <c r="C1870" s="111">
        <v>315068</v>
      </c>
      <c r="D1870" s="111" t="s">
        <v>800</v>
      </c>
      <c r="E1870" s="111" t="s">
        <v>448</v>
      </c>
      <c r="F1870" s="265">
        <v>42317</v>
      </c>
      <c r="G1870" s="265">
        <v>42392</v>
      </c>
      <c r="H1870" s="266">
        <f t="shared" si="153"/>
        <v>213.48</v>
      </c>
      <c r="I1870" s="266">
        <f t="shared" si="154"/>
        <v>0</v>
      </c>
      <c r="J1870" s="266">
        <v>1</v>
      </c>
      <c r="K1870" s="266">
        <f t="shared" si="155"/>
        <v>2.1347999999999998</v>
      </c>
      <c r="L1870" s="312">
        <f t="shared" si="156"/>
        <v>75</v>
      </c>
      <c r="M1870" s="263"/>
      <c r="N1870" s="263"/>
      <c r="O1870" s="263"/>
      <c r="P1870" s="263"/>
      <c r="Q1870" s="263"/>
      <c r="R1870" s="263"/>
      <c r="S1870" s="263"/>
      <c r="T1870" s="263"/>
      <c r="U1870" s="263"/>
      <c r="V1870" s="29">
        <v>213.48</v>
      </c>
      <c r="W1870" s="29">
        <v>0</v>
      </c>
      <c r="X1870" s="292">
        <v>38.43</v>
      </c>
      <c r="Y1870" s="29">
        <v>251.91</v>
      </c>
      <c r="Z1870" s="29">
        <v>0</v>
      </c>
      <c r="AA1870" s="29">
        <v>1</v>
      </c>
      <c r="AB1870" s="29">
        <v>2.5190999999999999</v>
      </c>
    </row>
    <row r="1871" spans="1:28">
      <c r="A1871" s="29">
        <v>11</v>
      </c>
      <c r="B1871" s="111">
        <v>1</v>
      </c>
      <c r="C1871" s="111">
        <v>315095</v>
      </c>
      <c r="D1871" s="111" t="s">
        <v>759</v>
      </c>
      <c r="E1871" s="111" t="s">
        <v>448</v>
      </c>
      <c r="F1871" s="265">
        <v>42317</v>
      </c>
      <c r="G1871" s="265">
        <v>42377</v>
      </c>
      <c r="H1871" s="266">
        <f t="shared" si="153"/>
        <v>1342.42</v>
      </c>
      <c r="I1871" s="266">
        <f t="shared" si="154"/>
        <v>0</v>
      </c>
      <c r="J1871" s="266">
        <v>1</v>
      </c>
      <c r="K1871" s="266">
        <f t="shared" si="155"/>
        <v>13.424200000000001</v>
      </c>
      <c r="L1871" s="312">
        <f t="shared" si="156"/>
        <v>60</v>
      </c>
      <c r="M1871" s="263"/>
      <c r="N1871" s="263"/>
      <c r="O1871" s="263"/>
      <c r="P1871" s="263"/>
      <c r="Q1871" s="263"/>
      <c r="R1871" s="263"/>
      <c r="S1871" s="263"/>
      <c r="T1871" s="263"/>
      <c r="U1871" s="263"/>
      <c r="V1871" s="29">
        <v>1342.42</v>
      </c>
      <c r="W1871" s="29">
        <v>0</v>
      </c>
      <c r="X1871" s="292">
        <v>241.64</v>
      </c>
      <c r="Y1871" s="29">
        <v>1584.06</v>
      </c>
      <c r="Z1871" s="29">
        <v>0</v>
      </c>
      <c r="AA1871" s="29">
        <v>1</v>
      </c>
      <c r="AB1871" s="29">
        <v>15.8406</v>
      </c>
    </row>
    <row r="1872" spans="1:28">
      <c r="A1872" s="29">
        <v>12</v>
      </c>
      <c r="B1872" s="111">
        <v>1</v>
      </c>
      <c r="C1872" s="111">
        <v>315269</v>
      </c>
      <c r="D1872" s="111" t="s">
        <v>759</v>
      </c>
      <c r="E1872" s="111" t="s">
        <v>448</v>
      </c>
      <c r="F1872" s="265">
        <v>42319</v>
      </c>
      <c r="G1872" s="265">
        <v>42377</v>
      </c>
      <c r="H1872" s="266">
        <f t="shared" si="153"/>
        <v>2520.42</v>
      </c>
      <c r="I1872" s="266">
        <f t="shared" si="154"/>
        <v>0</v>
      </c>
      <c r="J1872" s="266">
        <v>1</v>
      </c>
      <c r="K1872" s="266">
        <f t="shared" si="155"/>
        <v>25.2042</v>
      </c>
      <c r="L1872" s="312">
        <f t="shared" si="156"/>
        <v>58</v>
      </c>
      <c r="M1872" s="263"/>
      <c r="N1872" s="263"/>
      <c r="O1872" s="263"/>
      <c r="P1872" s="263"/>
      <c r="Q1872" s="263"/>
      <c r="R1872" s="263"/>
      <c r="S1872" s="263"/>
      <c r="T1872" s="263"/>
      <c r="U1872" s="263"/>
      <c r="V1872" s="29">
        <v>2520.42</v>
      </c>
      <c r="W1872" s="29">
        <v>0</v>
      </c>
      <c r="X1872" s="292">
        <v>453.68</v>
      </c>
      <c r="Y1872" s="29">
        <v>2974.1</v>
      </c>
      <c r="Z1872" s="29">
        <v>0</v>
      </c>
      <c r="AA1872" s="29">
        <v>1</v>
      </c>
      <c r="AB1872" s="29">
        <v>29.741</v>
      </c>
    </row>
    <row r="1873" spans="1:28">
      <c r="A1873" s="29">
        <v>13</v>
      </c>
      <c r="B1873" s="111">
        <v>1</v>
      </c>
      <c r="C1873" s="111">
        <v>315506</v>
      </c>
      <c r="D1873" s="111" t="s">
        <v>759</v>
      </c>
      <c r="E1873" s="111" t="s">
        <v>448</v>
      </c>
      <c r="F1873" s="265">
        <v>42321</v>
      </c>
      <c r="G1873" s="265">
        <v>42377</v>
      </c>
      <c r="H1873" s="266">
        <f t="shared" si="153"/>
        <v>635.09</v>
      </c>
      <c r="I1873" s="266">
        <f t="shared" si="154"/>
        <v>0</v>
      </c>
      <c r="J1873" s="266">
        <v>1</v>
      </c>
      <c r="K1873" s="266">
        <f t="shared" si="155"/>
        <v>6.3509000000000002</v>
      </c>
      <c r="L1873" s="312">
        <f t="shared" si="156"/>
        <v>56</v>
      </c>
      <c r="M1873" s="263"/>
      <c r="N1873" s="263"/>
      <c r="O1873" s="263"/>
      <c r="P1873" s="263"/>
      <c r="Q1873" s="263"/>
      <c r="R1873" s="263"/>
      <c r="S1873" s="263"/>
      <c r="T1873" s="263"/>
      <c r="U1873" s="263"/>
      <c r="V1873" s="29">
        <v>635.09</v>
      </c>
      <c r="W1873" s="29">
        <v>0</v>
      </c>
      <c r="X1873" s="292">
        <v>114.32</v>
      </c>
      <c r="Y1873" s="29">
        <v>749.41</v>
      </c>
      <c r="Z1873" s="29">
        <v>0</v>
      </c>
      <c r="AA1873" s="29">
        <v>1</v>
      </c>
      <c r="AB1873" s="29">
        <v>7.4941000000000004</v>
      </c>
    </row>
    <row r="1874" spans="1:28">
      <c r="A1874" s="29">
        <v>14</v>
      </c>
      <c r="B1874" s="111">
        <v>1</v>
      </c>
      <c r="C1874" s="111">
        <v>315676</v>
      </c>
      <c r="D1874" s="111" t="s">
        <v>767</v>
      </c>
      <c r="E1874" s="111" t="s">
        <v>448</v>
      </c>
      <c r="F1874" s="265">
        <v>42324</v>
      </c>
      <c r="G1874" s="265">
        <v>42375</v>
      </c>
      <c r="H1874" s="266">
        <f t="shared" si="153"/>
        <v>304.88</v>
      </c>
      <c r="I1874" s="266">
        <f t="shared" si="154"/>
        <v>0</v>
      </c>
      <c r="J1874" s="266">
        <v>1</v>
      </c>
      <c r="K1874" s="266">
        <f t="shared" si="155"/>
        <v>3.0488</v>
      </c>
      <c r="L1874" s="312">
        <f t="shared" si="156"/>
        <v>51</v>
      </c>
      <c r="M1874" s="263"/>
      <c r="N1874" s="263"/>
      <c r="O1874" s="263"/>
      <c r="P1874" s="263"/>
      <c r="Q1874" s="263"/>
      <c r="R1874" s="263"/>
      <c r="S1874" s="263"/>
      <c r="T1874" s="263"/>
      <c r="U1874" s="263"/>
      <c r="V1874" s="29">
        <v>304.88</v>
      </c>
      <c r="W1874" s="29">
        <v>0</v>
      </c>
      <c r="X1874" s="292">
        <v>54.88</v>
      </c>
      <c r="Y1874" s="29">
        <v>359.76</v>
      </c>
      <c r="Z1874" s="29">
        <v>0</v>
      </c>
      <c r="AA1874" s="29">
        <v>1</v>
      </c>
      <c r="AB1874" s="29">
        <v>3.5975999999999999</v>
      </c>
    </row>
    <row r="1875" spans="1:28">
      <c r="A1875" s="29">
        <v>15</v>
      </c>
      <c r="B1875" s="111">
        <v>1</v>
      </c>
      <c r="C1875" s="111">
        <v>315649</v>
      </c>
      <c r="D1875" s="111" t="s">
        <v>800</v>
      </c>
      <c r="E1875" s="111" t="s">
        <v>448</v>
      </c>
      <c r="F1875" s="265">
        <v>42324</v>
      </c>
      <c r="G1875" s="265">
        <v>42399</v>
      </c>
      <c r="H1875" s="266">
        <f t="shared" si="153"/>
        <v>309.76</v>
      </c>
      <c r="I1875" s="266">
        <f t="shared" si="154"/>
        <v>0</v>
      </c>
      <c r="J1875" s="266">
        <v>1</v>
      </c>
      <c r="K1875" s="266">
        <f t="shared" si="155"/>
        <v>3.0975999999999999</v>
      </c>
      <c r="L1875" s="312">
        <f t="shared" si="156"/>
        <v>75</v>
      </c>
      <c r="M1875" s="263"/>
      <c r="N1875" s="263"/>
      <c r="O1875" s="263"/>
      <c r="P1875" s="263"/>
      <c r="Q1875" s="263"/>
      <c r="R1875" s="263"/>
      <c r="S1875" s="263"/>
      <c r="T1875" s="263"/>
      <c r="U1875" s="263"/>
      <c r="V1875" s="29">
        <v>309.76</v>
      </c>
      <c r="W1875" s="29">
        <v>0</v>
      </c>
      <c r="X1875" s="292">
        <v>55.76</v>
      </c>
      <c r="Y1875" s="29">
        <v>365.52</v>
      </c>
      <c r="Z1875" s="29">
        <v>0</v>
      </c>
      <c r="AA1875" s="29">
        <v>1</v>
      </c>
      <c r="AB1875" s="29">
        <v>3.6551999999999998</v>
      </c>
    </row>
    <row r="1876" spans="1:28">
      <c r="A1876" s="29">
        <v>16</v>
      </c>
      <c r="B1876" s="111">
        <v>1</v>
      </c>
      <c r="C1876" s="111">
        <v>315677</v>
      </c>
      <c r="D1876" s="111" t="s">
        <v>757</v>
      </c>
      <c r="E1876" s="111" t="s">
        <v>448</v>
      </c>
      <c r="F1876" s="265">
        <v>42324</v>
      </c>
      <c r="G1876" s="265">
        <v>42377</v>
      </c>
      <c r="H1876" s="266">
        <f t="shared" si="153"/>
        <v>102.56</v>
      </c>
      <c r="I1876" s="266">
        <f t="shared" si="154"/>
        <v>0</v>
      </c>
      <c r="J1876" s="266">
        <v>1</v>
      </c>
      <c r="K1876" s="266">
        <f t="shared" si="155"/>
        <v>1.0256000000000001</v>
      </c>
      <c r="L1876" s="312">
        <f t="shared" si="156"/>
        <v>53</v>
      </c>
      <c r="M1876" s="263"/>
      <c r="N1876" s="263"/>
      <c r="O1876" s="263"/>
      <c r="P1876" s="263"/>
      <c r="Q1876" s="263"/>
      <c r="R1876" s="263"/>
      <c r="S1876" s="263"/>
      <c r="T1876" s="263"/>
      <c r="U1876" s="263"/>
      <c r="V1876" s="29">
        <v>102.56</v>
      </c>
      <c r="W1876" s="29">
        <v>0</v>
      </c>
      <c r="X1876" s="292">
        <v>18.46</v>
      </c>
      <c r="Y1876" s="29">
        <v>121.02</v>
      </c>
      <c r="Z1876" s="29">
        <v>0</v>
      </c>
      <c r="AA1876" s="29">
        <v>1</v>
      </c>
      <c r="AB1876" s="29">
        <v>1.2101999999999999</v>
      </c>
    </row>
    <row r="1877" spans="1:28">
      <c r="A1877" s="29">
        <v>17</v>
      </c>
      <c r="B1877" s="111">
        <v>1</v>
      </c>
      <c r="C1877" s="111">
        <v>315714</v>
      </c>
      <c r="D1877" s="111" t="s">
        <v>757</v>
      </c>
      <c r="E1877" s="111" t="s">
        <v>448</v>
      </c>
      <c r="F1877" s="265">
        <v>42325</v>
      </c>
      <c r="G1877" s="265">
        <v>42377</v>
      </c>
      <c r="H1877" s="266">
        <f t="shared" si="153"/>
        <v>213.75</v>
      </c>
      <c r="I1877" s="266">
        <f t="shared" si="154"/>
        <v>0</v>
      </c>
      <c r="J1877" s="266">
        <v>1</v>
      </c>
      <c r="K1877" s="266">
        <f t="shared" si="155"/>
        <v>2.1375000000000002</v>
      </c>
      <c r="L1877" s="312">
        <f t="shared" si="156"/>
        <v>52</v>
      </c>
      <c r="M1877" s="263"/>
      <c r="N1877" s="263"/>
      <c r="O1877" s="263"/>
      <c r="P1877" s="263"/>
      <c r="Q1877" s="263"/>
      <c r="R1877" s="263"/>
      <c r="S1877" s="263"/>
      <c r="T1877" s="263"/>
      <c r="U1877" s="263"/>
      <c r="V1877" s="29">
        <v>213.75</v>
      </c>
      <c r="W1877" s="29">
        <v>0</v>
      </c>
      <c r="X1877" s="292">
        <v>38.479999999999997</v>
      </c>
      <c r="Y1877" s="29">
        <v>252.23</v>
      </c>
      <c r="Z1877" s="29">
        <v>0</v>
      </c>
      <c r="AA1877" s="29">
        <v>1</v>
      </c>
      <c r="AB1877" s="29">
        <v>2.5223</v>
      </c>
    </row>
    <row r="1878" spans="1:28">
      <c r="A1878" s="29">
        <v>18</v>
      </c>
      <c r="B1878" s="111">
        <v>1</v>
      </c>
      <c r="C1878" s="111">
        <v>315737</v>
      </c>
      <c r="D1878" s="111" t="s">
        <v>759</v>
      </c>
      <c r="E1878" s="111" t="s">
        <v>448</v>
      </c>
      <c r="F1878" s="265">
        <v>42325</v>
      </c>
      <c r="G1878" s="265">
        <v>42377</v>
      </c>
      <c r="H1878" s="266">
        <f t="shared" si="153"/>
        <v>537.13</v>
      </c>
      <c r="I1878" s="266">
        <f t="shared" si="154"/>
        <v>0</v>
      </c>
      <c r="J1878" s="266">
        <v>1</v>
      </c>
      <c r="K1878" s="266">
        <f t="shared" si="155"/>
        <v>5.3712999999999997</v>
      </c>
      <c r="L1878" s="312">
        <f t="shared" si="156"/>
        <v>52</v>
      </c>
      <c r="M1878" s="263"/>
      <c r="N1878" s="263"/>
      <c r="O1878" s="263"/>
      <c r="P1878" s="263"/>
      <c r="Q1878" s="263"/>
      <c r="R1878" s="263"/>
      <c r="S1878" s="263"/>
      <c r="T1878" s="263"/>
      <c r="U1878" s="263"/>
      <c r="V1878" s="29">
        <v>537.13</v>
      </c>
      <c r="W1878" s="29">
        <v>0</v>
      </c>
      <c r="X1878" s="292">
        <v>96.68</v>
      </c>
      <c r="Y1878" s="29">
        <v>633.80999999999995</v>
      </c>
      <c r="Z1878" s="29">
        <v>0</v>
      </c>
      <c r="AA1878" s="29">
        <v>1</v>
      </c>
      <c r="AB1878" s="29">
        <v>6.3380999999999998</v>
      </c>
    </row>
    <row r="1879" spans="1:28">
      <c r="A1879" s="29">
        <v>19</v>
      </c>
      <c r="B1879" s="111">
        <v>1</v>
      </c>
      <c r="C1879" s="111">
        <v>315735</v>
      </c>
      <c r="D1879" s="111" t="s">
        <v>759</v>
      </c>
      <c r="E1879" s="111" t="s">
        <v>448</v>
      </c>
      <c r="F1879" s="265">
        <v>42325</v>
      </c>
      <c r="G1879" s="265">
        <v>42377</v>
      </c>
      <c r="H1879" s="266">
        <f t="shared" si="153"/>
        <v>3295.94</v>
      </c>
      <c r="I1879" s="266">
        <f t="shared" si="154"/>
        <v>0</v>
      </c>
      <c r="J1879" s="266">
        <v>1</v>
      </c>
      <c r="K1879" s="266">
        <f t="shared" si="155"/>
        <v>32.959400000000002</v>
      </c>
      <c r="L1879" s="312">
        <f t="shared" si="156"/>
        <v>52</v>
      </c>
      <c r="M1879" s="263"/>
      <c r="N1879" s="263"/>
      <c r="O1879" s="263"/>
      <c r="P1879" s="263"/>
      <c r="Q1879" s="263"/>
      <c r="R1879" s="263"/>
      <c r="S1879" s="263"/>
      <c r="T1879" s="263"/>
      <c r="U1879" s="263"/>
      <c r="V1879" s="29">
        <v>3295.94</v>
      </c>
      <c r="W1879" s="29">
        <v>0</v>
      </c>
      <c r="X1879" s="292">
        <v>593.27</v>
      </c>
      <c r="Y1879" s="29">
        <v>3889.21</v>
      </c>
      <c r="Z1879" s="29">
        <v>0</v>
      </c>
      <c r="AA1879" s="29">
        <v>1</v>
      </c>
      <c r="AB1879" s="29">
        <v>38.892099999999999</v>
      </c>
    </row>
    <row r="1880" spans="1:28">
      <c r="A1880" s="29">
        <v>20</v>
      </c>
      <c r="B1880" s="111">
        <v>1</v>
      </c>
      <c r="C1880" s="111">
        <v>315782</v>
      </c>
      <c r="D1880" s="111" t="s">
        <v>759</v>
      </c>
      <c r="E1880" s="111" t="s">
        <v>448</v>
      </c>
      <c r="F1880" s="265">
        <v>42325</v>
      </c>
      <c r="G1880" s="265">
        <v>42377</v>
      </c>
      <c r="H1880" s="266">
        <f t="shared" si="153"/>
        <v>3178</v>
      </c>
      <c r="I1880" s="266">
        <f t="shared" si="154"/>
        <v>0</v>
      </c>
      <c r="J1880" s="266">
        <v>1</v>
      </c>
      <c r="K1880" s="266">
        <f t="shared" si="155"/>
        <v>31.78</v>
      </c>
      <c r="L1880" s="312">
        <f t="shared" si="156"/>
        <v>52</v>
      </c>
      <c r="M1880" s="263"/>
      <c r="N1880" s="263"/>
      <c r="O1880" s="263"/>
      <c r="P1880" s="263"/>
      <c r="Q1880" s="263"/>
      <c r="R1880" s="263"/>
      <c r="S1880" s="263"/>
      <c r="T1880" s="263"/>
      <c r="U1880" s="263"/>
      <c r="V1880" s="29">
        <v>3178</v>
      </c>
      <c r="W1880" s="29">
        <v>0</v>
      </c>
      <c r="X1880" s="292">
        <v>572.04</v>
      </c>
      <c r="Y1880" s="29">
        <v>3750.04</v>
      </c>
      <c r="Z1880" s="29">
        <v>0</v>
      </c>
      <c r="AA1880" s="29">
        <v>1</v>
      </c>
      <c r="AB1880" s="29">
        <v>37.500399999999999</v>
      </c>
    </row>
    <row r="1881" spans="1:28">
      <c r="A1881" s="29">
        <v>21</v>
      </c>
      <c r="B1881" s="111">
        <v>1</v>
      </c>
      <c r="C1881" s="111">
        <v>315783</v>
      </c>
      <c r="D1881" s="111" t="s">
        <v>759</v>
      </c>
      <c r="E1881" s="111" t="s">
        <v>448</v>
      </c>
      <c r="F1881" s="265">
        <v>42325</v>
      </c>
      <c r="G1881" s="265">
        <v>42377</v>
      </c>
      <c r="H1881" s="266">
        <f t="shared" si="153"/>
        <v>823.4</v>
      </c>
      <c r="I1881" s="266">
        <f t="shared" si="154"/>
        <v>0</v>
      </c>
      <c r="J1881" s="266">
        <v>1</v>
      </c>
      <c r="K1881" s="266">
        <f t="shared" si="155"/>
        <v>8.234</v>
      </c>
      <c r="L1881" s="312">
        <f t="shared" si="156"/>
        <v>52</v>
      </c>
      <c r="M1881" s="263"/>
      <c r="N1881" s="263"/>
      <c r="O1881" s="263"/>
      <c r="P1881" s="263"/>
      <c r="Q1881" s="263"/>
      <c r="R1881" s="263"/>
      <c r="S1881" s="263"/>
      <c r="T1881" s="263"/>
      <c r="U1881" s="263"/>
      <c r="V1881" s="29">
        <v>823.4</v>
      </c>
      <c r="W1881" s="29">
        <v>0</v>
      </c>
      <c r="X1881" s="292">
        <v>148.21</v>
      </c>
      <c r="Y1881" s="29">
        <v>971.61</v>
      </c>
      <c r="Z1881" s="29">
        <v>0</v>
      </c>
      <c r="AA1881" s="29">
        <v>1</v>
      </c>
      <c r="AB1881" s="29">
        <v>9.7161000000000008</v>
      </c>
    </row>
    <row r="1882" spans="1:28">
      <c r="A1882" s="29">
        <v>22</v>
      </c>
      <c r="B1882" s="111">
        <v>1</v>
      </c>
      <c r="C1882" s="111">
        <v>316117</v>
      </c>
      <c r="D1882" s="111" t="s">
        <v>759</v>
      </c>
      <c r="E1882" s="111" t="s">
        <v>448</v>
      </c>
      <c r="F1882" s="265">
        <v>42329</v>
      </c>
      <c r="G1882" s="265">
        <v>42377</v>
      </c>
      <c r="H1882" s="266">
        <f t="shared" si="153"/>
        <v>1468.67</v>
      </c>
      <c r="I1882" s="266">
        <f t="shared" si="154"/>
        <v>0</v>
      </c>
      <c r="J1882" s="266">
        <v>1</v>
      </c>
      <c r="K1882" s="266">
        <f t="shared" si="155"/>
        <v>14.686700000000002</v>
      </c>
      <c r="L1882" s="312">
        <f t="shared" si="156"/>
        <v>48</v>
      </c>
      <c r="M1882" s="263"/>
      <c r="N1882" s="263"/>
      <c r="O1882" s="263"/>
      <c r="P1882" s="263"/>
      <c r="Q1882" s="263"/>
      <c r="R1882" s="263"/>
      <c r="S1882" s="263"/>
      <c r="T1882" s="263"/>
      <c r="U1882" s="263"/>
      <c r="V1882" s="29">
        <v>1468.67</v>
      </c>
      <c r="W1882" s="29">
        <v>0</v>
      </c>
      <c r="X1882" s="292">
        <v>264.36</v>
      </c>
      <c r="Y1882" s="29">
        <v>1733.03</v>
      </c>
      <c r="Z1882" s="29">
        <v>0</v>
      </c>
      <c r="AA1882" s="29">
        <v>1</v>
      </c>
      <c r="AB1882" s="29">
        <v>17.330300000000001</v>
      </c>
    </row>
    <row r="1883" spans="1:28">
      <c r="A1883" s="29">
        <v>23</v>
      </c>
      <c r="B1883" s="111">
        <v>1</v>
      </c>
      <c r="C1883" s="111">
        <v>316110</v>
      </c>
      <c r="D1883" s="111" t="s">
        <v>757</v>
      </c>
      <c r="E1883" s="111" t="s">
        <v>448</v>
      </c>
      <c r="F1883" s="265">
        <v>42329</v>
      </c>
      <c r="G1883" s="265">
        <v>42377</v>
      </c>
      <c r="H1883" s="266">
        <f t="shared" si="153"/>
        <v>663.73</v>
      </c>
      <c r="I1883" s="266">
        <f t="shared" si="154"/>
        <v>0</v>
      </c>
      <c r="J1883" s="266">
        <v>1</v>
      </c>
      <c r="K1883" s="266">
        <f t="shared" si="155"/>
        <v>6.6373000000000006</v>
      </c>
      <c r="L1883" s="312">
        <f t="shared" si="156"/>
        <v>48</v>
      </c>
      <c r="M1883" s="263"/>
      <c r="N1883" s="263"/>
      <c r="O1883" s="263"/>
      <c r="P1883" s="263"/>
      <c r="Q1883" s="263"/>
      <c r="R1883" s="263"/>
      <c r="S1883" s="263"/>
      <c r="T1883" s="263"/>
      <c r="U1883" s="263"/>
      <c r="V1883" s="29">
        <v>663.73</v>
      </c>
      <c r="W1883" s="29">
        <v>0</v>
      </c>
      <c r="X1883" s="292">
        <v>119.47</v>
      </c>
      <c r="Y1883" s="29">
        <v>783.2</v>
      </c>
      <c r="Z1883" s="29">
        <v>0</v>
      </c>
      <c r="AA1883" s="29">
        <v>1</v>
      </c>
      <c r="AB1883" s="29">
        <v>7.8319999999999999</v>
      </c>
    </row>
    <row r="1884" spans="1:28">
      <c r="A1884" s="29">
        <v>24</v>
      </c>
      <c r="B1884" s="111">
        <v>1</v>
      </c>
      <c r="C1884" s="111">
        <v>316162</v>
      </c>
      <c r="D1884" s="111" t="s">
        <v>758</v>
      </c>
      <c r="E1884" s="111" t="s">
        <v>448</v>
      </c>
      <c r="F1884" s="265">
        <v>42331</v>
      </c>
      <c r="G1884" s="265">
        <v>42389</v>
      </c>
      <c r="H1884" s="266">
        <f t="shared" si="153"/>
        <v>275.57</v>
      </c>
      <c r="I1884" s="266">
        <f t="shared" si="154"/>
        <v>0</v>
      </c>
      <c r="J1884" s="266">
        <v>1</v>
      </c>
      <c r="K1884" s="266">
        <f t="shared" si="155"/>
        <v>2.7557</v>
      </c>
      <c r="L1884" s="312">
        <f t="shared" si="156"/>
        <v>58</v>
      </c>
      <c r="M1884" s="263"/>
      <c r="N1884" s="263"/>
      <c r="O1884" s="263"/>
      <c r="P1884" s="263"/>
      <c r="Q1884" s="263"/>
      <c r="R1884" s="263"/>
      <c r="S1884" s="263"/>
      <c r="T1884" s="263"/>
      <c r="U1884" s="263"/>
      <c r="V1884" s="29">
        <v>275.57</v>
      </c>
      <c r="W1884" s="29">
        <v>0</v>
      </c>
      <c r="X1884" s="292">
        <v>49.6</v>
      </c>
      <c r="Y1884" s="29">
        <v>325.17</v>
      </c>
      <c r="Z1884" s="29">
        <v>0</v>
      </c>
      <c r="AA1884" s="29">
        <v>1</v>
      </c>
      <c r="AB1884" s="29">
        <v>3.2517</v>
      </c>
    </row>
    <row r="1885" spans="1:28">
      <c r="A1885" s="29">
        <v>25</v>
      </c>
      <c r="B1885" s="111">
        <v>1</v>
      </c>
      <c r="C1885" s="111">
        <v>316194</v>
      </c>
      <c r="D1885" s="111" t="s">
        <v>802</v>
      </c>
      <c r="E1885" s="111" t="s">
        <v>382</v>
      </c>
      <c r="F1885" s="265">
        <v>42331</v>
      </c>
      <c r="G1885" s="265">
        <v>42399</v>
      </c>
      <c r="H1885" s="266">
        <f t="shared" si="153"/>
        <v>1197</v>
      </c>
      <c r="I1885" s="266">
        <f t="shared" si="154"/>
        <v>0</v>
      </c>
      <c r="J1885" s="266">
        <v>1</v>
      </c>
      <c r="K1885" s="266">
        <f t="shared" si="155"/>
        <v>11.97</v>
      </c>
      <c r="L1885" s="312">
        <f t="shared" si="156"/>
        <v>68</v>
      </c>
      <c r="M1885" s="263"/>
      <c r="N1885" s="263"/>
      <c r="O1885" s="263"/>
      <c r="P1885" s="263"/>
      <c r="Q1885" s="263"/>
      <c r="R1885" s="263"/>
      <c r="S1885" s="263"/>
      <c r="T1885" s="263"/>
      <c r="U1885" s="263"/>
      <c r="V1885" s="29">
        <v>1197</v>
      </c>
      <c r="W1885" s="29">
        <v>0</v>
      </c>
      <c r="X1885" s="292">
        <v>215.46</v>
      </c>
      <c r="Y1885" s="29">
        <v>1412.46</v>
      </c>
      <c r="Z1885" s="29">
        <v>0</v>
      </c>
      <c r="AA1885" s="29">
        <v>1</v>
      </c>
      <c r="AB1885" s="29">
        <v>14.124599999999999</v>
      </c>
    </row>
    <row r="1886" spans="1:28">
      <c r="A1886" s="29">
        <v>26</v>
      </c>
      <c r="B1886" s="111">
        <v>1</v>
      </c>
      <c r="C1886" s="111">
        <v>316242</v>
      </c>
      <c r="D1886" s="111" t="s">
        <v>759</v>
      </c>
      <c r="E1886" s="111" t="s">
        <v>448</v>
      </c>
      <c r="F1886" s="265">
        <v>42332</v>
      </c>
      <c r="G1886" s="265">
        <v>42377</v>
      </c>
      <c r="H1886" s="266">
        <f t="shared" si="153"/>
        <v>1219.56</v>
      </c>
      <c r="I1886" s="266">
        <f t="shared" si="154"/>
        <v>0</v>
      </c>
      <c r="J1886" s="266">
        <v>1</v>
      </c>
      <c r="K1886" s="266">
        <f t="shared" si="155"/>
        <v>12.195599999999999</v>
      </c>
      <c r="L1886" s="312">
        <f t="shared" si="156"/>
        <v>45</v>
      </c>
      <c r="M1886" s="263"/>
      <c r="N1886" s="263"/>
      <c r="O1886" s="263"/>
      <c r="P1886" s="263"/>
      <c r="Q1886" s="263"/>
      <c r="R1886" s="263"/>
      <c r="S1886" s="263"/>
      <c r="T1886" s="263"/>
      <c r="U1886" s="263"/>
      <c r="V1886" s="29">
        <v>1219.56</v>
      </c>
      <c r="W1886" s="29">
        <v>0</v>
      </c>
      <c r="X1886" s="292">
        <v>219.52</v>
      </c>
      <c r="Y1886" s="29">
        <v>1439.08</v>
      </c>
      <c r="Z1886" s="29">
        <v>0</v>
      </c>
      <c r="AA1886" s="29">
        <v>1</v>
      </c>
      <c r="AB1886" s="29">
        <v>14.3908</v>
      </c>
    </row>
    <row r="1887" spans="1:28">
      <c r="A1887" s="29">
        <v>27</v>
      </c>
      <c r="B1887" s="111">
        <v>1</v>
      </c>
      <c r="C1887" s="111">
        <v>316244</v>
      </c>
      <c r="D1887" s="111" t="s">
        <v>759</v>
      </c>
      <c r="E1887" s="111" t="s">
        <v>448</v>
      </c>
      <c r="F1887" s="265">
        <v>42332</v>
      </c>
      <c r="G1887" s="265">
        <v>42377</v>
      </c>
      <c r="H1887" s="266">
        <f t="shared" si="153"/>
        <v>155.97</v>
      </c>
      <c r="I1887" s="266">
        <f t="shared" si="154"/>
        <v>0</v>
      </c>
      <c r="J1887" s="266">
        <v>1</v>
      </c>
      <c r="K1887" s="266">
        <f t="shared" si="155"/>
        <v>1.5597000000000001</v>
      </c>
      <c r="L1887" s="312">
        <f t="shared" si="156"/>
        <v>45</v>
      </c>
      <c r="M1887" s="263"/>
      <c r="N1887" s="263"/>
      <c r="O1887" s="263"/>
      <c r="P1887" s="263"/>
      <c r="Q1887" s="263"/>
      <c r="R1887" s="263"/>
      <c r="S1887" s="263"/>
      <c r="T1887" s="263"/>
      <c r="U1887" s="263"/>
      <c r="V1887" s="29">
        <v>155.97</v>
      </c>
      <c r="W1887" s="29">
        <v>0</v>
      </c>
      <c r="X1887" s="292">
        <v>28.07</v>
      </c>
      <c r="Y1887" s="29">
        <v>184.04</v>
      </c>
      <c r="Z1887" s="29">
        <v>0</v>
      </c>
      <c r="AA1887" s="29">
        <v>1</v>
      </c>
      <c r="AB1887" s="29">
        <v>1.8404</v>
      </c>
    </row>
    <row r="1888" spans="1:28">
      <c r="A1888" s="29">
        <v>28</v>
      </c>
      <c r="B1888" s="111">
        <v>1</v>
      </c>
      <c r="C1888" s="111">
        <v>316326</v>
      </c>
      <c r="D1888" s="111" t="s">
        <v>759</v>
      </c>
      <c r="E1888" s="111" t="s">
        <v>448</v>
      </c>
      <c r="F1888" s="265">
        <v>42333</v>
      </c>
      <c r="G1888" s="265">
        <v>42377</v>
      </c>
      <c r="H1888" s="266">
        <f t="shared" si="153"/>
        <v>126.17</v>
      </c>
      <c r="I1888" s="266">
        <f t="shared" si="154"/>
        <v>0</v>
      </c>
      <c r="J1888" s="266">
        <v>1</v>
      </c>
      <c r="K1888" s="266">
        <f t="shared" si="155"/>
        <v>1.2617</v>
      </c>
      <c r="L1888" s="312">
        <f t="shared" si="156"/>
        <v>44</v>
      </c>
      <c r="M1888" s="263"/>
      <c r="N1888" s="263"/>
      <c r="O1888" s="263"/>
      <c r="P1888" s="263"/>
      <c r="Q1888" s="263"/>
      <c r="R1888" s="263"/>
      <c r="S1888" s="263"/>
      <c r="T1888" s="263"/>
      <c r="U1888" s="263"/>
      <c r="V1888" s="29">
        <v>126.17</v>
      </c>
      <c r="W1888" s="29">
        <v>0</v>
      </c>
      <c r="X1888" s="292">
        <v>22.71</v>
      </c>
      <c r="Y1888" s="29">
        <v>148.88</v>
      </c>
      <c r="Z1888" s="29">
        <v>0</v>
      </c>
      <c r="AA1888" s="29">
        <v>1</v>
      </c>
      <c r="AB1888" s="29">
        <v>1.4887999999999999</v>
      </c>
    </row>
    <row r="1889" spans="1:28">
      <c r="A1889" s="29">
        <v>29</v>
      </c>
      <c r="B1889" s="111">
        <v>1</v>
      </c>
      <c r="C1889" s="111">
        <v>316445</v>
      </c>
      <c r="D1889" s="111" t="s">
        <v>759</v>
      </c>
      <c r="E1889" s="111" t="s">
        <v>448</v>
      </c>
      <c r="F1889" s="265">
        <v>42334</v>
      </c>
      <c r="G1889" s="265">
        <v>42389</v>
      </c>
      <c r="H1889" s="266">
        <f t="shared" si="153"/>
        <v>3293.76</v>
      </c>
      <c r="I1889" s="266">
        <f t="shared" si="154"/>
        <v>921.62711864406788</v>
      </c>
      <c r="J1889" s="266">
        <v>1</v>
      </c>
      <c r="K1889" s="266">
        <f t="shared" si="155"/>
        <v>23.721328813559321</v>
      </c>
      <c r="L1889" s="312">
        <f t="shared" si="156"/>
        <v>55</v>
      </c>
      <c r="M1889" s="263"/>
      <c r="N1889" s="263"/>
      <c r="O1889" s="263"/>
      <c r="P1889" s="263"/>
      <c r="Q1889" s="263"/>
      <c r="R1889" s="263"/>
      <c r="S1889" s="263"/>
      <c r="T1889" s="263"/>
      <c r="U1889" s="263"/>
      <c r="V1889" s="29">
        <v>3293.76</v>
      </c>
      <c r="W1889" s="29">
        <v>0</v>
      </c>
      <c r="X1889" s="292">
        <v>592.88</v>
      </c>
      <c r="Y1889" s="29">
        <v>3886.64</v>
      </c>
      <c r="Z1889" s="29">
        <v>1087.52</v>
      </c>
      <c r="AA1889" s="29">
        <v>1</v>
      </c>
      <c r="AB1889" s="29">
        <v>27.991199999999999</v>
      </c>
    </row>
    <row r="1890" spans="1:28">
      <c r="A1890" s="29">
        <v>30</v>
      </c>
      <c r="B1890" s="111">
        <v>1</v>
      </c>
      <c r="C1890" s="111">
        <v>317020</v>
      </c>
      <c r="D1890" s="111" t="s">
        <v>757</v>
      </c>
      <c r="E1890" s="111" t="s">
        <v>448</v>
      </c>
      <c r="F1890" s="265">
        <v>42339</v>
      </c>
      <c r="G1890" s="265">
        <v>42377</v>
      </c>
      <c r="H1890" s="266">
        <f t="shared" si="153"/>
        <v>166.56</v>
      </c>
      <c r="I1890" s="266">
        <f t="shared" si="154"/>
        <v>0</v>
      </c>
      <c r="J1890" s="266">
        <v>1</v>
      </c>
      <c r="K1890" s="266">
        <f t="shared" si="155"/>
        <v>1.6656</v>
      </c>
      <c r="L1890" s="312">
        <f t="shared" si="156"/>
        <v>38</v>
      </c>
      <c r="M1890" s="263"/>
      <c r="N1890" s="263"/>
      <c r="O1890" s="263"/>
      <c r="P1890" s="263"/>
      <c r="Q1890" s="263"/>
      <c r="R1890" s="263"/>
      <c r="S1890" s="263"/>
      <c r="T1890" s="263"/>
      <c r="U1890" s="263"/>
      <c r="V1890" s="29">
        <v>166.56</v>
      </c>
      <c r="W1890" s="29">
        <v>0</v>
      </c>
      <c r="X1890" s="292">
        <v>29.98</v>
      </c>
      <c r="Y1890" s="29">
        <v>196.54</v>
      </c>
      <c r="Z1890" s="29">
        <v>0</v>
      </c>
      <c r="AA1890" s="29">
        <v>1</v>
      </c>
      <c r="AB1890" s="29">
        <v>1.9654</v>
      </c>
    </row>
    <row r="1891" spans="1:28">
      <c r="A1891" s="29">
        <v>31</v>
      </c>
      <c r="B1891" s="111">
        <v>1</v>
      </c>
      <c r="C1891" s="111">
        <v>317106</v>
      </c>
      <c r="D1891" s="111" t="s">
        <v>758</v>
      </c>
      <c r="E1891" s="111" t="s">
        <v>448</v>
      </c>
      <c r="F1891" s="265">
        <v>42340</v>
      </c>
      <c r="G1891" s="265">
        <v>42389</v>
      </c>
      <c r="H1891" s="266">
        <f t="shared" si="153"/>
        <v>81.98</v>
      </c>
      <c r="I1891" s="266">
        <f t="shared" si="154"/>
        <v>0</v>
      </c>
      <c r="J1891" s="266">
        <v>1</v>
      </c>
      <c r="K1891" s="266">
        <f t="shared" si="155"/>
        <v>0.81980000000000008</v>
      </c>
      <c r="L1891" s="312">
        <f t="shared" si="156"/>
        <v>49</v>
      </c>
      <c r="M1891" s="263"/>
      <c r="N1891" s="263"/>
      <c r="O1891" s="263"/>
      <c r="P1891" s="263"/>
      <c r="Q1891" s="263"/>
      <c r="R1891" s="263"/>
      <c r="S1891" s="263"/>
      <c r="T1891" s="263"/>
      <c r="U1891" s="263"/>
      <c r="V1891" s="29">
        <v>81.98</v>
      </c>
      <c r="W1891" s="29">
        <v>0</v>
      </c>
      <c r="X1891" s="292">
        <v>14.76</v>
      </c>
      <c r="Y1891" s="29">
        <v>96.74</v>
      </c>
      <c r="Z1891" s="29">
        <v>0</v>
      </c>
      <c r="AA1891" s="29">
        <v>1</v>
      </c>
      <c r="AB1891" s="29">
        <v>0.96740000000000004</v>
      </c>
    </row>
    <row r="1892" spans="1:28">
      <c r="A1892" s="29">
        <v>32</v>
      </c>
      <c r="B1892" s="111">
        <v>1</v>
      </c>
      <c r="C1892" s="111">
        <v>317107</v>
      </c>
      <c r="D1892" s="111" t="s">
        <v>757</v>
      </c>
      <c r="E1892" s="111" t="s">
        <v>448</v>
      </c>
      <c r="F1892" s="265">
        <v>42340</v>
      </c>
      <c r="G1892" s="265">
        <v>42377</v>
      </c>
      <c r="H1892" s="266">
        <f t="shared" si="153"/>
        <v>1561.06</v>
      </c>
      <c r="I1892" s="266">
        <f t="shared" si="154"/>
        <v>64.576271186440678</v>
      </c>
      <c r="J1892" s="266">
        <v>1</v>
      </c>
      <c r="K1892" s="266">
        <f t="shared" si="155"/>
        <v>14.964837288135593</v>
      </c>
      <c r="L1892" s="312">
        <f t="shared" si="156"/>
        <v>37</v>
      </c>
      <c r="M1892" s="263"/>
      <c r="N1892" s="263"/>
      <c r="O1892" s="263"/>
      <c r="P1892" s="263"/>
      <c r="Q1892" s="263"/>
      <c r="R1892" s="263"/>
      <c r="S1892" s="263"/>
      <c r="T1892" s="263"/>
      <c r="U1892" s="263"/>
      <c r="V1892" s="29">
        <v>1561.06</v>
      </c>
      <c r="W1892" s="29">
        <v>0</v>
      </c>
      <c r="X1892" s="292">
        <v>280.99</v>
      </c>
      <c r="Y1892" s="29">
        <v>1842.05</v>
      </c>
      <c r="Z1892" s="29">
        <v>76.2</v>
      </c>
      <c r="AA1892" s="29">
        <v>1</v>
      </c>
      <c r="AB1892" s="29">
        <v>17.6585</v>
      </c>
    </row>
    <row r="1893" spans="1:28">
      <c r="A1893" s="29">
        <v>33</v>
      </c>
      <c r="B1893" s="111">
        <v>1</v>
      </c>
      <c r="C1893" s="111">
        <v>317158</v>
      </c>
      <c r="D1893" s="111" t="s">
        <v>759</v>
      </c>
      <c r="E1893" s="111" t="s">
        <v>448</v>
      </c>
      <c r="F1893" s="265">
        <v>42341</v>
      </c>
      <c r="G1893" s="265">
        <v>42391</v>
      </c>
      <c r="H1893" s="266">
        <f t="shared" ref="H1893:H1924" si="157">V1893+W1893</f>
        <v>1239.25</v>
      </c>
      <c r="I1893" s="266">
        <f t="shared" ref="I1893:I1924" si="158">Z1893/1.18</f>
        <v>0</v>
      </c>
      <c r="J1893" s="266">
        <v>1</v>
      </c>
      <c r="K1893" s="266">
        <f t="shared" ref="K1893:K1924" si="159">(H1893-I1893)*J1893%</f>
        <v>12.3925</v>
      </c>
      <c r="L1893" s="312">
        <f t="shared" ref="L1893:L1924" si="160">G1893-F1893</f>
        <v>50</v>
      </c>
      <c r="M1893" s="263"/>
      <c r="N1893" s="263"/>
      <c r="O1893" s="263"/>
      <c r="P1893" s="263"/>
      <c r="Q1893" s="263"/>
      <c r="R1893" s="263"/>
      <c r="S1893" s="263"/>
      <c r="T1893" s="263"/>
      <c r="U1893" s="263"/>
      <c r="V1893" s="29">
        <v>1239.25</v>
      </c>
      <c r="W1893" s="29">
        <v>0</v>
      </c>
      <c r="X1893" s="292">
        <v>223.07</v>
      </c>
      <c r="Y1893" s="29">
        <v>1462.32</v>
      </c>
      <c r="Z1893" s="29">
        <v>0</v>
      </c>
      <c r="AA1893" s="29">
        <v>1</v>
      </c>
      <c r="AB1893" s="29">
        <v>14.623200000000001</v>
      </c>
    </row>
    <row r="1894" spans="1:28">
      <c r="A1894" s="29">
        <v>34</v>
      </c>
      <c r="B1894" s="111">
        <v>1</v>
      </c>
      <c r="C1894" s="111">
        <v>317156</v>
      </c>
      <c r="D1894" s="111" t="s">
        <v>758</v>
      </c>
      <c r="E1894" s="111" t="s">
        <v>448</v>
      </c>
      <c r="F1894" s="265">
        <v>42341</v>
      </c>
      <c r="G1894" s="265">
        <v>42389</v>
      </c>
      <c r="H1894" s="266">
        <f t="shared" si="157"/>
        <v>2248.8000000000002</v>
      </c>
      <c r="I1894" s="266">
        <f t="shared" si="158"/>
        <v>0</v>
      </c>
      <c r="J1894" s="266">
        <v>1</v>
      </c>
      <c r="K1894" s="266">
        <f t="shared" si="159"/>
        <v>22.488000000000003</v>
      </c>
      <c r="L1894" s="312">
        <f t="shared" si="160"/>
        <v>48</v>
      </c>
      <c r="M1894" s="263"/>
      <c r="N1894" s="263"/>
      <c r="O1894" s="263"/>
      <c r="P1894" s="263"/>
      <c r="Q1894" s="263"/>
      <c r="R1894" s="263"/>
      <c r="S1894" s="263"/>
      <c r="T1894" s="263"/>
      <c r="U1894" s="263"/>
      <c r="V1894" s="29">
        <v>2248.8000000000002</v>
      </c>
      <c r="W1894" s="29">
        <v>0</v>
      </c>
      <c r="X1894" s="292">
        <v>404.78</v>
      </c>
      <c r="Y1894" s="29">
        <v>2653.58</v>
      </c>
      <c r="Z1894" s="29">
        <v>0</v>
      </c>
      <c r="AA1894" s="29">
        <v>1</v>
      </c>
      <c r="AB1894" s="29">
        <v>26.535799999999998</v>
      </c>
    </row>
    <row r="1895" spans="1:28">
      <c r="A1895" s="29">
        <v>35</v>
      </c>
      <c r="B1895" s="111">
        <v>1</v>
      </c>
      <c r="C1895" s="111">
        <v>317228</v>
      </c>
      <c r="D1895" s="111" t="s">
        <v>758</v>
      </c>
      <c r="E1895" s="111" t="s">
        <v>448</v>
      </c>
      <c r="F1895" s="265">
        <v>42342</v>
      </c>
      <c r="G1895" s="265">
        <v>42389</v>
      </c>
      <c r="H1895" s="266">
        <f t="shared" si="157"/>
        <v>500.68</v>
      </c>
      <c r="I1895" s="266">
        <f t="shared" si="158"/>
        <v>0</v>
      </c>
      <c r="J1895" s="266">
        <v>1</v>
      </c>
      <c r="K1895" s="266">
        <f t="shared" si="159"/>
        <v>5.0068000000000001</v>
      </c>
      <c r="L1895" s="312">
        <f t="shared" si="160"/>
        <v>47</v>
      </c>
      <c r="M1895" s="263"/>
      <c r="N1895" s="263"/>
      <c r="O1895" s="263"/>
      <c r="P1895" s="263"/>
      <c r="Q1895" s="263"/>
      <c r="R1895" s="263"/>
      <c r="S1895" s="263"/>
      <c r="T1895" s="263"/>
      <c r="U1895" s="263"/>
      <c r="V1895" s="29">
        <v>500.68</v>
      </c>
      <c r="W1895" s="29">
        <v>0</v>
      </c>
      <c r="X1895" s="292">
        <v>90.12</v>
      </c>
      <c r="Y1895" s="29">
        <v>590.79999999999995</v>
      </c>
      <c r="Z1895" s="29">
        <v>0</v>
      </c>
      <c r="AA1895" s="29">
        <v>1</v>
      </c>
      <c r="AB1895" s="29">
        <v>5.9080000000000004</v>
      </c>
    </row>
    <row r="1896" spans="1:28">
      <c r="A1896" s="29">
        <v>36</v>
      </c>
      <c r="B1896" s="111">
        <v>1</v>
      </c>
      <c r="C1896" s="111">
        <v>317230</v>
      </c>
      <c r="D1896" s="111" t="s">
        <v>758</v>
      </c>
      <c r="E1896" s="111" t="s">
        <v>448</v>
      </c>
      <c r="F1896" s="265">
        <v>42342</v>
      </c>
      <c r="G1896" s="265">
        <v>42389</v>
      </c>
      <c r="H1896" s="266">
        <f t="shared" si="157"/>
        <v>8370.83</v>
      </c>
      <c r="I1896" s="266">
        <f t="shared" si="158"/>
        <v>2957.1355932203392</v>
      </c>
      <c r="J1896" s="266">
        <v>1</v>
      </c>
      <c r="K1896" s="266">
        <f t="shared" si="159"/>
        <v>54.136944067796613</v>
      </c>
      <c r="L1896" s="312">
        <f t="shared" si="160"/>
        <v>47</v>
      </c>
      <c r="M1896" s="263"/>
      <c r="N1896" s="263"/>
      <c r="O1896" s="263"/>
      <c r="P1896" s="263"/>
      <c r="Q1896" s="263"/>
      <c r="R1896" s="263"/>
      <c r="S1896" s="263"/>
      <c r="T1896" s="263"/>
      <c r="U1896" s="263"/>
      <c r="V1896" s="29">
        <v>8370.83</v>
      </c>
      <c r="W1896" s="29">
        <v>0</v>
      </c>
      <c r="X1896" s="292">
        <v>1506.75</v>
      </c>
      <c r="Y1896" s="29">
        <v>9877.58</v>
      </c>
      <c r="Z1896" s="29">
        <v>3489.42</v>
      </c>
      <c r="AA1896" s="29">
        <v>1</v>
      </c>
      <c r="AB1896" s="29">
        <v>63.881599999999999</v>
      </c>
    </row>
    <row r="1897" spans="1:28">
      <c r="A1897" s="29">
        <v>37</v>
      </c>
      <c r="B1897" s="111">
        <v>1</v>
      </c>
      <c r="C1897" s="111">
        <v>317229</v>
      </c>
      <c r="D1897" s="111" t="s">
        <v>758</v>
      </c>
      <c r="E1897" s="111" t="s">
        <v>448</v>
      </c>
      <c r="F1897" s="265">
        <v>42342</v>
      </c>
      <c r="G1897" s="265">
        <v>42389</v>
      </c>
      <c r="H1897" s="266">
        <f t="shared" si="157"/>
        <v>9457.9</v>
      </c>
      <c r="I1897" s="266">
        <f t="shared" si="158"/>
        <v>0</v>
      </c>
      <c r="J1897" s="266">
        <v>1</v>
      </c>
      <c r="K1897" s="266">
        <f t="shared" si="159"/>
        <v>94.578999999999994</v>
      </c>
      <c r="L1897" s="312">
        <f t="shared" si="160"/>
        <v>47</v>
      </c>
      <c r="M1897" s="263"/>
      <c r="N1897" s="263"/>
      <c r="O1897" s="263"/>
      <c r="P1897" s="263"/>
      <c r="Q1897" s="263"/>
      <c r="R1897" s="263"/>
      <c r="S1897" s="263"/>
      <c r="T1897" s="263"/>
      <c r="U1897" s="263"/>
      <c r="V1897" s="29">
        <v>9457.9</v>
      </c>
      <c r="W1897" s="29">
        <v>0</v>
      </c>
      <c r="X1897" s="292">
        <v>1702.42</v>
      </c>
      <c r="Y1897" s="29">
        <v>11160.32</v>
      </c>
      <c r="Z1897" s="29">
        <v>0</v>
      </c>
      <c r="AA1897" s="29">
        <v>1</v>
      </c>
      <c r="AB1897" s="29">
        <v>111.6032</v>
      </c>
    </row>
    <row r="1898" spans="1:28">
      <c r="A1898" s="29">
        <v>38</v>
      </c>
      <c r="B1898" s="111">
        <v>1</v>
      </c>
      <c r="C1898" s="111">
        <v>317238</v>
      </c>
      <c r="D1898" s="111" t="s">
        <v>759</v>
      </c>
      <c r="E1898" s="111" t="s">
        <v>448</v>
      </c>
      <c r="F1898" s="265">
        <v>42342</v>
      </c>
      <c r="G1898" s="265">
        <v>42391</v>
      </c>
      <c r="H1898" s="266">
        <f t="shared" si="157"/>
        <v>5544</v>
      </c>
      <c r="I1898" s="266">
        <f t="shared" si="158"/>
        <v>0</v>
      </c>
      <c r="J1898" s="266">
        <v>1</v>
      </c>
      <c r="K1898" s="266">
        <f t="shared" si="159"/>
        <v>55.44</v>
      </c>
      <c r="L1898" s="312">
        <f t="shared" si="160"/>
        <v>49</v>
      </c>
      <c r="M1898" s="263"/>
      <c r="N1898" s="263"/>
      <c r="O1898" s="263"/>
      <c r="P1898" s="263"/>
      <c r="Q1898" s="263"/>
      <c r="R1898" s="263"/>
      <c r="S1898" s="263"/>
      <c r="T1898" s="263"/>
      <c r="U1898" s="263"/>
      <c r="V1898" s="29">
        <v>5544</v>
      </c>
      <c r="W1898" s="29">
        <v>0</v>
      </c>
      <c r="X1898" s="292">
        <v>997.92</v>
      </c>
      <c r="Y1898" s="29">
        <v>6541.92</v>
      </c>
      <c r="Z1898" s="29">
        <v>0</v>
      </c>
      <c r="AA1898" s="29">
        <v>1</v>
      </c>
      <c r="AB1898" s="29">
        <v>65.419200000000004</v>
      </c>
    </row>
    <row r="1899" spans="1:28">
      <c r="A1899" s="29">
        <v>39</v>
      </c>
      <c r="B1899" s="111">
        <v>1</v>
      </c>
      <c r="C1899" s="111">
        <v>317304</v>
      </c>
      <c r="D1899" s="111" t="s">
        <v>758</v>
      </c>
      <c r="E1899" s="111" t="s">
        <v>448</v>
      </c>
      <c r="F1899" s="265">
        <v>42343</v>
      </c>
      <c r="G1899" s="265">
        <v>42389</v>
      </c>
      <c r="H1899" s="266">
        <f t="shared" si="157"/>
        <v>1355.82</v>
      </c>
      <c r="I1899" s="266">
        <f t="shared" si="158"/>
        <v>0</v>
      </c>
      <c r="J1899" s="266">
        <v>1</v>
      </c>
      <c r="K1899" s="266">
        <f t="shared" si="159"/>
        <v>13.558199999999999</v>
      </c>
      <c r="L1899" s="312">
        <f t="shared" si="160"/>
        <v>46</v>
      </c>
      <c r="M1899" s="263"/>
      <c r="N1899" s="263"/>
      <c r="O1899" s="263"/>
      <c r="P1899" s="263"/>
      <c r="Q1899" s="263"/>
      <c r="R1899" s="263"/>
      <c r="S1899" s="263"/>
      <c r="T1899" s="263"/>
      <c r="U1899" s="263"/>
      <c r="V1899" s="29">
        <v>1355.82</v>
      </c>
      <c r="W1899" s="29">
        <v>0</v>
      </c>
      <c r="X1899" s="292">
        <v>244.05</v>
      </c>
      <c r="Y1899" s="29">
        <v>1599.87</v>
      </c>
      <c r="Z1899" s="29">
        <v>0</v>
      </c>
      <c r="AA1899" s="29">
        <v>1</v>
      </c>
      <c r="AB1899" s="29">
        <v>15.998699999999999</v>
      </c>
    </row>
    <row r="1900" spans="1:28">
      <c r="A1900" s="29">
        <v>40</v>
      </c>
      <c r="B1900" s="111">
        <v>6</v>
      </c>
      <c r="C1900" s="111">
        <v>1217</v>
      </c>
      <c r="D1900" s="111" t="s">
        <v>381</v>
      </c>
      <c r="E1900" s="111" t="s">
        <v>382</v>
      </c>
      <c r="F1900" s="265">
        <v>42345</v>
      </c>
      <c r="G1900" s="265">
        <v>42371</v>
      </c>
      <c r="H1900" s="266">
        <f t="shared" si="157"/>
        <v>988.2</v>
      </c>
      <c r="I1900" s="266">
        <f t="shared" si="158"/>
        <v>0</v>
      </c>
      <c r="J1900" s="266">
        <v>1</v>
      </c>
      <c r="K1900" s="266">
        <f t="shared" si="159"/>
        <v>9.8820000000000014</v>
      </c>
      <c r="L1900" s="312">
        <f t="shared" si="160"/>
        <v>26</v>
      </c>
      <c r="M1900" s="263"/>
      <c r="N1900" s="263"/>
      <c r="O1900" s="263"/>
      <c r="P1900" s="263"/>
      <c r="Q1900" s="263"/>
      <c r="R1900" s="263"/>
      <c r="S1900" s="263"/>
      <c r="T1900" s="263"/>
      <c r="U1900" s="263"/>
      <c r="V1900" s="29">
        <v>0</v>
      </c>
      <c r="W1900" s="29">
        <v>988.2</v>
      </c>
      <c r="X1900" s="292">
        <v>0</v>
      </c>
      <c r="Y1900" s="29">
        <v>988.2</v>
      </c>
      <c r="Z1900" s="29">
        <v>0</v>
      </c>
      <c r="AA1900" s="29">
        <v>1</v>
      </c>
      <c r="AB1900" s="29">
        <v>9.8819999999999997</v>
      </c>
    </row>
    <row r="1901" spans="1:28">
      <c r="A1901" s="29">
        <v>41</v>
      </c>
      <c r="B1901" s="111">
        <v>1</v>
      </c>
      <c r="C1901" s="111">
        <v>317365</v>
      </c>
      <c r="D1901" s="111" t="s">
        <v>759</v>
      </c>
      <c r="E1901" s="111" t="s">
        <v>448</v>
      </c>
      <c r="F1901" s="265">
        <v>42345</v>
      </c>
      <c r="G1901" s="265">
        <v>42377</v>
      </c>
      <c r="H1901" s="266">
        <f t="shared" si="157"/>
        <v>297.98</v>
      </c>
      <c r="I1901" s="266">
        <f t="shared" si="158"/>
        <v>0</v>
      </c>
      <c r="J1901" s="266">
        <v>1</v>
      </c>
      <c r="K1901" s="266">
        <f t="shared" si="159"/>
        <v>2.9798000000000004</v>
      </c>
      <c r="L1901" s="312">
        <f t="shared" si="160"/>
        <v>32</v>
      </c>
      <c r="M1901" s="263"/>
      <c r="N1901" s="263"/>
      <c r="O1901" s="263"/>
      <c r="P1901" s="263"/>
      <c r="Q1901" s="263"/>
      <c r="R1901" s="263"/>
      <c r="S1901" s="263"/>
      <c r="T1901" s="263"/>
      <c r="U1901" s="263"/>
      <c r="V1901" s="29">
        <v>297.98</v>
      </c>
      <c r="W1901" s="29">
        <v>0</v>
      </c>
      <c r="X1901" s="292">
        <v>53.64</v>
      </c>
      <c r="Y1901" s="29">
        <v>351.62</v>
      </c>
      <c r="Z1901" s="29">
        <v>0</v>
      </c>
      <c r="AA1901" s="29">
        <v>1</v>
      </c>
      <c r="AB1901" s="29">
        <v>3.5162</v>
      </c>
    </row>
    <row r="1902" spans="1:28">
      <c r="A1902" s="29">
        <v>42</v>
      </c>
      <c r="B1902" s="111">
        <v>1</v>
      </c>
      <c r="C1902" s="111">
        <v>317102</v>
      </c>
      <c r="D1902" s="111" t="s">
        <v>758</v>
      </c>
      <c r="E1902" s="111" t="s">
        <v>448</v>
      </c>
      <c r="F1902" s="265">
        <v>42340</v>
      </c>
      <c r="G1902" s="265">
        <v>42389</v>
      </c>
      <c r="H1902" s="266">
        <f t="shared" si="157"/>
        <v>316.13</v>
      </c>
      <c r="I1902" s="266">
        <f t="shared" si="158"/>
        <v>0</v>
      </c>
      <c r="J1902" s="266">
        <v>1</v>
      </c>
      <c r="K1902" s="266">
        <f t="shared" si="159"/>
        <v>3.1613000000000002</v>
      </c>
      <c r="L1902" s="312">
        <f t="shared" si="160"/>
        <v>49</v>
      </c>
      <c r="M1902" s="263"/>
      <c r="N1902" s="263"/>
      <c r="O1902" s="263"/>
      <c r="P1902" s="263"/>
      <c r="Q1902" s="263"/>
      <c r="R1902" s="263"/>
      <c r="S1902" s="263"/>
      <c r="T1902" s="263"/>
      <c r="U1902" s="263"/>
      <c r="V1902" s="29">
        <v>316.13</v>
      </c>
      <c r="W1902" s="29">
        <v>0</v>
      </c>
      <c r="X1902" s="292">
        <v>56.9</v>
      </c>
      <c r="Y1902" s="29">
        <v>373.03</v>
      </c>
      <c r="Z1902" s="29">
        <v>0</v>
      </c>
      <c r="AA1902" s="29">
        <v>1</v>
      </c>
      <c r="AB1902" s="29">
        <v>3.7303000000000002</v>
      </c>
    </row>
    <row r="1903" spans="1:28">
      <c r="A1903" s="29">
        <v>43</v>
      </c>
      <c r="B1903" s="111">
        <v>1</v>
      </c>
      <c r="C1903" s="111">
        <v>317374</v>
      </c>
      <c r="D1903" s="111" t="s">
        <v>758</v>
      </c>
      <c r="E1903" s="111" t="s">
        <v>448</v>
      </c>
      <c r="F1903" s="265">
        <v>42345</v>
      </c>
      <c r="G1903" s="265">
        <v>42389</v>
      </c>
      <c r="H1903" s="266">
        <f t="shared" si="157"/>
        <v>152.66999999999999</v>
      </c>
      <c r="I1903" s="266">
        <f t="shared" si="158"/>
        <v>0</v>
      </c>
      <c r="J1903" s="266">
        <v>1</v>
      </c>
      <c r="K1903" s="266">
        <f t="shared" si="159"/>
        <v>1.5266999999999999</v>
      </c>
      <c r="L1903" s="312">
        <f t="shared" si="160"/>
        <v>44</v>
      </c>
      <c r="M1903" s="263"/>
      <c r="N1903" s="263"/>
      <c r="O1903" s="263"/>
      <c r="P1903" s="263"/>
      <c r="Q1903" s="263"/>
      <c r="R1903" s="263"/>
      <c r="S1903" s="263"/>
      <c r="T1903" s="263"/>
      <c r="U1903" s="263"/>
      <c r="V1903" s="29">
        <v>152.66999999999999</v>
      </c>
      <c r="W1903" s="29">
        <v>0</v>
      </c>
      <c r="X1903" s="292">
        <v>27.48</v>
      </c>
      <c r="Y1903" s="29">
        <v>180.15</v>
      </c>
      <c r="Z1903" s="29">
        <v>0</v>
      </c>
      <c r="AA1903" s="29">
        <v>1</v>
      </c>
      <c r="AB1903" s="29">
        <v>1.8015000000000001</v>
      </c>
    </row>
    <row r="1904" spans="1:28">
      <c r="A1904" s="29">
        <v>44</v>
      </c>
      <c r="B1904" s="111">
        <v>1</v>
      </c>
      <c r="C1904" s="111">
        <v>317416</v>
      </c>
      <c r="D1904" s="111" t="s">
        <v>758</v>
      </c>
      <c r="E1904" s="111" t="s">
        <v>448</v>
      </c>
      <c r="F1904" s="265">
        <v>42347</v>
      </c>
      <c r="G1904" s="265">
        <v>42389</v>
      </c>
      <c r="H1904" s="266">
        <f t="shared" si="157"/>
        <v>479.98</v>
      </c>
      <c r="I1904" s="266">
        <f t="shared" si="158"/>
        <v>0</v>
      </c>
      <c r="J1904" s="266">
        <v>1</v>
      </c>
      <c r="K1904" s="266">
        <f t="shared" si="159"/>
        <v>4.7998000000000003</v>
      </c>
      <c r="L1904" s="312">
        <f t="shared" si="160"/>
        <v>42</v>
      </c>
      <c r="M1904" s="263"/>
      <c r="N1904" s="263"/>
      <c r="O1904" s="263"/>
      <c r="P1904" s="263"/>
      <c r="Q1904" s="263"/>
      <c r="R1904" s="263"/>
      <c r="S1904" s="263"/>
      <c r="T1904" s="263"/>
      <c r="U1904" s="263"/>
      <c r="V1904" s="29">
        <v>479.98</v>
      </c>
      <c r="W1904" s="29">
        <v>0</v>
      </c>
      <c r="X1904" s="292">
        <v>86.4</v>
      </c>
      <c r="Y1904" s="29">
        <v>566.38</v>
      </c>
      <c r="Z1904" s="29">
        <v>0</v>
      </c>
      <c r="AA1904" s="29">
        <v>1</v>
      </c>
      <c r="AB1904" s="29">
        <v>5.6638000000000002</v>
      </c>
    </row>
    <row r="1905" spans="1:28">
      <c r="A1905" s="29">
        <v>45</v>
      </c>
      <c r="B1905" s="111">
        <v>1</v>
      </c>
      <c r="C1905" s="111">
        <v>317470</v>
      </c>
      <c r="D1905" s="111" t="s">
        <v>758</v>
      </c>
      <c r="E1905" s="111" t="s">
        <v>448</v>
      </c>
      <c r="F1905" s="265">
        <v>42347</v>
      </c>
      <c r="G1905" s="265">
        <v>42389</v>
      </c>
      <c r="H1905" s="266">
        <f t="shared" si="157"/>
        <v>404.55</v>
      </c>
      <c r="I1905" s="266">
        <f t="shared" si="158"/>
        <v>0</v>
      </c>
      <c r="J1905" s="266">
        <v>1</v>
      </c>
      <c r="K1905" s="266">
        <f t="shared" si="159"/>
        <v>4.0455000000000005</v>
      </c>
      <c r="L1905" s="312">
        <f t="shared" si="160"/>
        <v>42</v>
      </c>
      <c r="M1905" s="263"/>
      <c r="N1905" s="263"/>
      <c r="O1905" s="263"/>
      <c r="P1905" s="263"/>
      <c r="Q1905" s="263"/>
      <c r="R1905" s="263"/>
      <c r="S1905" s="263"/>
      <c r="T1905" s="263"/>
      <c r="U1905" s="263"/>
      <c r="V1905" s="29">
        <v>404.55</v>
      </c>
      <c r="W1905" s="29">
        <v>0</v>
      </c>
      <c r="X1905" s="292">
        <v>72.819999999999993</v>
      </c>
      <c r="Y1905" s="29">
        <v>477.37</v>
      </c>
      <c r="Z1905" s="29">
        <v>0</v>
      </c>
      <c r="AA1905" s="29">
        <v>1</v>
      </c>
      <c r="AB1905" s="29">
        <v>4.7736999999999998</v>
      </c>
    </row>
    <row r="1906" spans="1:28">
      <c r="A1906" s="29">
        <v>46</v>
      </c>
      <c r="B1906" s="111">
        <v>1</v>
      </c>
      <c r="C1906" s="111">
        <v>317550</v>
      </c>
      <c r="D1906" s="111" t="s">
        <v>759</v>
      </c>
      <c r="E1906" s="111" t="s">
        <v>448</v>
      </c>
      <c r="F1906" s="265">
        <v>42348</v>
      </c>
      <c r="G1906" s="265">
        <v>42391</v>
      </c>
      <c r="H1906" s="266">
        <f t="shared" si="157"/>
        <v>1134.5</v>
      </c>
      <c r="I1906" s="266">
        <f t="shared" si="158"/>
        <v>0</v>
      </c>
      <c r="J1906" s="266">
        <v>1</v>
      </c>
      <c r="K1906" s="266">
        <f t="shared" si="159"/>
        <v>11.345000000000001</v>
      </c>
      <c r="L1906" s="312">
        <f t="shared" si="160"/>
        <v>43</v>
      </c>
      <c r="M1906" s="263"/>
      <c r="N1906" s="263"/>
      <c r="O1906" s="263"/>
      <c r="P1906" s="263"/>
      <c r="Q1906" s="263"/>
      <c r="R1906" s="263"/>
      <c r="S1906" s="263"/>
      <c r="T1906" s="263"/>
      <c r="U1906" s="263"/>
      <c r="V1906" s="29">
        <v>1134.5</v>
      </c>
      <c r="W1906" s="29">
        <v>0</v>
      </c>
      <c r="X1906" s="292">
        <v>204.21</v>
      </c>
      <c r="Y1906" s="29">
        <v>1338.71</v>
      </c>
      <c r="Z1906" s="29">
        <v>0</v>
      </c>
      <c r="AA1906" s="29">
        <v>1</v>
      </c>
      <c r="AB1906" s="29">
        <v>13.3871</v>
      </c>
    </row>
    <row r="1907" spans="1:28">
      <c r="A1907" s="29">
        <v>47</v>
      </c>
      <c r="B1907" s="111">
        <v>1</v>
      </c>
      <c r="C1907" s="111">
        <v>317565</v>
      </c>
      <c r="D1907" s="111" t="s">
        <v>758</v>
      </c>
      <c r="E1907" s="111" t="s">
        <v>448</v>
      </c>
      <c r="F1907" s="265">
        <v>42348</v>
      </c>
      <c r="G1907" s="265">
        <v>42389</v>
      </c>
      <c r="H1907" s="266">
        <f t="shared" si="157"/>
        <v>6882.31</v>
      </c>
      <c r="I1907" s="266">
        <f t="shared" si="158"/>
        <v>0</v>
      </c>
      <c r="J1907" s="266">
        <v>1</v>
      </c>
      <c r="K1907" s="266">
        <f t="shared" si="159"/>
        <v>68.823100000000011</v>
      </c>
      <c r="L1907" s="312">
        <f t="shared" si="160"/>
        <v>41</v>
      </c>
      <c r="M1907" s="263"/>
      <c r="N1907" s="263"/>
      <c r="O1907" s="263"/>
      <c r="P1907" s="263"/>
      <c r="Q1907" s="263"/>
      <c r="R1907" s="263"/>
      <c r="S1907" s="263"/>
      <c r="T1907" s="263"/>
      <c r="U1907" s="263"/>
      <c r="V1907" s="29">
        <v>6882.31</v>
      </c>
      <c r="W1907" s="29">
        <v>0</v>
      </c>
      <c r="X1907" s="292">
        <v>1238.82</v>
      </c>
      <c r="Y1907" s="29">
        <v>8121.13</v>
      </c>
      <c r="Z1907" s="29">
        <v>0</v>
      </c>
      <c r="AA1907" s="29">
        <v>1</v>
      </c>
      <c r="AB1907" s="29">
        <v>81.211299999999994</v>
      </c>
    </row>
    <row r="1908" spans="1:28">
      <c r="A1908" s="29">
        <v>48</v>
      </c>
      <c r="B1908" s="111">
        <v>1</v>
      </c>
      <c r="C1908" s="111">
        <v>317549</v>
      </c>
      <c r="D1908" s="111" t="s">
        <v>759</v>
      </c>
      <c r="E1908" s="111" t="s">
        <v>448</v>
      </c>
      <c r="F1908" s="265">
        <v>42348</v>
      </c>
      <c r="G1908" s="265">
        <v>42392</v>
      </c>
      <c r="H1908" s="266">
        <f t="shared" si="157"/>
        <v>722.68</v>
      </c>
      <c r="I1908" s="266">
        <f t="shared" si="158"/>
        <v>11.889830508474576</v>
      </c>
      <c r="J1908" s="266">
        <v>1</v>
      </c>
      <c r="K1908" s="266">
        <f t="shared" si="159"/>
        <v>7.1079016949152543</v>
      </c>
      <c r="L1908" s="312">
        <f t="shared" si="160"/>
        <v>44</v>
      </c>
      <c r="M1908" s="263"/>
      <c r="N1908" s="263"/>
      <c r="O1908" s="263"/>
      <c r="P1908" s="263"/>
      <c r="Q1908" s="263"/>
      <c r="R1908" s="263"/>
      <c r="S1908" s="263"/>
      <c r="T1908" s="263"/>
      <c r="U1908" s="263"/>
      <c r="V1908" s="29">
        <v>722.68</v>
      </c>
      <c r="W1908" s="29">
        <v>0</v>
      </c>
      <c r="X1908" s="292">
        <v>130.08000000000001</v>
      </c>
      <c r="Y1908" s="29">
        <v>852.76</v>
      </c>
      <c r="Z1908" s="29">
        <v>14.03</v>
      </c>
      <c r="AA1908" s="29">
        <v>1</v>
      </c>
      <c r="AB1908" s="29">
        <v>8.3872999999999998</v>
      </c>
    </row>
    <row r="1909" spans="1:28">
      <c r="A1909" s="29">
        <v>49</v>
      </c>
      <c r="B1909" s="111">
        <v>1</v>
      </c>
      <c r="C1909" s="111">
        <v>317551</v>
      </c>
      <c r="D1909" s="111" t="s">
        <v>758</v>
      </c>
      <c r="E1909" s="111" t="s">
        <v>448</v>
      </c>
      <c r="F1909" s="265">
        <v>42348</v>
      </c>
      <c r="G1909" s="265">
        <v>42389</v>
      </c>
      <c r="H1909" s="266">
        <f t="shared" si="157"/>
        <v>6012.99</v>
      </c>
      <c r="I1909" s="266">
        <f t="shared" si="158"/>
        <v>0</v>
      </c>
      <c r="J1909" s="266">
        <v>1</v>
      </c>
      <c r="K1909" s="266">
        <f t="shared" si="159"/>
        <v>60.129899999999999</v>
      </c>
      <c r="L1909" s="312">
        <f t="shared" si="160"/>
        <v>41</v>
      </c>
      <c r="M1909" s="263"/>
      <c r="N1909" s="263"/>
      <c r="O1909" s="263"/>
      <c r="P1909" s="263"/>
      <c r="Q1909" s="263"/>
      <c r="R1909" s="263"/>
      <c r="S1909" s="263"/>
      <c r="T1909" s="263"/>
      <c r="U1909" s="263"/>
      <c r="V1909" s="29">
        <v>6012.99</v>
      </c>
      <c r="W1909" s="29">
        <v>0</v>
      </c>
      <c r="X1909" s="292">
        <v>1082.3399999999999</v>
      </c>
      <c r="Y1909" s="29">
        <v>7095.33</v>
      </c>
      <c r="Z1909" s="29">
        <v>0</v>
      </c>
      <c r="AA1909" s="29">
        <v>1</v>
      </c>
      <c r="AB1909" s="29">
        <v>70.953299999999999</v>
      </c>
    </row>
    <row r="1910" spans="1:28">
      <c r="A1910" s="29">
        <v>50</v>
      </c>
      <c r="B1910" s="111">
        <v>1</v>
      </c>
      <c r="C1910" s="111">
        <v>317564</v>
      </c>
      <c r="D1910" s="111" t="s">
        <v>758</v>
      </c>
      <c r="E1910" s="111" t="s">
        <v>448</v>
      </c>
      <c r="F1910" s="265">
        <v>42348</v>
      </c>
      <c r="G1910" s="265">
        <v>42389</v>
      </c>
      <c r="H1910" s="266">
        <f t="shared" si="157"/>
        <v>3158.7</v>
      </c>
      <c r="I1910" s="266">
        <f t="shared" si="158"/>
        <v>0</v>
      </c>
      <c r="J1910" s="266">
        <v>1</v>
      </c>
      <c r="K1910" s="266">
        <f t="shared" si="159"/>
        <v>31.587</v>
      </c>
      <c r="L1910" s="312">
        <f t="shared" si="160"/>
        <v>41</v>
      </c>
      <c r="M1910" s="263"/>
      <c r="N1910" s="263"/>
      <c r="O1910" s="263"/>
      <c r="P1910" s="263"/>
      <c r="Q1910" s="263"/>
      <c r="R1910" s="263"/>
      <c r="S1910" s="263"/>
      <c r="T1910" s="263"/>
      <c r="U1910" s="263"/>
      <c r="V1910" s="29">
        <v>3158.7</v>
      </c>
      <c r="W1910" s="29">
        <v>0</v>
      </c>
      <c r="X1910" s="292">
        <v>568.57000000000005</v>
      </c>
      <c r="Y1910" s="29">
        <v>3727.27</v>
      </c>
      <c r="Z1910" s="29">
        <v>0</v>
      </c>
      <c r="AA1910" s="29">
        <v>1</v>
      </c>
      <c r="AB1910" s="29">
        <v>37.2727</v>
      </c>
    </row>
    <row r="1911" spans="1:28">
      <c r="A1911" s="29">
        <v>51</v>
      </c>
      <c r="B1911" s="111">
        <v>1</v>
      </c>
      <c r="C1911" s="111">
        <v>317644</v>
      </c>
      <c r="D1911" s="111" t="s">
        <v>758</v>
      </c>
      <c r="E1911" s="111" t="s">
        <v>448</v>
      </c>
      <c r="F1911" s="265">
        <v>42349</v>
      </c>
      <c r="G1911" s="265">
        <v>42389</v>
      </c>
      <c r="H1911" s="266">
        <f t="shared" si="157"/>
        <v>898.73</v>
      </c>
      <c r="I1911" s="266">
        <f t="shared" si="158"/>
        <v>0</v>
      </c>
      <c r="J1911" s="266">
        <v>1</v>
      </c>
      <c r="K1911" s="266">
        <f t="shared" si="159"/>
        <v>8.9873000000000012</v>
      </c>
      <c r="L1911" s="312">
        <f t="shared" si="160"/>
        <v>40</v>
      </c>
      <c r="M1911" s="263"/>
      <c r="N1911" s="263"/>
      <c r="O1911" s="263"/>
      <c r="P1911" s="263"/>
      <c r="Q1911" s="263"/>
      <c r="R1911" s="263"/>
      <c r="S1911" s="263"/>
      <c r="T1911" s="263"/>
      <c r="U1911" s="263"/>
      <c r="V1911" s="29">
        <v>898.73</v>
      </c>
      <c r="W1911" s="29">
        <v>0</v>
      </c>
      <c r="X1911" s="292">
        <v>161.77000000000001</v>
      </c>
      <c r="Y1911" s="29">
        <v>1060.5</v>
      </c>
      <c r="Z1911" s="29">
        <v>0</v>
      </c>
      <c r="AA1911" s="29">
        <v>1</v>
      </c>
      <c r="AB1911" s="29">
        <v>10.605</v>
      </c>
    </row>
    <row r="1912" spans="1:28">
      <c r="A1912" s="29">
        <v>52</v>
      </c>
      <c r="B1912" s="111">
        <v>1</v>
      </c>
      <c r="C1912" s="111">
        <v>317741</v>
      </c>
      <c r="D1912" s="111" t="s">
        <v>758</v>
      </c>
      <c r="E1912" s="111" t="s">
        <v>448</v>
      </c>
      <c r="F1912" s="265">
        <v>42350</v>
      </c>
      <c r="G1912" s="265">
        <v>42389</v>
      </c>
      <c r="H1912" s="266">
        <f t="shared" si="157"/>
        <v>2325</v>
      </c>
      <c r="I1912" s="266">
        <f t="shared" si="158"/>
        <v>0</v>
      </c>
      <c r="J1912" s="266">
        <v>1</v>
      </c>
      <c r="K1912" s="266">
        <f t="shared" si="159"/>
        <v>23.25</v>
      </c>
      <c r="L1912" s="312">
        <f t="shared" si="160"/>
        <v>39</v>
      </c>
      <c r="M1912" s="263"/>
      <c r="N1912" s="263"/>
      <c r="O1912" s="263"/>
      <c r="P1912" s="263"/>
      <c r="Q1912" s="263"/>
      <c r="R1912" s="263"/>
      <c r="S1912" s="263"/>
      <c r="T1912" s="263"/>
      <c r="U1912" s="263"/>
      <c r="V1912" s="29">
        <v>2325</v>
      </c>
      <c r="W1912" s="29">
        <v>0</v>
      </c>
      <c r="X1912" s="292">
        <v>418.5</v>
      </c>
      <c r="Y1912" s="29">
        <v>2743.5</v>
      </c>
      <c r="Z1912" s="29">
        <v>0</v>
      </c>
      <c r="AA1912" s="29">
        <v>1</v>
      </c>
      <c r="AB1912" s="29">
        <v>27.434999999999999</v>
      </c>
    </row>
    <row r="1913" spans="1:28">
      <c r="A1913" s="29">
        <v>53</v>
      </c>
      <c r="B1913" s="111">
        <v>1</v>
      </c>
      <c r="C1913" s="111">
        <v>317645</v>
      </c>
      <c r="D1913" s="111" t="s">
        <v>758</v>
      </c>
      <c r="E1913" s="111" t="s">
        <v>448</v>
      </c>
      <c r="F1913" s="265">
        <v>42349</v>
      </c>
      <c r="G1913" s="265">
        <v>42389</v>
      </c>
      <c r="H1913" s="266">
        <f t="shared" si="157"/>
        <v>1528</v>
      </c>
      <c r="I1913" s="266">
        <f t="shared" si="158"/>
        <v>0</v>
      </c>
      <c r="J1913" s="266">
        <v>1</v>
      </c>
      <c r="K1913" s="266">
        <f t="shared" si="159"/>
        <v>15.280000000000001</v>
      </c>
      <c r="L1913" s="312">
        <f t="shared" si="160"/>
        <v>40</v>
      </c>
      <c r="M1913" s="263"/>
      <c r="N1913" s="263"/>
      <c r="O1913" s="263"/>
      <c r="P1913" s="263"/>
      <c r="Q1913" s="263"/>
      <c r="R1913" s="263"/>
      <c r="S1913" s="263"/>
      <c r="T1913" s="263"/>
      <c r="U1913" s="263"/>
      <c r="V1913" s="29">
        <v>1528</v>
      </c>
      <c r="W1913" s="29">
        <v>0</v>
      </c>
      <c r="X1913" s="292">
        <v>275.04000000000002</v>
      </c>
      <c r="Y1913" s="29">
        <v>1803.04</v>
      </c>
      <c r="Z1913" s="29">
        <v>0</v>
      </c>
      <c r="AA1913" s="29">
        <v>1</v>
      </c>
      <c r="AB1913" s="29">
        <v>18.0304</v>
      </c>
    </row>
    <row r="1914" spans="1:28">
      <c r="A1914" s="29">
        <v>54</v>
      </c>
      <c r="B1914" s="111">
        <v>1</v>
      </c>
      <c r="C1914" s="111">
        <v>317665</v>
      </c>
      <c r="D1914" s="111" t="s">
        <v>758</v>
      </c>
      <c r="E1914" s="111" t="s">
        <v>448</v>
      </c>
      <c r="F1914" s="265">
        <v>42349</v>
      </c>
      <c r="G1914" s="265">
        <v>42399</v>
      </c>
      <c r="H1914" s="266">
        <f t="shared" si="157"/>
        <v>189.55</v>
      </c>
      <c r="I1914" s="266">
        <f t="shared" si="158"/>
        <v>0</v>
      </c>
      <c r="J1914" s="266">
        <v>1</v>
      </c>
      <c r="K1914" s="266">
        <f t="shared" si="159"/>
        <v>1.8955000000000002</v>
      </c>
      <c r="L1914" s="312">
        <f t="shared" si="160"/>
        <v>50</v>
      </c>
      <c r="M1914" s="263"/>
      <c r="N1914" s="263"/>
      <c r="O1914" s="263"/>
      <c r="P1914" s="263"/>
      <c r="Q1914" s="263"/>
      <c r="R1914" s="263"/>
      <c r="S1914" s="263"/>
      <c r="T1914" s="263"/>
      <c r="U1914" s="263"/>
      <c r="V1914" s="29">
        <v>189.55</v>
      </c>
      <c r="W1914" s="29">
        <v>0</v>
      </c>
      <c r="X1914" s="292">
        <v>34.119999999999997</v>
      </c>
      <c r="Y1914" s="29">
        <v>223.67</v>
      </c>
      <c r="Z1914" s="29">
        <v>0</v>
      </c>
      <c r="AA1914" s="29">
        <v>1</v>
      </c>
      <c r="AB1914" s="29">
        <v>2.2366999999999999</v>
      </c>
    </row>
    <row r="1915" spans="1:28">
      <c r="A1915" s="29">
        <v>55</v>
      </c>
      <c r="B1915" s="111">
        <v>1</v>
      </c>
      <c r="C1915" s="111">
        <v>317751</v>
      </c>
      <c r="D1915" s="111" t="s">
        <v>758</v>
      </c>
      <c r="E1915" s="111" t="s">
        <v>448</v>
      </c>
      <c r="F1915" s="265">
        <v>42350</v>
      </c>
      <c r="G1915" s="265">
        <v>42389</v>
      </c>
      <c r="H1915" s="266">
        <f t="shared" si="157"/>
        <v>7839.84</v>
      </c>
      <c r="I1915" s="266">
        <f t="shared" si="158"/>
        <v>0</v>
      </c>
      <c r="J1915" s="266">
        <v>1</v>
      </c>
      <c r="K1915" s="266">
        <f t="shared" si="159"/>
        <v>78.398400000000009</v>
      </c>
      <c r="L1915" s="312">
        <f t="shared" si="160"/>
        <v>39</v>
      </c>
      <c r="M1915" s="263"/>
      <c r="N1915" s="263"/>
      <c r="O1915" s="263"/>
      <c r="P1915" s="263"/>
      <c r="Q1915" s="263"/>
      <c r="R1915" s="263"/>
      <c r="S1915" s="263"/>
      <c r="T1915" s="263"/>
      <c r="U1915" s="263"/>
      <c r="V1915" s="29">
        <v>7839.84</v>
      </c>
      <c r="W1915" s="29">
        <v>0</v>
      </c>
      <c r="X1915" s="292">
        <v>1411.17</v>
      </c>
      <c r="Y1915" s="29">
        <v>9251.01</v>
      </c>
      <c r="Z1915" s="29">
        <v>0</v>
      </c>
      <c r="AA1915" s="29">
        <v>1</v>
      </c>
      <c r="AB1915" s="29">
        <v>92.510099999999994</v>
      </c>
    </row>
    <row r="1916" spans="1:28">
      <c r="A1916" s="29">
        <v>56</v>
      </c>
      <c r="B1916" s="111">
        <v>1</v>
      </c>
      <c r="C1916" s="111">
        <v>317851</v>
      </c>
      <c r="D1916" s="111" t="s">
        <v>758</v>
      </c>
      <c r="E1916" s="111" t="s">
        <v>448</v>
      </c>
      <c r="F1916" s="265">
        <v>42352</v>
      </c>
      <c r="G1916" s="265">
        <v>42389</v>
      </c>
      <c r="H1916" s="266">
        <f t="shared" si="157"/>
        <v>2278.27</v>
      </c>
      <c r="I1916" s="266">
        <f t="shared" si="158"/>
        <v>92.686440677966104</v>
      </c>
      <c r="J1916" s="266">
        <v>1</v>
      </c>
      <c r="K1916" s="266">
        <f t="shared" si="159"/>
        <v>21.855835593220341</v>
      </c>
      <c r="L1916" s="312">
        <f t="shared" si="160"/>
        <v>37</v>
      </c>
      <c r="M1916" s="263"/>
      <c r="N1916" s="263"/>
      <c r="O1916" s="263"/>
      <c r="P1916" s="263"/>
      <c r="Q1916" s="263"/>
      <c r="R1916" s="263"/>
      <c r="S1916" s="263"/>
      <c r="T1916" s="263"/>
      <c r="U1916" s="263"/>
      <c r="V1916" s="29">
        <v>2278.27</v>
      </c>
      <c r="W1916" s="29">
        <v>0</v>
      </c>
      <c r="X1916" s="292">
        <v>410.09</v>
      </c>
      <c r="Y1916" s="29">
        <v>2688.36</v>
      </c>
      <c r="Z1916" s="29">
        <v>109.37</v>
      </c>
      <c r="AA1916" s="29">
        <v>1</v>
      </c>
      <c r="AB1916" s="29">
        <v>25.789899999999999</v>
      </c>
    </row>
    <row r="1917" spans="1:28">
      <c r="A1917" s="29">
        <v>57</v>
      </c>
      <c r="B1917" s="111">
        <v>1</v>
      </c>
      <c r="C1917" s="111">
        <v>318059</v>
      </c>
      <c r="D1917" s="111" t="s">
        <v>758</v>
      </c>
      <c r="E1917" s="111" t="s">
        <v>448</v>
      </c>
      <c r="F1917" s="265">
        <v>42355</v>
      </c>
      <c r="G1917" s="265">
        <v>42399</v>
      </c>
      <c r="H1917" s="266">
        <f t="shared" si="157"/>
        <v>2080.67</v>
      </c>
      <c r="I1917" s="266">
        <f t="shared" si="158"/>
        <v>0</v>
      </c>
      <c r="J1917" s="266">
        <v>1</v>
      </c>
      <c r="K1917" s="266">
        <f t="shared" si="159"/>
        <v>20.806700000000003</v>
      </c>
      <c r="L1917" s="312">
        <f t="shared" si="160"/>
        <v>44</v>
      </c>
      <c r="M1917" s="263"/>
      <c r="N1917" s="263"/>
      <c r="O1917" s="263"/>
      <c r="P1917" s="263"/>
      <c r="Q1917" s="263"/>
      <c r="R1917" s="263"/>
      <c r="S1917" s="263"/>
      <c r="T1917" s="263"/>
      <c r="U1917" s="263"/>
      <c r="V1917" s="29">
        <v>2080.67</v>
      </c>
      <c r="W1917" s="29">
        <v>0</v>
      </c>
      <c r="X1917" s="292">
        <v>374.52</v>
      </c>
      <c r="Y1917" s="29">
        <v>2455.19</v>
      </c>
      <c r="Z1917" s="29">
        <v>0</v>
      </c>
      <c r="AA1917" s="29">
        <v>1</v>
      </c>
      <c r="AB1917" s="29">
        <v>24.5519</v>
      </c>
    </row>
    <row r="1918" spans="1:28">
      <c r="A1918" s="29">
        <v>58</v>
      </c>
      <c r="B1918" s="111">
        <v>1</v>
      </c>
      <c r="C1918" s="111">
        <v>318058</v>
      </c>
      <c r="D1918" s="111" t="s">
        <v>758</v>
      </c>
      <c r="E1918" s="111" t="s">
        <v>448</v>
      </c>
      <c r="F1918" s="265">
        <v>42355</v>
      </c>
      <c r="G1918" s="265">
        <v>42399</v>
      </c>
      <c r="H1918" s="266">
        <f t="shared" si="157"/>
        <v>947.61</v>
      </c>
      <c r="I1918" s="266">
        <f t="shared" si="158"/>
        <v>0</v>
      </c>
      <c r="J1918" s="266">
        <v>1</v>
      </c>
      <c r="K1918" s="266">
        <f t="shared" si="159"/>
        <v>9.4761000000000006</v>
      </c>
      <c r="L1918" s="312">
        <f t="shared" si="160"/>
        <v>44</v>
      </c>
      <c r="M1918" s="263"/>
      <c r="N1918" s="263"/>
      <c r="O1918" s="263"/>
      <c r="P1918" s="263"/>
      <c r="Q1918" s="263"/>
      <c r="R1918" s="263"/>
      <c r="S1918" s="263"/>
      <c r="T1918" s="263"/>
      <c r="U1918" s="263"/>
      <c r="V1918" s="29">
        <v>947.61</v>
      </c>
      <c r="W1918" s="29">
        <v>0</v>
      </c>
      <c r="X1918" s="292">
        <v>170.57</v>
      </c>
      <c r="Y1918" s="29">
        <v>1118.18</v>
      </c>
      <c r="Z1918" s="29">
        <v>0</v>
      </c>
      <c r="AA1918" s="29">
        <v>1</v>
      </c>
      <c r="AB1918" s="29">
        <v>11.181800000000001</v>
      </c>
    </row>
    <row r="1919" spans="1:28">
      <c r="A1919" s="29">
        <v>59</v>
      </c>
      <c r="B1919" s="111">
        <v>1</v>
      </c>
      <c r="C1919" s="111">
        <v>318134</v>
      </c>
      <c r="D1919" s="111" t="s">
        <v>758</v>
      </c>
      <c r="E1919" s="111" t="s">
        <v>448</v>
      </c>
      <c r="F1919" s="265">
        <v>42356</v>
      </c>
      <c r="G1919" s="265">
        <v>42399</v>
      </c>
      <c r="H1919" s="266">
        <f t="shared" si="157"/>
        <v>6661.9</v>
      </c>
      <c r="I1919" s="266">
        <f t="shared" si="158"/>
        <v>0</v>
      </c>
      <c r="J1919" s="266">
        <v>1</v>
      </c>
      <c r="K1919" s="266">
        <f t="shared" si="159"/>
        <v>66.619</v>
      </c>
      <c r="L1919" s="312">
        <f t="shared" si="160"/>
        <v>43</v>
      </c>
      <c r="M1919" s="263"/>
      <c r="N1919" s="263"/>
      <c r="O1919" s="263"/>
      <c r="P1919" s="263"/>
      <c r="Q1919" s="263"/>
      <c r="R1919" s="263"/>
      <c r="S1919" s="263"/>
      <c r="T1919" s="263"/>
      <c r="U1919" s="263"/>
      <c r="V1919" s="29">
        <v>6661.9</v>
      </c>
      <c r="W1919" s="29">
        <v>0</v>
      </c>
      <c r="X1919" s="292">
        <v>1199.1400000000001</v>
      </c>
      <c r="Y1919" s="29">
        <v>7861.04</v>
      </c>
      <c r="Z1919" s="29">
        <v>0</v>
      </c>
      <c r="AA1919" s="29">
        <v>1</v>
      </c>
      <c r="AB1919" s="29">
        <v>78.610399999999998</v>
      </c>
    </row>
    <row r="1920" spans="1:28">
      <c r="A1920" s="29">
        <v>60</v>
      </c>
      <c r="B1920" s="111">
        <v>1</v>
      </c>
      <c r="C1920" s="111">
        <v>318161</v>
      </c>
      <c r="D1920" s="111" t="s">
        <v>758</v>
      </c>
      <c r="E1920" s="111" t="s">
        <v>448</v>
      </c>
      <c r="F1920" s="265">
        <v>42356</v>
      </c>
      <c r="G1920" s="265">
        <v>42399</v>
      </c>
      <c r="H1920" s="266">
        <f t="shared" si="157"/>
        <v>270.14</v>
      </c>
      <c r="I1920" s="266">
        <f t="shared" si="158"/>
        <v>0</v>
      </c>
      <c r="J1920" s="266">
        <v>1</v>
      </c>
      <c r="K1920" s="266">
        <f t="shared" si="159"/>
        <v>2.7014</v>
      </c>
      <c r="L1920" s="312">
        <f t="shared" si="160"/>
        <v>43</v>
      </c>
      <c r="M1920" s="263"/>
      <c r="N1920" s="263"/>
      <c r="O1920" s="263"/>
      <c r="P1920" s="263"/>
      <c r="Q1920" s="263"/>
      <c r="R1920" s="263"/>
      <c r="S1920" s="263"/>
      <c r="T1920" s="263"/>
      <c r="U1920" s="263"/>
      <c r="V1920" s="29">
        <v>270.14</v>
      </c>
      <c r="W1920" s="29">
        <v>0</v>
      </c>
      <c r="X1920" s="292">
        <v>48.63</v>
      </c>
      <c r="Y1920" s="29">
        <v>318.77</v>
      </c>
      <c r="Z1920" s="29">
        <v>0</v>
      </c>
      <c r="AA1920" s="29">
        <v>1</v>
      </c>
      <c r="AB1920" s="29">
        <v>3.1877</v>
      </c>
    </row>
    <row r="1921" spans="1:28">
      <c r="A1921" s="29">
        <v>61</v>
      </c>
      <c r="B1921" s="111">
        <v>1</v>
      </c>
      <c r="C1921" s="111">
        <v>318191</v>
      </c>
      <c r="D1921" s="111" t="s">
        <v>758</v>
      </c>
      <c r="E1921" s="111" t="s">
        <v>448</v>
      </c>
      <c r="F1921" s="265">
        <v>42357</v>
      </c>
      <c r="G1921" s="265">
        <v>42399</v>
      </c>
      <c r="H1921" s="266">
        <f t="shared" si="157"/>
        <v>966.76</v>
      </c>
      <c r="I1921" s="266">
        <f t="shared" si="158"/>
        <v>0</v>
      </c>
      <c r="J1921" s="266">
        <v>1</v>
      </c>
      <c r="K1921" s="266">
        <f t="shared" si="159"/>
        <v>9.6676000000000002</v>
      </c>
      <c r="L1921" s="312">
        <f t="shared" si="160"/>
        <v>42</v>
      </c>
      <c r="M1921" s="263"/>
      <c r="N1921" s="263"/>
      <c r="O1921" s="263"/>
      <c r="P1921" s="263"/>
      <c r="Q1921" s="263"/>
      <c r="R1921" s="263"/>
      <c r="S1921" s="263"/>
      <c r="T1921" s="263"/>
      <c r="U1921" s="263"/>
      <c r="V1921" s="29">
        <v>966.76</v>
      </c>
      <c r="W1921" s="29">
        <v>0</v>
      </c>
      <c r="X1921" s="292">
        <v>174.02</v>
      </c>
      <c r="Y1921" s="29">
        <v>1140.78</v>
      </c>
      <c r="Z1921" s="29">
        <v>0</v>
      </c>
      <c r="AA1921" s="29">
        <v>1</v>
      </c>
      <c r="AB1921" s="29">
        <v>11.4078</v>
      </c>
    </row>
    <row r="1922" spans="1:28">
      <c r="A1922" s="29">
        <v>62</v>
      </c>
      <c r="B1922" s="111">
        <v>1</v>
      </c>
      <c r="C1922" s="111">
        <v>318369</v>
      </c>
      <c r="D1922" s="111" t="s">
        <v>758</v>
      </c>
      <c r="E1922" s="111" t="s">
        <v>448</v>
      </c>
      <c r="F1922" s="265">
        <v>42361</v>
      </c>
      <c r="G1922" s="265">
        <v>42399</v>
      </c>
      <c r="H1922" s="266">
        <f t="shared" si="157"/>
        <v>1890</v>
      </c>
      <c r="I1922" s="266">
        <f t="shared" si="158"/>
        <v>0</v>
      </c>
      <c r="J1922" s="266">
        <v>1</v>
      </c>
      <c r="K1922" s="266">
        <f t="shared" si="159"/>
        <v>18.900000000000002</v>
      </c>
      <c r="L1922" s="312">
        <f t="shared" si="160"/>
        <v>38</v>
      </c>
      <c r="M1922" s="263"/>
      <c r="N1922" s="263"/>
      <c r="O1922" s="263"/>
      <c r="P1922" s="263"/>
      <c r="Q1922" s="263"/>
      <c r="R1922" s="263"/>
      <c r="S1922" s="263"/>
      <c r="T1922" s="263"/>
      <c r="U1922" s="263"/>
      <c r="V1922" s="29">
        <v>1890</v>
      </c>
      <c r="W1922" s="29">
        <v>0</v>
      </c>
      <c r="X1922" s="292">
        <v>340.2</v>
      </c>
      <c r="Y1922" s="29">
        <v>2230.1999999999998</v>
      </c>
      <c r="Z1922" s="29">
        <v>0</v>
      </c>
      <c r="AA1922" s="29">
        <v>1</v>
      </c>
      <c r="AB1922" s="29">
        <v>22.302</v>
      </c>
    </row>
    <row r="1923" spans="1:28">
      <c r="A1923" s="29">
        <v>63</v>
      </c>
      <c r="B1923" s="111">
        <v>1</v>
      </c>
      <c r="C1923" s="111">
        <v>318321</v>
      </c>
      <c r="D1923" s="111" t="s">
        <v>758</v>
      </c>
      <c r="E1923" s="111" t="s">
        <v>448</v>
      </c>
      <c r="F1923" s="265">
        <v>42360</v>
      </c>
      <c r="G1923" s="265">
        <v>42399</v>
      </c>
      <c r="H1923" s="266">
        <f t="shared" si="157"/>
        <v>786.14</v>
      </c>
      <c r="I1923" s="266">
        <f t="shared" si="158"/>
        <v>764.30508474576277</v>
      </c>
      <c r="J1923" s="266">
        <v>1</v>
      </c>
      <c r="K1923" s="266">
        <f t="shared" si="159"/>
        <v>0.21834915254237217</v>
      </c>
      <c r="L1923" s="312">
        <f t="shared" si="160"/>
        <v>39</v>
      </c>
      <c r="M1923" s="263"/>
      <c r="N1923" s="263"/>
      <c r="O1923" s="263"/>
      <c r="P1923" s="263"/>
      <c r="Q1923" s="263"/>
      <c r="R1923" s="263"/>
      <c r="S1923" s="263"/>
      <c r="T1923" s="263"/>
      <c r="U1923" s="263"/>
      <c r="V1923" s="29">
        <v>786.14</v>
      </c>
      <c r="W1923" s="29">
        <v>0</v>
      </c>
      <c r="X1923" s="292">
        <v>141.51</v>
      </c>
      <c r="Y1923" s="29">
        <v>927.65</v>
      </c>
      <c r="Z1923" s="29">
        <v>901.88</v>
      </c>
      <c r="AA1923" s="29">
        <v>1</v>
      </c>
      <c r="AB1923" s="29">
        <v>0.25769999999999998</v>
      </c>
    </row>
    <row r="1924" spans="1:28">
      <c r="A1924" s="29">
        <v>64</v>
      </c>
      <c r="B1924" s="111">
        <v>1</v>
      </c>
      <c r="C1924" s="111">
        <v>318320</v>
      </c>
      <c r="D1924" s="111" t="s">
        <v>758</v>
      </c>
      <c r="E1924" s="111" t="s">
        <v>448</v>
      </c>
      <c r="F1924" s="265">
        <v>42360</v>
      </c>
      <c r="G1924" s="265">
        <v>42399</v>
      </c>
      <c r="H1924" s="266">
        <f t="shared" si="157"/>
        <v>7600.4</v>
      </c>
      <c r="I1924" s="266">
        <f t="shared" si="158"/>
        <v>0</v>
      </c>
      <c r="J1924" s="266">
        <v>1</v>
      </c>
      <c r="K1924" s="266">
        <f t="shared" si="159"/>
        <v>76.004000000000005</v>
      </c>
      <c r="L1924" s="312">
        <f t="shared" si="160"/>
        <v>39</v>
      </c>
      <c r="M1924" s="263"/>
      <c r="N1924" s="263"/>
      <c r="O1924" s="263"/>
      <c r="P1924" s="263"/>
      <c r="Q1924" s="263"/>
      <c r="R1924" s="263"/>
      <c r="S1924" s="263"/>
      <c r="T1924" s="263"/>
      <c r="U1924" s="263"/>
      <c r="V1924" s="29">
        <v>7600.4</v>
      </c>
      <c r="W1924" s="29">
        <v>0</v>
      </c>
      <c r="X1924" s="292">
        <v>1368.07</v>
      </c>
      <c r="Y1924" s="29">
        <v>8968.4699999999993</v>
      </c>
      <c r="Z1924" s="29">
        <v>0</v>
      </c>
      <c r="AA1924" s="29">
        <v>1</v>
      </c>
      <c r="AB1924" s="29">
        <v>89.684700000000007</v>
      </c>
    </row>
    <row r="1925" spans="1:28">
      <c r="A1925" s="29">
        <v>65</v>
      </c>
      <c r="B1925" s="111">
        <v>1</v>
      </c>
      <c r="C1925" s="111">
        <v>318558</v>
      </c>
      <c r="D1925" s="111" t="s">
        <v>758</v>
      </c>
      <c r="E1925" s="111" t="s">
        <v>448</v>
      </c>
      <c r="F1925" s="265">
        <v>42367</v>
      </c>
      <c r="G1925" s="265">
        <v>42399</v>
      </c>
      <c r="H1925" s="266">
        <f t="shared" ref="H1925:H1943" si="161">V1925+W1925</f>
        <v>1219.06</v>
      </c>
      <c r="I1925" s="266">
        <f t="shared" ref="I1925:I1943" si="162">Z1925/1.18</f>
        <v>0</v>
      </c>
      <c r="J1925" s="266">
        <v>1</v>
      </c>
      <c r="K1925" s="266">
        <f t="shared" ref="K1925:K1933" si="163">(H1925-I1925)*J1925%</f>
        <v>12.1906</v>
      </c>
      <c r="L1925" s="312">
        <f t="shared" ref="L1925:L1943" si="164">G1925-F1925</f>
        <v>32</v>
      </c>
      <c r="M1925" s="263"/>
      <c r="N1925" s="263"/>
      <c r="O1925" s="263"/>
      <c r="P1925" s="263"/>
      <c r="Q1925" s="263"/>
      <c r="R1925" s="263"/>
      <c r="S1925" s="263"/>
      <c r="T1925" s="263"/>
      <c r="U1925" s="263"/>
      <c r="V1925" s="29">
        <v>1219.06</v>
      </c>
      <c r="W1925" s="29">
        <v>0</v>
      </c>
      <c r="X1925" s="292">
        <v>219.43</v>
      </c>
      <c r="Y1925" s="29">
        <v>1438.49</v>
      </c>
      <c r="Z1925" s="29">
        <v>0</v>
      </c>
      <c r="AA1925" s="29">
        <v>1</v>
      </c>
      <c r="AB1925" s="29">
        <v>14.3849</v>
      </c>
    </row>
    <row r="1926" spans="1:28">
      <c r="A1926" s="29">
        <v>66</v>
      </c>
      <c r="B1926" s="111">
        <v>1</v>
      </c>
      <c r="C1926" s="111">
        <v>318624</v>
      </c>
      <c r="D1926" s="111" t="s">
        <v>767</v>
      </c>
      <c r="E1926" s="111" t="s">
        <v>448</v>
      </c>
      <c r="F1926" s="265">
        <v>42368</v>
      </c>
      <c r="G1926" s="265">
        <v>42375</v>
      </c>
      <c r="H1926" s="266">
        <f t="shared" si="161"/>
        <v>230.13</v>
      </c>
      <c r="I1926" s="266">
        <f t="shared" si="162"/>
        <v>0</v>
      </c>
      <c r="J1926" s="266">
        <v>1</v>
      </c>
      <c r="K1926" s="266">
        <f t="shared" si="163"/>
        <v>2.3012999999999999</v>
      </c>
      <c r="L1926" s="312">
        <f t="shared" si="164"/>
        <v>7</v>
      </c>
      <c r="M1926" s="263"/>
      <c r="N1926" s="263"/>
      <c r="O1926" s="263"/>
      <c r="P1926" s="263"/>
      <c r="Q1926" s="263"/>
      <c r="R1926" s="263"/>
      <c r="S1926" s="263"/>
      <c r="T1926" s="263"/>
      <c r="U1926" s="263"/>
      <c r="V1926" s="29">
        <v>230.13</v>
      </c>
      <c r="W1926" s="29">
        <v>0</v>
      </c>
      <c r="X1926" s="292">
        <v>41.42</v>
      </c>
      <c r="Y1926" s="29">
        <v>271.55</v>
      </c>
      <c r="Z1926" s="29">
        <v>0</v>
      </c>
      <c r="AA1926" s="29">
        <v>1</v>
      </c>
      <c r="AB1926" s="29">
        <v>2.7155</v>
      </c>
    </row>
    <row r="1927" spans="1:28">
      <c r="A1927" s="29">
        <v>67</v>
      </c>
      <c r="B1927" s="111">
        <v>1</v>
      </c>
      <c r="C1927" s="111">
        <v>318623</v>
      </c>
      <c r="D1927" s="111" t="s">
        <v>767</v>
      </c>
      <c r="E1927" s="111" t="s">
        <v>448</v>
      </c>
      <c r="F1927" s="265">
        <v>42368</v>
      </c>
      <c r="G1927" s="265">
        <v>42375</v>
      </c>
      <c r="H1927" s="266">
        <f t="shared" si="161"/>
        <v>871.37</v>
      </c>
      <c r="I1927" s="266">
        <f t="shared" si="162"/>
        <v>0</v>
      </c>
      <c r="J1927" s="266">
        <v>1</v>
      </c>
      <c r="K1927" s="266">
        <f t="shared" si="163"/>
        <v>8.7137000000000011</v>
      </c>
      <c r="L1927" s="312">
        <f t="shared" si="164"/>
        <v>7</v>
      </c>
      <c r="M1927" s="263"/>
      <c r="N1927" s="263"/>
      <c r="O1927" s="263"/>
      <c r="P1927" s="263"/>
      <c r="Q1927" s="263"/>
      <c r="R1927" s="263"/>
      <c r="S1927" s="263"/>
      <c r="T1927" s="263"/>
      <c r="U1927" s="263"/>
      <c r="V1927" s="29">
        <v>871.37</v>
      </c>
      <c r="W1927" s="29">
        <v>0</v>
      </c>
      <c r="X1927" s="292">
        <v>156.85</v>
      </c>
      <c r="Y1927" s="29">
        <v>1028.22</v>
      </c>
      <c r="Z1927" s="29">
        <v>0</v>
      </c>
      <c r="AA1927" s="29">
        <v>1</v>
      </c>
      <c r="AB1927" s="29">
        <v>10.2822</v>
      </c>
    </row>
    <row r="1928" spans="1:28">
      <c r="A1928" s="29">
        <v>68</v>
      </c>
      <c r="B1928" s="111">
        <v>1</v>
      </c>
      <c r="C1928" s="111">
        <v>318622</v>
      </c>
      <c r="D1928" s="111" t="s">
        <v>767</v>
      </c>
      <c r="E1928" s="111" t="s">
        <v>448</v>
      </c>
      <c r="F1928" s="265">
        <v>42368</v>
      </c>
      <c r="G1928" s="265">
        <v>42375</v>
      </c>
      <c r="H1928" s="266">
        <f t="shared" si="161"/>
        <v>871.37</v>
      </c>
      <c r="I1928" s="266">
        <f t="shared" si="162"/>
        <v>0</v>
      </c>
      <c r="J1928" s="266">
        <v>1</v>
      </c>
      <c r="K1928" s="266">
        <f t="shared" si="163"/>
        <v>8.7137000000000011</v>
      </c>
      <c r="L1928" s="312">
        <f t="shared" si="164"/>
        <v>7</v>
      </c>
      <c r="M1928" s="263"/>
      <c r="N1928" s="263"/>
      <c r="O1928" s="263"/>
      <c r="P1928" s="263"/>
      <c r="Q1928" s="263"/>
      <c r="R1928" s="263"/>
      <c r="S1928" s="263"/>
      <c r="T1928" s="263"/>
      <c r="U1928" s="263"/>
      <c r="V1928" s="29">
        <v>871.37</v>
      </c>
      <c r="W1928" s="29">
        <v>0</v>
      </c>
      <c r="X1928" s="292">
        <v>156.85</v>
      </c>
      <c r="Y1928" s="29">
        <v>1028.22</v>
      </c>
      <c r="Z1928" s="29">
        <v>0</v>
      </c>
      <c r="AA1928" s="29">
        <v>1</v>
      </c>
      <c r="AB1928" s="29">
        <v>10.2822</v>
      </c>
    </row>
    <row r="1929" spans="1:28">
      <c r="A1929" s="29">
        <v>69</v>
      </c>
      <c r="B1929" s="111">
        <v>1</v>
      </c>
      <c r="C1929" s="111">
        <v>318643</v>
      </c>
      <c r="D1929" s="111" t="s">
        <v>772</v>
      </c>
      <c r="E1929" s="111" t="s">
        <v>448</v>
      </c>
      <c r="F1929" s="265">
        <v>42368</v>
      </c>
      <c r="G1929" s="265">
        <v>42383</v>
      </c>
      <c r="H1929" s="266">
        <f t="shared" si="161"/>
        <v>2915.21</v>
      </c>
      <c r="I1929" s="266">
        <f t="shared" si="162"/>
        <v>0</v>
      </c>
      <c r="J1929" s="266">
        <v>0.5</v>
      </c>
      <c r="K1929" s="266">
        <f t="shared" si="163"/>
        <v>14.57605</v>
      </c>
      <c r="L1929" s="312">
        <f t="shared" si="164"/>
        <v>15</v>
      </c>
      <c r="M1929" s="263"/>
      <c r="N1929" s="263"/>
      <c r="O1929" s="263"/>
      <c r="P1929" s="263"/>
      <c r="Q1929" s="263"/>
      <c r="R1929" s="263"/>
      <c r="S1929" s="263"/>
      <c r="T1929" s="263"/>
      <c r="U1929" s="263"/>
      <c r="V1929" s="29">
        <v>2915.21</v>
      </c>
      <c r="W1929" s="29">
        <v>0</v>
      </c>
      <c r="X1929" s="292">
        <v>524.74</v>
      </c>
      <c r="Y1929" s="29">
        <v>3439.95</v>
      </c>
      <c r="Z1929" s="29">
        <v>0</v>
      </c>
      <c r="AA1929" s="29">
        <v>1</v>
      </c>
      <c r="AB1929" s="29">
        <v>34.399500000000003</v>
      </c>
    </row>
    <row r="1930" spans="1:28">
      <c r="A1930" s="29">
        <v>70</v>
      </c>
      <c r="B1930" s="111">
        <v>1</v>
      </c>
      <c r="C1930" s="111">
        <v>318740</v>
      </c>
      <c r="D1930" s="111" t="s">
        <v>758</v>
      </c>
      <c r="E1930" s="111" t="s">
        <v>448</v>
      </c>
      <c r="F1930" s="265">
        <v>42369</v>
      </c>
      <c r="G1930" s="265">
        <v>42399</v>
      </c>
      <c r="H1930" s="266">
        <f t="shared" si="161"/>
        <v>4467.6899999999996</v>
      </c>
      <c r="I1930" s="266">
        <f t="shared" si="162"/>
        <v>0</v>
      </c>
      <c r="J1930" s="266">
        <v>1</v>
      </c>
      <c r="K1930" s="266">
        <f t="shared" si="163"/>
        <v>44.676899999999996</v>
      </c>
      <c r="L1930" s="312">
        <f t="shared" si="164"/>
        <v>30</v>
      </c>
      <c r="M1930" s="263"/>
      <c r="N1930" s="263"/>
      <c r="O1930" s="263"/>
      <c r="P1930" s="263"/>
      <c r="Q1930" s="263"/>
      <c r="R1930" s="263"/>
      <c r="S1930" s="263"/>
      <c r="T1930" s="263"/>
      <c r="U1930" s="263"/>
      <c r="V1930" s="29">
        <v>4467.6899999999996</v>
      </c>
      <c r="W1930" s="29">
        <v>0</v>
      </c>
      <c r="X1930" s="292">
        <v>804.18</v>
      </c>
      <c r="Y1930" s="29">
        <v>5271.87</v>
      </c>
      <c r="Z1930" s="29">
        <v>0</v>
      </c>
      <c r="AA1930" s="29">
        <v>1</v>
      </c>
      <c r="AB1930" s="29">
        <v>52.718699999999998</v>
      </c>
    </row>
    <row r="1931" spans="1:28">
      <c r="A1931" s="29">
        <v>71</v>
      </c>
      <c r="B1931" s="111">
        <v>1</v>
      </c>
      <c r="C1931" s="111">
        <v>318741</v>
      </c>
      <c r="D1931" s="111" t="s">
        <v>758</v>
      </c>
      <c r="E1931" s="111" t="s">
        <v>448</v>
      </c>
      <c r="F1931" s="265">
        <v>42369</v>
      </c>
      <c r="G1931" s="265">
        <v>42399</v>
      </c>
      <c r="H1931" s="266">
        <f t="shared" si="161"/>
        <v>1885.56</v>
      </c>
      <c r="I1931" s="266">
        <f t="shared" si="162"/>
        <v>0</v>
      </c>
      <c r="J1931" s="266">
        <v>1</v>
      </c>
      <c r="K1931" s="266">
        <f t="shared" si="163"/>
        <v>18.855599999999999</v>
      </c>
      <c r="L1931" s="312">
        <f t="shared" si="164"/>
        <v>30</v>
      </c>
      <c r="M1931" s="263"/>
      <c r="N1931" s="263"/>
      <c r="O1931" s="263"/>
      <c r="P1931" s="263"/>
      <c r="Q1931" s="263"/>
      <c r="R1931" s="263"/>
      <c r="S1931" s="263"/>
      <c r="T1931" s="263"/>
      <c r="U1931" s="263"/>
      <c r="V1931" s="29">
        <v>1885.56</v>
      </c>
      <c r="W1931" s="29">
        <v>0</v>
      </c>
      <c r="X1931" s="292">
        <v>339.4</v>
      </c>
      <c r="Y1931" s="29">
        <v>2224.96</v>
      </c>
      <c r="Z1931" s="29">
        <v>0</v>
      </c>
      <c r="AA1931" s="29">
        <v>1</v>
      </c>
      <c r="AB1931" s="29">
        <v>22.249600000000001</v>
      </c>
    </row>
    <row r="1932" spans="1:28">
      <c r="A1932" s="29">
        <v>72</v>
      </c>
      <c r="B1932" s="111">
        <v>1</v>
      </c>
      <c r="C1932" s="111">
        <v>318742</v>
      </c>
      <c r="D1932" s="111" t="s">
        <v>758</v>
      </c>
      <c r="E1932" s="111" t="s">
        <v>448</v>
      </c>
      <c r="F1932" s="265">
        <v>42369</v>
      </c>
      <c r="G1932" s="265">
        <v>42399</v>
      </c>
      <c r="H1932" s="266">
        <f t="shared" si="161"/>
        <v>4102.97</v>
      </c>
      <c r="I1932" s="266">
        <f t="shared" si="162"/>
        <v>0</v>
      </c>
      <c r="J1932" s="266">
        <v>1</v>
      </c>
      <c r="K1932" s="266">
        <f t="shared" si="163"/>
        <v>41.029700000000005</v>
      </c>
      <c r="L1932" s="312">
        <f t="shared" si="164"/>
        <v>30</v>
      </c>
      <c r="M1932" s="263"/>
      <c r="N1932" s="263"/>
      <c r="O1932" s="263"/>
      <c r="P1932" s="263"/>
      <c r="Q1932" s="263"/>
      <c r="R1932" s="263"/>
      <c r="S1932" s="263"/>
      <c r="T1932" s="263"/>
      <c r="U1932" s="263"/>
      <c r="V1932" s="29">
        <v>4102.97</v>
      </c>
      <c r="W1932" s="29">
        <v>0</v>
      </c>
      <c r="X1932" s="292">
        <v>738.53</v>
      </c>
      <c r="Y1932" s="29">
        <v>4841.5</v>
      </c>
      <c r="Z1932" s="29">
        <v>0</v>
      </c>
      <c r="AA1932" s="29">
        <v>1</v>
      </c>
      <c r="AB1932" s="29">
        <v>48.414999999999999</v>
      </c>
    </row>
    <row r="1933" spans="1:28">
      <c r="A1933" s="29">
        <v>73</v>
      </c>
      <c r="B1933" s="111">
        <v>1</v>
      </c>
      <c r="C1933" s="111">
        <v>318743</v>
      </c>
      <c r="D1933" s="111" t="s">
        <v>758</v>
      </c>
      <c r="E1933" s="111" t="s">
        <v>448</v>
      </c>
      <c r="F1933" s="265">
        <v>42369</v>
      </c>
      <c r="G1933" s="265">
        <v>42399</v>
      </c>
      <c r="H1933" s="266">
        <f t="shared" si="161"/>
        <v>12422.27</v>
      </c>
      <c r="I1933" s="266">
        <f t="shared" si="162"/>
        <v>0</v>
      </c>
      <c r="J1933" s="266">
        <v>1</v>
      </c>
      <c r="K1933" s="266">
        <f t="shared" si="163"/>
        <v>124.2227</v>
      </c>
      <c r="L1933" s="312">
        <f t="shared" si="164"/>
        <v>30</v>
      </c>
      <c r="M1933" s="263"/>
      <c r="N1933" s="263"/>
      <c r="O1933" s="263"/>
      <c r="P1933" s="263"/>
      <c r="Q1933" s="263"/>
      <c r="R1933" s="263"/>
      <c r="S1933" s="263"/>
      <c r="T1933" s="263"/>
      <c r="U1933" s="263"/>
      <c r="V1933" s="29">
        <v>12422.27</v>
      </c>
      <c r="W1933" s="29">
        <v>0</v>
      </c>
      <c r="X1933" s="292">
        <v>2236.0100000000002</v>
      </c>
      <c r="Y1933" s="29">
        <v>14658.28</v>
      </c>
      <c r="Z1933" s="29">
        <v>0</v>
      </c>
      <c r="AA1933" s="29">
        <v>1</v>
      </c>
      <c r="AB1933" s="29">
        <v>146.58279999999999</v>
      </c>
    </row>
    <row r="1934" spans="1:28">
      <c r="A1934" s="29">
        <v>74</v>
      </c>
      <c r="B1934" s="111">
        <v>1</v>
      </c>
      <c r="C1934" s="111">
        <v>318886</v>
      </c>
      <c r="D1934" s="111" t="s">
        <v>761</v>
      </c>
      <c r="E1934" s="111" t="s">
        <v>448</v>
      </c>
      <c r="F1934" s="265">
        <v>42373</v>
      </c>
      <c r="G1934" s="265">
        <v>42381</v>
      </c>
      <c r="H1934" s="266">
        <f t="shared" si="161"/>
        <v>29371.439999999999</v>
      </c>
      <c r="I1934" s="266">
        <f t="shared" si="162"/>
        <v>0</v>
      </c>
      <c r="J1934" s="266">
        <v>0.5</v>
      </c>
      <c r="K1934" s="266">
        <v>172</v>
      </c>
      <c r="L1934" s="312">
        <f t="shared" si="164"/>
        <v>8</v>
      </c>
      <c r="M1934" s="263"/>
      <c r="N1934" s="263"/>
      <c r="O1934" s="263"/>
      <c r="P1934" s="263"/>
      <c r="Q1934" s="263"/>
      <c r="R1934" s="263"/>
      <c r="S1934" s="263"/>
      <c r="T1934" s="263"/>
      <c r="U1934" s="263"/>
      <c r="V1934" s="29">
        <v>29371.439999999999</v>
      </c>
      <c r="W1934" s="29">
        <v>0</v>
      </c>
      <c r="X1934" s="292">
        <v>5286.86</v>
      </c>
      <c r="Y1934" s="29">
        <v>34658.300000000003</v>
      </c>
      <c r="Z1934" s="29">
        <v>0</v>
      </c>
      <c r="AA1934" s="29">
        <v>1</v>
      </c>
      <c r="AB1934" s="29">
        <v>346.58300000000003</v>
      </c>
    </row>
    <row r="1935" spans="1:28">
      <c r="A1935" s="29">
        <v>75</v>
      </c>
      <c r="B1935" s="111">
        <v>1</v>
      </c>
      <c r="C1935" s="111">
        <v>318885</v>
      </c>
      <c r="D1935" s="111" t="s">
        <v>772</v>
      </c>
      <c r="E1935" s="111" t="s">
        <v>448</v>
      </c>
      <c r="F1935" s="265">
        <v>42373</v>
      </c>
      <c r="G1935" s="265">
        <v>42383</v>
      </c>
      <c r="H1935" s="266">
        <f t="shared" si="161"/>
        <v>17265.439999999999</v>
      </c>
      <c r="I1935" s="266">
        <f t="shared" si="162"/>
        <v>0</v>
      </c>
      <c r="J1935" s="266">
        <v>0.5</v>
      </c>
      <c r="K1935" s="266">
        <f>(H1935-I1935)*J1935%</f>
        <v>86.327199999999991</v>
      </c>
      <c r="L1935" s="312">
        <f t="shared" si="164"/>
        <v>10</v>
      </c>
      <c r="M1935" s="263"/>
      <c r="N1935" s="263"/>
      <c r="O1935" s="263"/>
      <c r="P1935" s="263"/>
      <c r="Q1935" s="263"/>
      <c r="R1935" s="263"/>
      <c r="S1935" s="263"/>
      <c r="T1935" s="263"/>
      <c r="U1935" s="263"/>
      <c r="V1935" s="29">
        <v>17265.439999999999</v>
      </c>
      <c r="W1935" s="29">
        <v>0</v>
      </c>
      <c r="X1935" s="292">
        <v>3107.78</v>
      </c>
      <c r="Y1935" s="29">
        <v>20373.22</v>
      </c>
      <c r="Z1935" s="29">
        <v>0</v>
      </c>
      <c r="AA1935" s="29">
        <v>1</v>
      </c>
      <c r="AB1935" s="29">
        <v>203.73220000000001</v>
      </c>
    </row>
    <row r="1936" spans="1:28">
      <c r="A1936" s="29">
        <v>76</v>
      </c>
      <c r="B1936" s="111">
        <v>1</v>
      </c>
      <c r="C1936" s="111">
        <v>318778</v>
      </c>
      <c r="D1936" s="111" t="s">
        <v>767</v>
      </c>
      <c r="E1936" s="111" t="s">
        <v>448</v>
      </c>
      <c r="F1936" s="265">
        <v>42369</v>
      </c>
      <c r="G1936" s="265">
        <v>42375</v>
      </c>
      <c r="H1936" s="266">
        <f t="shared" si="161"/>
        <v>871.36</v>
      </c>
      <c r="I1936" s="266">
        <f t="shared" si="162"/>
        <v>0</v>
      </c>
      <c r="J1936" s="266">
        <v>1</v>
      </c>
      <c r="K1936" s="266">
        <f>(H1936-I1936)*J1936%</f>
        <v>8.7135999999999996</v>
      </c>
      <c r="L1936" s="312">
        <f t="shared" si="164"/>
        <v>6</v>
      </c>
      <c r="M1936" s="263"/>
      <c r="N1936" s="263"/>
      <c r="O1936" s="263"/>
      <c r="P1936" s="263"/>
      <c r="Q1936" s="263"/>
      <c r="R1936" s="263"/>
      <c r="S1936" s="263"/>
      <c r="T1936" s="263"/>
      <c r="U1936" s="263"/>
      <c r="V1936" s="29">
        <v>871.36</v>
      </c>
      <c r="W1936" s="29">
        <v>0</v>
      </c>
      <c r="X1936" s="292">
        <v>156.84</v>
      </c>
      <c r="Y1936" s="29">
        <v>1028.2</v>
      </c>
      <c r="Z1936" s="29">
        <v>0</v>
      </c>
      <c r="AA1936" s="29">
        <v>1</v>
      </c>
      <c r="AB1936" s="29">
        <v>10.282</v>
      </c>
    </row>
    <row r="1937" spans="1:28">
      <c r="A1937" s="29">
        <v>77</v>
      </c>
      <c r="B1937" s="111">
        <v>1</v>
      </c>
      <c r="C1937" s="111">
        <v>318777</v>
      </c>
      <c r="D1937" s="111" t="s">
        <v>767</v>
      </c>
      <c r="E1937" s="111" t="s">
        <v>448</v>
      </c>
      <c r="F1937" s="265">
        <v>42369</v>
      </c>
      <c r="G1937" s="265">
        <v>42375</v>
      </c>
      <c r="H1937" s="266">
        <f t="shared" si="161"/>
        <v>871.37</v>
      </c>
      <c r="I1937" s="266">
        <f t="shared" si="162"/>
        <v>0</v>
      </c>
      <c r="J1937" s="266">
        <v>1</v>
      </c>
      <c r="K1937" s="266">
        <f>(H1937-I1937)*J1937%</f>
        <v>8.7137000000000011</v>
      </c>
      <c r="L1937" s="312">
        <f t="shared" si="164"/>
        <v>6</v>
      </c>
      <c r="M1937" s="263"/>
      <c r="N1937" s="263"/>
      <c r="O1937" s="263"/>
      <c r="P1937" s="263"/>
      <c r="Q1937" s="263"/>
      <c r="R1937" s="263"/>
      <c r="S1937" s="263"/>
      <c r="T1937" s="263"/>
      <c r="U1937" s="263"/>
      <c r="V1937" s="29">
        <v>871.37</v>
      </c>
      <c r="W1937" s="29">
        <v>0</v>
      </c>
      <c r="X1937" s="292">
        <v>156.85</v>
      </c>
      <c r="Y1937" s="29">
        <v>1028.22</v>
      </c>
      <c r="Z1937" s="29">
        <v>0</v>
      </c>
      <c r="AA1937" s="29">
        <v>1</v>
      </c>
      <c r="AB1937" s="29">
        <v>10.2822</v>
      </c>
    </row>
    <row r="1938" spans="1:28">
      <c r="A1938" s="29">
        <v>78</v>
      </c>
      <c r="B1938" s="111">
        <v>1</v>
      </c>
      <c r="C1938" s="111">
        <v>318652</v>
      </c>
      <c r="D1938" s="111" t="s">
        <v>764</v>
      </c>
      <c r="E1938" s="111" t="s">
        <v>448</v>
      </c>
      <c r="F1938" s="265">
        <v>42368</v>
      </c>
      <c r="G1938" s="265">
        <v>42376</v>
      </c>
      <c r="H1938" s="266">
        <f t="shared" si="161"/>
        <v>16222.26</v>
      </c>
      <c r="I1938" s="266">
        <f t="shared" si="162"/>
        <v>0</v>
      </c>
      <c r="J1938" s="266">
        <v>0.5</v>
      </c>
      <c r="K1938" s="266">
        <v>98.53</v>
      </c>
      <c r="L1938" s="312">
        <f t="shared" si="164"/>
        <v>8</v>
      </c>
      <c r="M1938" s="263"/>
      <c r="N1938" s="263"/>
      <c r="O1938" s="263"/>
      <c r="P1938" s="263"/>
      <c r="Q1938" s="263"/>
      <c r="R1938" s="263"/>
      <c r="S1938" s="263"/>
      <c r="T1938" s="263"/>
      <c r="U1938" s="263"/>
      <c r="V1938" s="29">
        <v>16222.26</v>
      </c>
      <c r="W1938" s="29">
        <v>0</v>
      </c>
      <c r="X1938" s="292">
        <v>2920.01</v>
      </c>
      <c r="Y1938" s="29">
        <v>19142.27</v>
      </c>
      <c r="Z1938" s="29">
        <v>0</v>
      </c>
      <c r="AA1938" s="29">
        <v>1</v>
      </c>
      <c r="AB1938" s="29">
        <v>191.42269999999999</v>
      </c>
    </row>
    <row r="1939" spans="1:28">
      <c r="A1939" s="29">
        <v>79</v>
      </c>
      <c r="B1939" s="111">
        <v>1</v>
      </c>
      <c r="C1939" s="111">
        <v>319485</v>
      </c>
      <c r="D1939" s="111" t="s">
        <v>772</v>
      </c>
      <c r="E1939" s="111" t="s">
        <v>448</v>
      </c>
      <c r="F1939" s="265">
        <v>42382</v>
      </c>
      <c r="G1939" s="265">
        <v>42390</v>
      </c>
      <c r="H1939" s="266">
        <f t="shared" si="161"/>
        <v>12453.76</v>
      </c>
      <c r="I1939" s="266">
        <f t="shared" si="162"/>
        <v>0</v>
      </c>
      <c r="J1939" s="266">
        <v>0.5</v>
      </c>
      <c r="K1939" s="266">
        <f>(H1939-I1939)*J1939%</f>
        <v>62.268800000000006</v>
      </c>
      <c r="L1939" s="312">
        <f t="shared" si="164"/>
        <v>8</v>
      </c>
      <c r="M1939" s="263"/>
      <c r="N1939" s="263"/>
      <c r="O1939" s="263"/>
      <c r="P1939" s="263"/>
      <c r="Q1939" s="263"/>
      <c r="R1939" s="263"/>
      <c r="S1939" s="263"/>
      <c r="T1939" s="263"/>
      <c r="U1939" s="263"/>
      <c r="V1939" s="29">
        <v>12453.76</v>
      </c>
      <c r="W1939" s="29">
        <v>0</v>
      </c>
      <c r="X1939" s="292">
        <v>2241.6799999999998</v>
      </c>
      <c r="Y1939" s="29">
        <v>14695.44</v>
      </c>
      <c r="Z1939" s="29">
        <v>0</v>
      </c>
      <c r="AA1939" s="29">
        <v>1</v>
      </c>
      <c r="AB1939" s="29">
        <v>146.95439999999999</v>
      </c>
    </row>
    <row r="1940" spans="1:28">
      <c r="A1940" s="29">
        <v>80</v>
      </c>
      <c r="B1940" s="111">
        <v>1</v>
      </c>
      <c r="C1940" s="111">
        <v>319929</v>
      </c>
      <c r="D1940" s="111" t="s">
        <v>772</v>
      </c>
      <c r="E1940" s="111" t="s">
        <v>448</v>
      </c>
      <c r="F1940" s="265">
        <v>42388</v>
      </c>
      <c r="G1940" s="265">
        <v>42390</v>
      </c>
      <c r="H1940" s="266">
        <f t="shared" si="161"/>
        <v>10931.65</v>
      </c>
      <c r="I1940" s="266">
        <f t="shared" si="162"/>
        <v>0</v>
      </c>
      <c r="J1940" s="266">
        <v>0.5</v>
      </c>
      <c r="K1940" s="266">
        <f>(H1940-I1940)*J1940%</f>
        <v>54.658250000000002</v>
      </c>
      <c r="L1940" s="312">
        <f t="shared" si="164"/>
        <v>2</v>
      </c>
      <c r="M1940" s="263"/>
      <c r="N1940" s="263"/>
      <c r="O1940" s="263"/>
      <c r="P1940" s="263"/>
      <c r="Q1940" s="263"/>
      <c r="R1940" s="263"/>
      <c r="S1940" s="263"/>
      <c r="T1940" s="263"/>
      <c r="U1940" s="263"/>
      <c r="V1940" s="29">
        <v>10931.65</v>
      </c>
      <c r="W1940" s="29">
        <v>0</v>
      </c>
      <c r="X1940" s="292">
        <v>1967.7</v>
      </c>
      <c r="Y1940" s="29">
        <v>12899.35</v>
      </c>
      <c r="Z1940" s="29">
        <v>0</v>
      </c>
      <c r="AA1940" s="29">
        <v>1</v>
      </c>
      <c r="AB1940" s="29">
        <v>128.99350000000001</v>
      </c>
    </row>
    <row r="1941" spans="1:28">
      <c r="A1941" s="29">
        <v>81</v>
      </c>
      <c r="B1941" s="111">
        <v>1</v>
      </c>
      <c r="C1941" s="111">
        <v>320014</v>
      </c>
      <c r="D1941" s="111" t="s">
        <v>798</v>
      </c>
      <c r="E1941" s="111" t="s">
        <v>448</v>
      </c>
      <c r="F1941" s="265">
        <v>42389</v>
      </c>
      <c r="G1941" s="265">
        <v>42391</v>
      </c>
      <c r="H1941" s="266">
        <f t="shared" si="161"/>
        <v>419.17</v>
      </c>
      <c r="I1941" s="266">
        <f t="shared" si="162"/>
        <v>0</v>
      </c>
      <c r="J1941" s="266">
        <v>1</v>
      </c>
      <c r="K1941" s="266">
        <f>(H1941-I1941)*J1941%</f>
        <v>4.1917</v>
      </c>
      <c r="L1941" s="312">
        <f t="shared" si="164"/>
        <v>2</v>
      </c>
      <c r="M1941" s="263"/>
      <c r="N1941" s="263"/>
      <c r="O1941" s="263"/>
      <c r="P1941" s="263"/>
      <c r="Q1941" s="263"/>
      <c r="R1941" s="263"/>
      <c r="S1941" s="263"/>
      <c r="T1941" s="263"/>
      <c r="U1941" s="263"/>
      <c r="V1941" s="29">
        <v>419.17</v>
      </c>
      <c r="W1941" s="29">
        <v>0</v>
      </c>
      <c r="X1941" s="292">
        <v>75.45</v>
      </c>
      <c r="Y1941" s="29">
        <v>494.62</v>
      </c>
      <c r="Z1941" s="29">
        <v>0</v>
      </c>
      <c r="AA1941" s="29">
        <v>1</v>
      </c>
      <c r="AB1941" s="29">
        <v>4.9462000000000002</v>
      </c>
    </row>
    <row r="1942" spans="1:28">
      <c r="A1942" s="29">
        <v>82</v>
      </c>
      <c r="B1942" s="111">
        <v>1</v>
      </c>
      <c r="C1942" s="111">
        <v>320066</v>
      </c>
      <c r="D1942" s="111" t="s">
        <v>798</v>
      </c>
      <c r="E1942" s="111" t="s">
        <v>448</v>
      </c>
      <c r="F1942" s="265">
        <v>42390</v>
      </c>
      <c r="G1942" s="265">
        <v>42391</v>
      </c>
      <c r="H1942" s="266">
        <f t="shared" si="161"/>
        <v>89.07</v>
      </c>
      <c r="I1942" s="266">
        <f t="shared" si="162"/>
        <v>0</v>
      </c>
      <c r="J1942" s="266">
        <v>1</v>
      </c>
      <c r="K1942" s="266">
        <f>(H1942-I1942)*J1942%</f>
        <v>0.89069999999999994</v>
      </c>
      <c r="L1942" s="312">
        <f t="shared" si="164"/>
        <v>1</v>
      </c>
      <c r="M1942" s="263"/>
      <c r="N1942" s="263"/>
      <c r="O1942" s="263"/>
      <c r="P1942" s="263"/>
      <c r="Q1942" s="263"/>
      <c r="R1942" s="263"/>
      <c r="S1942" s="263"/>
      <c r="T1942" s="263"/>
      <c r="U1942" s="263"/>
      <c r="V1942" s="29">
        <v>89.07</v>
      </c>
      <c r="W1942" s="29">
        <v>0</v>
      </c>
      <c r="X1942" s="292">
        <v>16.03</v>
      </c>
      <c r="Y1942" s="29">
        <v>105.1</v>
      </c>
      <c r="Z1942" s="29">
        <v>0</v>
      </c>
      <c r="AA1942" s="29">
        <v>1</v>
      </c>
      <c r="AB1942" s="29">
        <v>1.0509999999999999</v>
      </c>
    </row>
    <row r="1943" spans="1:28">
      <c r="A1943" s="29">
        <v>83</v>
      </c>
      <c r="B1943" s="111">
        <v>1</v>
      </c>
      <c r="C1943" s="111">
        <v>320104</v>
      </c>
      <c r="D1943" s="111" t="s">
        <v>772</v>
      </c>
      <c r="E1943" s="111" t="s">
        <v>448</v>
      </c>
      <c r="F1943" s="265">
        <v>42390</v>
      </c>
      <c r="G1943" s="265">
        <v>42398</v>
      </c>
      <c r="H1943" s="266">
        <f t="shared" si="161"/>
        <v>31134.400000000001</v>
      </c>
      <c r="I1943" s="266">
        <f t="shared" si="162"/>
        <v>0</v>
      </c>
      <c r="J1943" s="266">
        <v>0.5</v>
      </c>
      <c r="K1943" s="266">
        <f>(H1943-I1943)*J1943%</f>
        <v>155.672</v>
      </c>
      <c r="L1943" s="312">
        <f t="shared" si="164"/>
        <v>8</v>
      </c>
      <c r="M1943" s="263"/>
      <c r="N1943" s="263"/>
      <c r="O1943" s="263"/>
      <c r="P1943" s="263"/>
      <c r="Q1943" s="263"/>
      <c r="R1943" s="263"/>
      <c r="S1943" s="263"/>
      <c r="T1943" s="263"/>
      <c r="U1943" s="263"/>
      <c r="V1943" s="29">
        <v>31134.400000000001</v>
      </c>
      <c r="W1943" s="29">
        <v>0</v>
      </c>
      <c r="X1943" s="292">
        <v>5604.19</v>
      </c>
      <c r="Y1943" s="29">
        <v>36738.589999999997</v>
      </c>
      <c r="Z1943" s="29">
        <v>0</v>
      </c>
      <c r="AA1943" s="29">
        <v>1</v>
      </c>
      <c r="AB1943" s="29">
        <v>367.38589999999999</v>
      </c>
    </row>
    <row r="1944" spans="1:28">
      <c r="G1944" s="268" t="s">
        <v>765</v>
      </c>
      <c r="H1944" s="269">
        <f>SUM(H1861:H1943)</f>
        <v>296882.45</v>
      </c>
      <c r="I1944" s="59"/>
      <c r="J1944" s="311" t="s">
        <v>383</v>
      </c>
      <c r="K1944" s="269">
        <f>SUM(K1861:K1943)</f>
        <v>2006.8206966101693</v>
      </c>
    </row>
    <row r="1948" spans="1:28" s="29" customFormat="1" ht="9">
      <c r="B1948" s="29">
        <v>1</v>
      </c>
      <c r="C1948" s="33">
        <v>311250</v>
      </c>
      <c r="D1948" s="29" t="s">
        <v>772</v>
      </c>
      <c r="E1948" s="29" t="s">
        <v>448</v>
      </c>
      <c r="F1948" s="263">
        <v>42271</v>
      </c>
      <c r="G1948" s="263">
        <v>42390</v>
      </c>
      <c r="H1948" s="29">
        <v>12204</v>
      </c>
      <c r="Q1948" s="29">
        <v>0</v>
      </c>
      <c r="R1948" s="292">
        <v>2196.7199999999998</v>
      </c>
      <c r="S1948" s="29">
        <v>14400.72</v>
      </c>
      <c r="T1948" s="29">
        <v>0</v>
      </c>
      <c r="U1948" s="29">
        <v>1</v>
      </c>
      <c r="V1948" s="29">
        <v>144.00720000000001</v>
      </c>
      <c r="W1948" s="29">
        <v>12520</v>
      </c>
      <c r="X1948" s="29">
        <v>980809</v>
      </c>
    </row>
    <row r="1949" spans="1:28" s="29" customFormat="1" ht="9">
      <c r="B1949" s="29">
        <v>1</v>
      </c>
      <c r="C1949" s="33">
        <v>311250</v>
      </c>
      <c r="D1949" s="29" t="s">
        <v>772</v>
      </c>
      <c r="E1949" s="29" t="s">
        <v>448</v>
      </c>
      <c r="F1949" s="263">
        <v>42271</v>
      </c>
      <c r="G1949" s="263">
        <v>42390</v>
      </c>
      <c r="H1949" s="29">
        <v>12204</v>
      </c>
      <c r="Q1949" s="29">
        <v>0</v>
      </c>
      <c r="R1949" s="292">
        <v>2196.7199999999998</v>
      </c>
      <c r="S1949" s="29">
        <v>14400.72</v>
      </c>
      <c r="T1949" s="29">
        <v>0</v>
      </c>
      <c r="U1949" s="29">
        <v>1</v>
      </c>
      <c r="V1949" s="29">
        <v>144.00720000000001</v>
      </c>
      <c r="W1949" s="29">
        <v>12520</v>
      </c>
      <c r="X1949" s="29">
        <v>980809</v>
      </c>
    </row>
    <row r="1950" spans="1:28" s="29" customFormat="1" ht="9">
      <c r="B1950" s="29">
        <v>1</v>
      </c>
      <c r="C1950" s="33">
        <v>311250</v>
      </c>
      <c r="D1950" s="29" t="s">
        <v>772</v>
      </c>
      <c r="E1950" s="29" t="s">
        <v>448</v>
      </c>
      <c r="F1950" s="263">
        <v>42271</v>
      </c>
      <c r="G1950" s="263">
        <v>42390</v>
      </c>
      <c r="H1950" s="29">
        <v>12204</v>
      </c>
      <c r="Q1950" s="29">
        <v>0</v>
      </c>
      <c r="R1950" s="292">
        <v>2196.7199999999998</v>
      </c>
      <c r="S1950" s="29">
        <v>14400.72</v>
      </c>
      <c r="T1950" s="29">
        <v>0</v>
      </c>
      <c r="U1950" s="29">
        <v>1</v>
      </c>
      <c r="V1950" s="29">
        <v>144.00720000000001</v>
      </c>
      <c r="W1950" s="29">
        <v>12520</v>
      </c>
      <c r="X1950" s="29">
        <v>980809</v>
      </c>
    </row>
    <row r="1951" spans="1:28" s="29" customFormat="1" ht="9">
      <c r="B1951" s="29">
        <v>1</v>
      </c>
      <c r="C1951" s="33">
        <v>311250</v>
      </c>
      <c r="D1951" s="29" t="s">
        <v>772</v>
      </c>
      <c r="E1951" s="29" t="s">
        <v>448</v>
      </c>
      <c r="F1951" s="263">
        <v>42271</v>
      </c>
      <c r="G1951" s="263">
        <v>42390</v>
      </c>
      <c r="H1951" s="29">
        <v>12204</v>
      </c>
      <c r="Q1951" s="29">
        <v>0</v>
      </c>
      <c r="R1951" s="292">
        <v>2196.7199999999998</v>
      </c>
      <c r="S1951" s="29">
        <v>14400.72</v>
      </c>
      <c r="T1951" s="29">
        <v>0</v>
      </c>
      <c r="U1951" s="29">
        <v>1</v>
      </c>
      <c r="V1951" s="29">
        <v>144.00720000000001</v>
      </c>
      <c r="W1951" s="29">
        <v>12519</v>
      </c>
      <c r="X1951" s="29">
        <v>980809</v>
      </c>
    </row>
    <row r="1952" spans="1:28" s="29" customFormat="1" ht="9">
      <c r="B1952" s="29">
        <v>1</v>
      </c>
      <c r="C1952" s="29">
        <v>314606</v>
      </c>
      <c r="D1952" s="29" t="s">
        <v>772</v>
      </c>
      <c r="E1952" s="29" t="s">
        <v>448</v>
      </c>
      <c r="F1952" s="263">
        <v>42308</v>
      </c>
      <c r="G1952" s="263">
        <v>42398</v>
      </c>
      <c r="H1952" s="29">
        <v>19682.34</v>
      </c>
      <c r="Q1952" s="29">
        <v>0</v>
      </c>
      <c r="R1952" s="292">
        <v>3542.82</v>
      </c>
      <c r="S1952" s="29">
        <v>23225.16</v>
      </c>
      <c r="T1952" s="29">
        <v>0</v>
      </c>
      <c r="U1952" s="29">
        <v>1</v>
      </c>
      <c r="V1952" s="29">
        <v>232.2516</v>
      </c>
      <c r="W1952" s="29">
        <v>12520</v>
      </c>
      <c r="X1952" s="29">
        <v>985345</v>
      </c>
    </row>
    <row r="1953" spans="2:24" s="29" customFormat="1" ht="9">
      <c r="B1953" s="29">
        <v>1</v>
      </c>
      <c r="C1953" s="29">
        <v>314606</v>
      </c>
      <c r="D1953" s="29" t="s">
        <v>772</v>
      </c>
      <c r="E1953" s="29" t="s">
        <v>448</v>
      </c>
      <c r="F1953" s="263">
        <v>42308</v>
      </c>
      <c r="G1953" s="263">
        <v>42398</v>
      </c>
      <c r="H1953" s="29">
        <v>19682.34</v>
      </c>
      <c r="Q1953" s="29">
        <v>0</v>
      </c>
      <c r="R1953" s="292">
        <v>3542.82</v>
      </c>
      <c r="S1953" s="29">
        <v>23225.16</v>
      </c>
      <c r="T1953" s="29">
        <v>0</v>
      </c>
      <c r="U1953" s="29">
        <v>1</v>
      </c>
      <c r="V1953" s="29">
        <v>232.2516</v>
      </c>
      <c r="W1953" s="29">
        <v>12520</v>
      </c>
      <c r="X1953" s="29">
        <v>985345</v>
      </c>
    </row>
    <row r="1954" spans="2:24" s="29" customFormat="1" ht="9">
      <c r="B1954" s="29">
        <v>1</v>
      </c>
      <c r="C1954" s="29">
        <v>314606</v>
      </c>
      <c r="D1954" s="29" t="s">
        <v>772</v>
      </c>
      <c r="E1954" s="29" t="s">
        <v>448</v>
      </c>
      <c r="F1954" s="263">
        <v>42308</v>
      </c>
      <c r="G1954" s="263">
        <v>42398</v>
      </c>
      <c r="H1954" s="29">
        <v>19682.34</v>
      </c>
      <c r="Q1954" s="29">
        <v>0</v>
      </c>
      <c r="R1954" s="292">
        <v>3542.82</v>
      </c>
      <c r="S1954" s="29">
        <v>23225.16</v>
      </c>
      <c r="T1954" s="29">
        <v>0</v>
      </c>
      <c r="U1954" s="29">
        <v>1</v>
      </c>
      <c r="V1954" s="29">
        <v>232.2516</v>
      </c>
      <c r="W1954" s="29">
        <v>12519</v>
      </c>
      <c r="X1954" s="29">
        <v>985345</v>
      </c>
    </row>
    <row r="1955" spans="2:24" s="29" customFormat="1" ht="9">
      <c r="B1955" s="29">
        <v>1</v>
      </c>
      <c r="C1955" s="33">
        <v>318643</v>
      </c>
      <c r="D1955" s="29" t="s">
        <v>772</v>
      </c>
      <c r="E1955" s="29" t="s">
        <v>448</v>
      </c>
      <c r="F1955" s="263">
        <v>42368</v>
      </c>
      <c r="G1955" s="263">
        <v>42383</v>
      </c>
      <c r="H1955" s="29">
        <v>2915.21</v>
      </c>
      <c r="Q1955" s="29">
        <v>0</v>
      </c>
      <c r="R1955" s="292">
        <v>524.74</v>
      </c>
      <c r="S1955" s="29">
        <v>3439.95</v>
      </c>
      <c r="T1955" s="29">
        <v>0</v>
      </c>
      <c r="U1955" s="29">
        <v>1</v>
      </c>
      <c r="V1955" s="29">
        <v>34.399500000000003</v>
      </c>
      <c r="W1955" s="29">
        <v>12520</v>
      </c>
      <c r="X1955" s="29">
        <v>991949</v>
      </c>
    </row>
    <row r="1956" spans="2:24">
      <c r="B1956" s="29">
        <v>1</v>
      </c>
      <c r="C1956" s="29">
        <v>318652</v>
      </c>
      <c r="D1956" s="29" t="s">
        <v>764</v>
      </c>
      <c r="E1956" s="29" t="s">
        <v>448</v>
      </c>
      <c r="F1956" s="263">
        <v>42368</v>
      </c>
      <c r="G1956" s="263">
        <v>42376</v>
      </c>
      <c r="H1956" s="29">
        <v>16222.26</v>
      </c>
      <c r="J1956" s="122">
        <v>3485.46</v>
      </c>
      <c r="K1956" s="29">
        <f>H1956-J1956</f>
        <v>12736.8</v>
      </c>
      <c r="L1956" s="29">
        <f>K1956*0.5%</f>
        <v>63.683999999999997</v>
      </c>
      <c r="Q1956" s="29">
        <v>0</v>
      </c>
      <c r="R1956" s="292">
        <v>2920.01</v>
      </c>
      <c r="S1956" s="29">
        <v>19142.27</v>
      </c>
      <c r="T1956" s="29">
        <v>0</v>
      </c>
      <c r="U1956" s="29">
        <v>1</v>
      </c>
      <c r="V1956" s="29">
        <v>191.42269999999999</v>
      </c>
      <c r="W1956" s="29">
        <v>12520</v>
      </c>
      <c r="X1956" s="29">
        <v>991950</v>
      </c>
    </row>
    <row r="1957" spans="2:24" s="29" customFormat="1" ht="9">
      <c r="B1957" s="29">
        <v>1</v>
      </c>
      <c r="C1957" s="29">
        <v>318652</v>
      </c>
      <c r="D1957" s="29" t="s">
        <v>764</v>
      </c>
      <c r="E1957" s="29" t="s">
        <v>448</v>
      </c>
      <c r="F1957" s="263">
        <v>42368</v>
      </c>
      <c r="G1957" s="263">
        <v>42376</v>
      </c>
      <c r="H1957" s="29">
        <v>16222.26</v>
      </c>
      <c r="K1957" s="29">
        <f>J1956*1%</f>
        <v>34.854599999999998</v>
      </c>
      <c r="L1957" s="29">
        <f>L1956+K1957</f>
        <v>98.538600000000002</v>
      </c>
      <c r="Q1957" s="29">
        <v>0</v>
      </c>
      <c r="R1957" s="292">
        <v>2920.01</v>
      </c>
      <c r="S1957" s="29">
        <v>19142.27</v>
      </c>
      <c r="T1957" s="29">
        <v>0</v>
      </c>
      <c r="U1957" s="29">
        <v>1</v>
      </c>
      <c r="V1957" s="29">
        <v>191.42269999999999</v>
      </c>
      <c r="W1957" s="29">
        <v>12519</v>
      </c>
      <c r="X1957" s="29">
        <v>991950</v>
      </c>
    </row>
    <row r="1958" spans="2:24" s="29" customFormat="1" ht="9">
      <c r="B1958" s="29">
        <v>1</v>
      </c>
      <c r="C1958" s="33">
        <v>318885</v>
      </c>
      <c r="D1958" s="29" t="s">
        <v>772</v>
      </c>
      <c r="E1958" s="29" t="s">
        <v>448</v>
      </c>
      <c r="F1958" s="263">
        <v>42373</v>
      </c>
      <c r="G1958" s="263">
        <v>42383</v>
      </c>
      <c r="H1958" s="29">
        <v>17265.439999999999</v>
      </c>
      <c r="Q1958" s="29">
        <v>0</v>
      </c>
      <c r="R1958" s="292">
        <v>3107.78</v>
      </c>
      <c r="S1958" s="29">
        <v>20373.22</v>
      </c>
      <c r="T1958" s="29">
        <v>0</v>
      </c>
      <c r="U1958" s="29">
        <v>1</v>
      </c>
      <c r="V1958" s="29">
        <v>203.73220000000001</v>
      </c>
      <c r="W1958" s="29">
        <v>12520</v>
      </c>
      <c r="X1958" s="29">
        <v>992249</v>
      </c>
    </row>
    <row r="1959" spans="2:24" s="29" customFormat="1" ht="9">
      <c r="B1959" s="29">
        <v>1</v>
      </c>
      <c r="C1959" s="33">
        <v>318885</v>
      </c>
      <c r="D1959" s="29" t="s">
        <v>772</v>
      </c>
      <c r="E1959" s="29" t="s">
        <v>448</v>
      </c>
      <c r="F1959" s="263">
        <v>42373</v>
      </c>
      <c r="G1959" s="263">
        <v>42383</v>
      </c>
      <c r="H1959" s="29">
        <v>17265.439999999999</v>
      </c>
      <c r="Q1959" s="29">
        <v>0</v>
      </c>
      <c r="R1959" s="292">
        <v>3107.78</v>
      </c>
      <c r="S1959" s="29">
        <v>20373.22</v>
      </c>
      <c r="T1959" s="29">
        <v>0</v>
      </c>
      <c r="U1959" s="29">
        <v>1</v>
      </c>
      <c r="V1959" s="29">
        <v>203.73220000000001</v>
      </c>
      <c r="W1959" s="29">
        <v>12520</v>
      </c>
      <c r="X1959" s="29">
        <v>992249</v>
      </c>
    </row>
    <row r="1960" spans="2:24" s="29" customFormat="1" ht="9">
      <c r="B1960" s="29">
        <v>1</v>
      </c>
      <c r="C1960" s="33">
        <v>318885</v>
      </c>
      <c r="D1960" s="29" t="s">
        <v>772</v>
      </c>
      <c r="E1960" s="29" t="s">
        <v>448</v>
      </c>
      <c r="F1960" s="263">
        <v>42373</v>
      </c>
      <c r="G1960" s="263">
        <v>42383</v>
      </c>
      <c r="H1960" s="29">
        <v>17265.439999999999</v>
      </c>
      <c r="Q1960" s="29">
        <v>0</v>
      </c>
      <c r="R1960" s="292">
        <v>3107.78</v>
      </c>
      <c r="S1960" s="29">
        <v>20373.22</v>
      </c>
      <c r="T1960" s="29">
        <v>0</v>
      </c>
      <c r="U1960" s="29">
        <v>1</v>
      </c>
      <c r="V1960" s="29">
        <v>203.73220000000001</v>
      </c>
      <c r="W1960" s="29">
        <v>12519</v>
      </c>
      <c r="X1960" s="29">
        <v>992249</v>
      </c>
    </row>
    <row r="1961" spans="2:24" s="29" customFormat="1" ht="9">
      <c r="B1961" s="29">
        <v>1</v>
      </c>
      <c r="C1961" s="29">
        <v>318886</v>
      </c>
      <c r="D1961" s="29" t="s">
        <v>761</v>
      </c>
      <c r="E1961" s="29" t="s">
        <v>448</v>
      </c>
      <c r="F1961" s="263">
        <v>42373</v>
      </c>
      <c r="G1961" s="263">
        <v>42381</v>
      </c>
      <c r="H1961" s="29">
        <v>29371.439999999999</v>
      </c>
      <c r="Q1961" s="29">
        <v>0</v>
      </c>
      <c r="R1961" s="292">
        <v>5286.86</v>
      </c>
      <c r="S1961" s="29">
        <v>34658.300000000003</v>
      </c>
      <c r="T1961" s="29">
        <v>0</v>
      </c>
      <c r="U1961" s="29">
        <v>1</v>
      </c>
      <c r="V1961" s="29">
        <v>346.58300000000003</v>
      </c>
      <c r="W1961" s="29">
        <v>12520</v>
      </c>
      <c r="X1961" s="29">
        <v>992250</v>
      </c>
    </row>
    <row r="1962" spans="2:24">
      <c r="B1962" s="29">
        <v>1</v>
      </c>
      <c r="C1962" s="29">
        <v>318886</v>
      </c>
      <c r="D1962" s="29" t="s">
        <v>761</v>
      </c>
      <c r="E1962" s="29" t="s">
        <v>448</v>
      </c>
      <c r="F1962" s="263">
        <v>42373</v>
      </c>
      <c r="G1962" s="263">
        <v>42381</v>
      </c>
      <c r="H1962" s="29">
        <v>29371.439999999999</v>
      </c>
      <c r="J1962" s="122">
        <v>5030</v>
      </c>
      <c r="K1962" s="29">
        <f>H1962-J1962</f>
        <v>24341.439999999999</v>
      </c>
      <c r="L1962" s="29">
        <f>K1962*0.5%</f>
        <v>121.7072</v>
      </c>
      <c r="Q1962" s="29">
        <v>0</v>
      </c>
      <c r="R1962" s="292">
        <v>5286.86</v>
      </c>
      <c r="S1962" s="29">
        <v>34658.300000000003</v>
      </c>
      <c r="T1962" s="29">
        <v>0</v>
      </c>
      <c r="U1962" s="29">
        <v>1</v>
      </c>
      <c r="V1962" s="29">
        <v>346.58300000000003</v>
      </c>
      <c r="W1962" s="29">
        <v>12520</v>
      </c>
      <c r="X1962" s="29">
        <v>992250</v>
      </c>
    </row>
    <row r="1963" spans="2:24" s="29" customFormat="1" ht="9">
      <c r="B1963" s="29">
        <v>1</v>
      </c>
      <c r="C1963" s="29">
        <v>318886</v>
      </c>
      <c r="D1963" s="29" t="s">
        <v>761</v>
      </c>
      <c r="E1963" s="29" t="s">
        <v>448</v>
      </c>
      <c r="F1963" s="263">
        <v>42373</v>
      </c>
      <c r="G1963" s="263">
        <v>42381</v>
      </c>
      <c r="H1963" s="29">
        <v>29371.439999999999</v>
      </c>
      <c r="K1963" s="29">
        <f>J1962*1%</f>
        <v>50.300000000000004</v>
      </c>
      <c r="L1963" s="29">
        <f>L1962+K1963</f>
        <v>172.00720000000001</v>
      </c>
      <c r="Q1963" s="29">
        <v>0</v>
      </c>
      <c r="R1963" s="292">
        <v>5286.86</v>
      </c>
      <c r="S1963" s="29">
        <v>34658.300000000003</v>
      </c>
      <c r="T1963" s="29">
        <v>0</v>
      </c>
      <c r="U1963" s="29">
        <v>1</v>
      </c>
      <c r="V1963" s="29">
        <v>346.58300000000003</v>
      </c>
      <c r="W1963" s="29">
        <v>12519</v>
      </c>
      <c r="X1963" s="29">
        <v>992250</v>
      </c>
    </row>
    <row r="1964" spans="2:24" s="29" customFormat="1" ht="9">
      <c r="B1964" s="29">
        <v>1</v>
      </c>
      <c r="C1964" s="29">
        <v>318886</v>
      </c>
      <c r="D1964" s="29" t="s">
        <v>761</v>
      </c>
      <c r="E1964" s="29" t="s">
        <v>448</v>
      </c>
      <c r="F1964" s="263">
        <v>42373</v>
      </c>
      <c r="G1964" s="263">
        <v>42381</v>
      </c>
      <c r="H1964" s="29">
        <v>29371.439999999999</v>
      </c>
      <c r="Q1964" s="29">
        <v>0</v>
      </c>
      <c r="R1964" s="292">
        <v>5286.86</v>
      </c>
      <c r="S1964" s="29">
        <v>34658.300000000003</v>
      </c>
      <c r="T1964" s="29">
        <v>0</v>
      </c>
      <c r="U1964" s="29">
        <v>1</v>
      </c>
      <c r="V1964" s="29">
        <v>346.58300000000003</v>
      </c>
      <c r="W1964" s="29">
        <v>12519</v>
      </c>
      <c r="X1964" s="29">
        <v>992250</v>
      </c>
    </row>
    <row r="1965" spans="2:24" s="29" customFormat="1" ht="9">
      <c r="B1965" s="29">
        <v>1</v>
      </c>
      <c r="C1965" s="33">
        <v>319485</v>
      </c>
      <c r="D1965" s="29" t="s">
        <v>772</v>
      </c>
      <c r="E1965" s="29" t="s">
        <v>448</v>
      </c>
      <c r="F1965" s="263">
        <v>42382</v>
      </c>
      <c r="G1965" s="263">
        <v>42390</v>
      </c>
      <c r="H1965" s="29">
        <v>12453.76</v>
      </c>
      <c r="Q1965" s="29">
        <v>0</v>
      </c>
      <c r="R1965" s="292">
        <v>2241.6799999999998</v>
      </c>
      <c r="S1965" s="29">
        <v>14695.44</v>
      </c>
      <c r="T1965" s="29">
        <v>0</v>
      </c>
      <c r="U1965" s="29">
        <v>1</v>
      </c>
      <c r="V1965" s="29">
        <v>146.95439999999999</v>
      </c>
      <c r="W1965" s="29">
        <v>12520</v>
      </c>
      <c r="X1965" s="29">
        <v>993171</v>
      </c>
    </row>
    <row r="1966" spans="2:24" s="29" customFormat="1" ht="9">
      <c r="B1966" s="29">
        <v>1</v>
      </c>
      <c r="C1966" s="33">
        <v>319485</v>
      </c>
      <c r="D1966" s="29" t="s">
        <v>772</v>
      </c>
      <c r="E1966" s="29" t="s">
        <v>448</v>
      </c>
      <c r="F1966" s="263">
        <v>42382</v>
      </c>
      <c r="G1966" s="263">
        <v>42390</v>
      </c>
      <c r="H1966" s="29">
        <v>12453.76</v>
      </c>
      <c r="Q1966" s="29">
        <v>0</v>
      </c>
      <c r="R1966" s="292">
        <v>2241.6799999999998</v>
      </c>
      <c r="S1966" s="29">
        <v>14695.44</v>
      </c>
      <c r="T1966" s="29">
        <v>0</v>
      </c>
      <c r="U1966" s="29">
        <v>1</v>
      </c>
      <c r="V1966" s="29">
        <v>146.95439999999999</v>
      </c>
      <c r="W1966" s="29">
        <v>12520</v>
      </c>
      <c r="X1966" s="29">
        <v>993171</v>
      </c>
    </row>
    <row r="1967" spans="2:24" s="29" customFormat="1" ht="9">
      <c r="B1967" s="29">
        <v>1</v>
      </c>
      <c r="C1967" s="29">
        <v>319929</v>
      </c>
      <c r="D1967" s="29" t="s">
        <v>772</v>
      </c>
      <c r="E1967" s="29" t="s">
        <v>448</v>
      </c>
      <c r="F1967" s="263">
        <v>42388</v>
      </c>
      <c r="G1967" s="263">
        <v>42390</v>
      </c>
      <c r="H1967" s="29">
        <v>10931.65</v>
      </c>
      <c r="Q1967" s="29">
        <v>0</v>
      </c>
      <c r="R1967" s="292">
        <v>1967.7</v>
      </c>
      <c r="S1967" s="29">
        <v>12899.35</v>
      </c>
      <c r="T1967" s="29">
        <v>0</v>
      </c>
      <c r="U1967" s="29">
        <v>1</v>
      </c>
      <c r="V1967" s="29">
        <v>128.99350000000001</v>
      </c>
      <c r="W1967" s="29">
        <v>12520</v>
      </c>
      <c r="X1967" s="29">
        <v>993806</v>
      </c>
    </row>
    <row r="1968" spans="2:24" s="29" customFormat="1" ht="9">
      <c r="B1968" s="29">
        <v>1</v>
      </c>
      <c r="C1968" s="29">
        <v>319929</v>
      </c>
      <c r="D1968" s="29" t="s">
        <v>772</v>
      </c>
      <c r="E1968" s="29" t="s">
        <v>448</v>
      </c>
      <c r="F1968" s="263">
        <v>42388</v>
      </c>
      <c r="G1968" s="263">
        <v>42390</v>
      </c>
      <c r="H1968" s="29">
        <v>10931.65</v>
      </c>
      <c r="Q1968" s="29">
        <v>0</v>
      </c>
      <c r="R1968" s="292">
        <v>1967.7</v>
      </c>
      <c r="S1968" s="29">
        <v>12899.35</v>
      </c>
      <c r="T1968" s="29">
        <v>0</v>
      </c>
      <c r="U1968" s="29">
        <v>1</v>
      </c>
      <c r="V1968" s="29">
        <v>128.99350000000001</v>
      </c>
      <c r="W1968" s="29">
        <v>12519</v>
      </c>
      <c r="X1968" s="29">
        <v>993806</v>
      </c>
    </row>
    <row r="1969" spans="1:24" s="29" customFormat="1" ht="9">
      <c r="B1969" s="29">
        <v>1</v>
      </c>
      <c r="C1969" s="33">
        <v>320104</v>
      </c>
      <c r="D1969" s="29" t="s">
        <v>772</v>
      </c>
      <c r="E1969" s="29" t="s">
        <v>448</v>
      </c>
      <c r="F1969" s="263">
        <v>42390</v>
      </c>
      <c r="G1969" s="263">
        <v>42398</v>
      </c>
      <c r="H1969" s="29">
        <v>31134.400000000001</v>
      </c>
      <c r="Q1969" s="29">
        <v>0</v>
      </c>
      <c r="R1969" s="292">
        <v>5604.19</v>
      </c>
      <c r="S1969" s="29">
        <v>36738.589999999997</v>
      </c>
      <c r="T1969" s="29">
        <v>0</v>
      </c>
      <c r="U1969" s="29">
        <v>1</v>
      </c>
      <c r="V1969" s="29">
        <v>367.38589999999999</v>
      </c>
      <c r="W1969" s="29">
        <v>12520</v>
      </c>
      <c r="X1969" s="29">
        <v>994077</v>
      </c>
    </row>
    <row r="1970" spans="1:24" s="29" customFormat="1" ht="9">
      <c r="B1970" s="29">
        <v>1</v>
      </c>
      <c r="C1970" s="33">
        <v>320104</v>
      </c>
      <c r="D1970" s="29" t="s">
        <v>772</v>
      </c>
      <c r="E1970" s="29" t="s">
        <v>448</v>
      </c>
      <c r="F1970" s="263">
        <v>42390</v>
      </c>
      <c r="G1970" s="263">
        <v>42398</v>
      </c>
      <c r="H1970" s="29">
        <v>31134.400000000001</v>
      </c>
      <c r="Q1970" s="29">
        <v>0</v>
      </c>
      <c r="R1970" s="292">
        <v>5604.19</v>
      </c>
      <c r="S1970" s="29">
        <v>36738.589999999997</v>
      </c>
      <c r="T1970" s="29">
        <v>0</v>
      </c>
      <c r="U1970" s="29">
        <v>1</v>
      </c>
      <c r="V1970" s="29">
        <v>367.38589999999999</v>
      </c>
      <c r="W1970" s="29">
        <v>12520</v>
      </c>
      <c r="X1970" s="29">
        <v>994077</v>
      </c>
    </row>
    <row r="1971" spans="1:24" s="29" customFormat="1" ht="9">
      <c r="B1971" s="29">
        <v>1</v>
      </c>
      <c r="C1971" s="33">
        <v>320104</v>
      </c>
      <c r="D1971" s="29" t="s">
        <v>772</v>
      </c>
      <c r="E1971" s="29" t="s">
        <v>448</v>
      </c>
      <c r="F1971" s="263">
        <v>42390</v>
      </c>
      <c r="G1971" s="263">
        <v>42398</v>
      </c>
      <c r="H1971" s="29">
        <v>31134.400000000001</v>
      </c>
      <c r="Q1971" s="29">
        <v>0</v>
      </c>
      <c r="R1971" s="292">
        <v>5604.19</v>
      </c>
      <c r="S1971" s="29">
        <v>36738.589999999997</v>
      </c>
      <c r="T1971" s="29">
        <v>0</v>
      </c>
      <c r="U1971" s="29">
        <v>1</v>
      </c>
      <c r="V1971" s="29">
        <v>367.38589999999999</v>
      </c>
      <c r="W1971" s="29">
        <v>12519</v>
      </c>
      <c r="X1971" s="29">
        <v>994077</v>
      </c>
    </row>
    <row r="1972" spans="1:24" s="29" customFormat="1" ht="9">
      <c r="B1972" s="29">
        <v>1</v>
      </c>
      <c r="C1972" s="33">
        <v>320104</v>
      </c>
      <c r="D1972" s="29" t="s">
        <v>772</v>
      </c>
      <c r="E1972" s="29" t="s">
        <v>448</v>
      </c>
      <c r="F1972" s="263">
        <v>42390</v>
      </c>
      <c r="G1972" s="263">
        <v>42398</v>
      </c>
      <c r="H1972" s="29">
        <v>31134.400000000001</v>
      </c>
      <c r="Q1972" s="29">
        <v>0</v>
      </c>
      <c r="R1972" s="292">
        <v>5604.19</v>
      </c>
      <c r="S1972" s="29">
        <v>36738.589999999997</v>
      </c>
      <c r="T1972" s="29">
        <v>0</v>
      </c>
      <c r="U1972" s="29">
        <v>1</v>
      </c>
      <c r="V1972" s="29">
        <v>367.38589999999999</v>
      </c>
      <c r="W1972" s="29">
        <v>12519</v>
      </c>
      <c r="X1972" s="29">
        <v>994077</v>
      </c>
    </row>
    <row r="1975" spans="1:24">
      <c r="C1975" s="59"/>
      <c r="D1975" s="59"/>
      <c r="E1975" s="59" t="s">
        <v>803</v>
      </c>
      <c r="F1975" s="59"/>
      <c r="G1975" s="59"/>
      <c r="H1975" s="59"/>
      <c r="I1975" s="59"/>
      <c r="J1975" s="59"/>
      <c r="K1975" s="293"/>
    </row>
    <row r="1976" spans="1:24">
      <c r="C1976" s="59"/>
      <c r="D1976" s="59"/>
      <c r="E1976" s="59"/>
      <c r="F1976" s="59"/>
      <c r="G1976" s="59"/>
      <c r="H1976" s="59"/>
      <c r="I1976" s="59"/>
      <c r="J1976" s="59"/>
      <c r="K1976" s="293"/>
    </row>
    <row r="1977" spans="1:24">
      <c r="A1977" s="29" t="s">
        <v>45</v>
      </c>
      <c r="B1977" s="264" t="s">
        <v>369</v>
      </c>
      <c r="C1977" s="264" t="s">
        <v>370</v>
      </c>
      <c r="D1977" s="264" t="s">
        <v>371</v>
      </c>
      <c r="E1977" s="264" t="s">
        <v>372</v>
      </c>
      <c r="F1977" s="264" t="s">
        <v>373</v>
      </c>
      <c r="G1977" s="264" t="s">
        <v>393</v>
      </c>
      <c r="H1977" s="264" t="s">
        <v>375</v>
      </c>
      <c r="I1977" s="264" t="s">
        <v>376</v>
      </c>
      <c r="J1977" s="294" t="s">
        <v>377</v>
      </c>
      <c r="K1977" s="264" t="s">
        <v>378</v>
      </c>
      <c r="L1977" s="29" t="s">
        <v>771</v>
      </c>
    </row>
    <row r="1978" spans="1:24">
      <c r="A1978" s="29">
        <v>1</v>
      </c>
      <c r="B1978" s="111">
        <v>1</v>
      </c>
      <c r="C1978" s="111">
        <v>316203</v>
      </c>
      <c r="D1978" s="111" t="s">
        <v>800</v>
      </c>
      <c r="E1978" s="111" t="s">
        <v>448</v>
      </c>
      <c r="F1978" s="265">
        <v>42331</v>
      </c>
      <c r="G1978" s="265">
        <v>42406</v>
      </c>
      <c r="H1978" s="111">
        <v>51.59</v>
      </c>
      <c r="I1978" s="111">
        <f t="shared" ref="I1978:I2009" si="165">T1978/1.18</f>
        <v>0</v>
      </c>
      <c r="J1978" s="111">
        <v>1</v>
      </c>
      <c r="K1978" s="266">
        <f t="shared" ref="K1978:K2009" si="166">(H1978-I1978)*J1978%</f>
        <v>0.51590000000000003</v>
      </c>
      <c r="L1978" s="29">
        <f t="shared" ref="L1978:L2009" si="167">G1978-F1978</f>
        <v>75</v>
      </c>
      <c r="Q1978" s="29">
        <v>0</v>
      </c>
      <c r="R1978" s="292">
        <v>9.2899999999999991</v>
      </c>
      <c r="S1978" s="29">
        <v>60.88</v>
      </c>
      <c r="T1978" s="29">
        <v>0</v>
      </c>
      <c r="U1978" s="29">
        <v>1</v>
      </c>
      <c r="V1978" s="29">
        <v>0.60880000000000001</v>
      </c>
    </row>
    <row r="1979" spans="1:24">
      <c r="A1979" s="29">
        <v>2</v>
      </c>
      <c r="B1979" s="111">
        <v>1</v>
      </c>
      <c r="C1979" s="111">
        <v>317155</v>
      </c>
      <c r="D1979" s="111" t="s">
        <v>760</v>
      </c>
      <c r="E1979" s="111" t="s">
        <v>448</v>
      </c>
      <c r="F1979" s="265">
        <v>42341</v>
      </c>
      <c r="G1979" s="265">
        <v>42412</v>
      </c>
      <c r="H1979" s="111">
        <v>123.02</v>
      </c>
      <c r="I1979" s="111">
        <f t="shared" si="165"/>
        <v>0</v>
      </c>
      <c r="J1979" s="111">
        <v>1</v>
      </c>
      <c r="K1979" s="266">
        <f t="shared" si="166"/>
        <v>1.2302</v>
      </c>
      <c r="L1979" s="29">
        <f t="shared" si="167"/>
        <v>71</v>
      </c>
      <c r="Q1979" s="29">
        <v>0</v>
      </c>
      <c r="R1979" s="292">
        <v>22.14</v>
      </c>
      <c r="S1979" s="29">
        <v>145.16</v>
      </c>
      <c r="T1979" s="29">
        <v>0</v>
      </c>
      <c r="U1979" s="29">
        <v>1</v>
      </c>
      <c r="V1979" s="29">
        <v>1.4516</v>
      </c>
    </row>
    <row r="1980" spans="1:24">
      <c r="A1980" s="29">
        <v>3</v>
      </c>
      <c r="B1980" s="111">
        <v>1</v>
      </c>
      <c r="C1980" s="111">
        <v>317523</v>
      </c>
      <c r="D1980" s="111" t="s">
        <v>766</v>
      </c>
      <c r="E1980" s="111" t="s">
        <v>448</v>
      </c>
      <c r="F1980" s="265">
        <v>42347</v>
      </c>
      <c r="G1980" s="265">
        <v>42412</v>
      </c>
      <c r="H1980" s="111">
        <v>154.6</v>
      </c>
      <c r="I1980" s="111">
        <f t="shared" si="165"/>
        <v>0</v>
      </c>
      <c r="J1980" s="111">
        <v>1</v>
      </c>
      <c r="K1980" s="266">
        <f t="shared" si="166"/>
        <v>1.546</v>
      </c>
      <c r="L1980" s="29">
        <f t="shared" si="167"/>
        <v>65</v>
      </c>
      <c r="Q1980" s="29">
        <v>0</v>
      </c>
      <c r="R1980" s="292">
        <v>27.83</v>
      </c>
      <c r="S1980" s="29">
        <v>182.43</v>
      </c>
      <c r="T1980" s="29">
        <v>0</v>
      </c>
      <c r="U1980" s="29">
        <v>1</v>
      </c>
      <c r="V1980" s="29">
        <v>1.8243</v>
      </c>
    </row>
    <row r="1981" spans="1:24">
      <c r="A1981" s="29">
        <v>4</v>
      </c>
      <c r="B1981" s="111">
        <v>1</v>
      </c>
      <c r="C1981" s="111">
        <v>317975</v>
      </c>
      <c r="D1981" s="111" t="s">
        <v>759</v>
      </c>
      <c r="E1981" s="111" t="s">
        <v>448</v>
      </c>
      <c r="F1981" s="265">
        <v>42354</v>
      </c>
      <c r="G1981" s="265">
        <v>42405</v>
      </c>
      <c r="H1981" s="111">
        <v>172.16</v>
      </c>
      <c r="I1981" s="111">
        <f t="shared" si="165"/>
        <v>0</v>
      </c>
      <c r="J1981" s="111">
        <v>1</v>
      </c>
      <c r="K1981" s="266">
        <f t="shared" si="166"/>
        <v>1.7216</v>
      </c>
      <c r="L1981" s="29">
        <f t="shared" si="167"/>
        <v>51</v>
      </c>
      <c r="Q1981" s="29">
        <v>0</v>
      </c>
      <c r="R1981" s="292">
        <v>30.99</v>
      </c>
      <c r="S1981" s="29">
        <v>203.15</v>
      </c>
      <c r="T1981" s="29">
        <v>0</v>
      </c>
      <c r="U1981" s="29">
        <v>1</v>
      </c>
      <c r="V1981" s="29">
        <v>2.0314999999999999</v>
      </c>
    </row>
    <row r="1982" spans="1:24">
      <c r="A1982" s="29">
        <v>5</v>
      </c>
      <c r="B1982" s="111">
        <v>1</v>
      </c>
      <c r="C1982" s="111">
        <v>318106</v>
      </c>
      <c r="D1982" s="111" t="s">
        <v>758</v>
      </c>
      <c r="E1982" s="111" t="s">
        <v>448</v>
      </c>
      <c r="F1982" s="265">
        <v>42355</v>
      </c>
      <c r="G1982" s="265">
        <v>42418</v>
      </c>
      <c r="H1982" s="111">
        <v>247.39</v>
      </c>
      <c r="I1982" s="111">
        <f t="shared" si="165"/>
        <v>0</v>
      </c>
      <c r="J1982" s="111">
        <v>1</v>
      </c>
      <c r="K1982" s="266">
        <f t="shared" si="166"/>
        <v>2.4739</v>
      </c>
      <c r="L1982" s="29">
        <f t="shared" si="167"/>
        <v>63</v>
      </c>
      <c r="Q1982" s="29">
        <v>0</v>
      </c>
      <c r="R1982" s="292">
        <v>44.53</v>
      </c>
      <c r="S1982" s="29">
        <v>291.92</v>
      </c>
      <c r="T1982" s="29">
        <v>0</v>
      </c>
      <c r="U1982" s="29">
        <v>1</v>
      </c>
      <c r="V1982" s="29">
        <v>2.9192</v>
      </c>
    </row>
    <row r="1983" spans="1:24">
      <c r="A1983" s="29">
        <v>6</v>
      </c>
      <c r="B1983" s="111">
        <v>1</v>
      </c>
      <c r="C1983" s="111">
        <v>318066</v>
      </c>
      <c r="D1983" s="111" t="s">
        <v>759</v>
      </c>
      <c r="E1983" s="111" t="s">
        <v>448</v>
      </c>
      <c r="F1983" s="265">
        <v>42355</v>
      </c>
      <c r="G1983" s="265">
        <v>42405</v>
      </c>
      <c r="H1983" s="111">
        <v>3096.72</v>
      </c>
      <c r="I1983" s="111">
        <f t="shared" si="165"/>
        <v>0</v>
      </c>
      <c r="J1983" s="111">
        <v>1</v>
      </c>
      <c r="K1983" s="266">
        <f t="shared" si="166"/>
        <v>30.967199999999998</v>
      </c>
      <c r="L1983" s="29">
        <f t="shared" si="167"/>
        <v>50</v>
      </c>
      <c r="Q1983" s="29">
        <v>0</v>
      </c>
      <c r="R1983" s="292">
        <v>557.41</v>
      </c>
      <c r="S1983" s="29">
        <v>3654.13</v>
      </c>
      <c r="T1983" s="29">
        <v>0</v>
      </c>
      <c r="U1983" s="29">
        <v>1</v>
      </c>
      <c r="V1983" s="29">
        <v>36.5413</v>
      </c>
    </row>
    <row r="1984" spans="1:24">
      <c r="A1984" s="29">
        <v>7</v>
      </c>
      <c r="B1984" s="111">
        <v>1</v>
      </c>
      <c r="C1984" s="111">
        <v>318067</v>
      </c>
      <c r="D1984" s="111" t="s">
        <v>759</v>
      </c>
      <c r="E1984" s="111" t="s">
        <v>448</v>
      </c>
      <c r="F1984" s="265">
        <v>42355</v>
      </c>
      <c r="G1984" s="265">
        <v>42405</v>
      </c>
      <c r="H1984" s="111">
        <v>2928.13</v>
      </c>
      <c r="I1984" s="111">
        <f t="shared" si="165"/>
        <v>0</v>
      </c>
      <c r="J1984" s="111">
        <v>1</v>
      </c>
      <c r="K1984" s="266">
        <f t="shared" si="166"/>
        <v>29.281300000000002</v>
      </c>
      <c r="L1984" s="29">
        <f t="shared" si="167"/>
        <v>50</v>
      </c>
      <c r="Q1984" s="29">
        <v>0</v>
      </c>
      <c r="R1984" s="292">
        <v>527.05999999999995</v>
      </c>
      <c r="S1984" s="29">
        <v>3455.19</v>
      </c>
      <c r="T1984" s="29">
        <v>0</v>
      </c>
      <c r="U1984" s="29">
        <v>1</v>
      </c>
      <c r="V1984" s="29">
        <v>34.551900000000003</v>
      </c>
    </row>
    <row r="1985" spans="1:22">
      <c r="A1985" s="29">
        <v>8</v>
      </c>
      <c r="B1985" s="111">
        <v>1</v>
      </c>
      <c r="C1985" s="111">
        <v>318225</v>
      </c>
      <c r="D1985" s="111" t="s">
        <v>757</v>
      </c>
      <c r="E1985" s="111" t="s">
        <v>448</v>
      </c>
      <c r="F1985" s="265">
        <v>42357</v>
      </c>
      <c r="G1985" s="265">
        <v>42405</v>
      </c>
      <c r="H1985" s="111">
        <v>290.33999999999997</v>
      </c>
      <c r="I1985" s="111">
        <f t="shared" si="165"/>
        <v>0</v>
      </c>
      <c r="J1985" s="111">
        <v>1</v>
      </c>
      <c r="K1985" s="266">
        <f t="shared" si="166"/>
        <v>2.9034</v>
      </c>
      <c r="L1985" s="29">
        <f t="shared" si="167"/>
        <v>48</v>
      </c>
      <c r="Q1985" s="29">
        <v>0</v>
      </c>
      <c r="R1985" s="292">
        <v>52.26</v>
      </c>
      <c r="S1985" s="29">
        <v>342.6</v>
      </c>
      <c r="T1985" s="29">
        <v>0</v>
      </c>
      <c r="U1985" s="29">
        <v>1</v>
      </c>
      <c r="V1985" s="29">
        <v>3.4260000000000002</v>
      </c>
    </row>
    <row r="1986" spans="1:22">
      <c r="A1986" s="29">
        <v>9</v>
      </c>
      <c r="B1986" s="111">
        <v>1</v>
      </c>
      <c r="C1986" s="111">
        <v>318452</v>
      </c>
      <c r="D1986" s="111" t="s">
        <v>760</v>
      </c>
      <c r="E1986" s="111" t="s">
        <v>448</v>
      </c>
      <c r="F1986" s="265">
        <v>42362</v>
      </c>
      <c r="G1986" s="265">
        <v>42412</v>
      </c>
      <c r="H1986" s="111">
        <v>707.29</v>
      </c>
      <c r="I1986" s="111">
        <f t="shared" si="165"/>
        <v>0</v>
      </c>
      <c r="J1986" s="111">
        <v>1</v>
      </c>
      <c r="K1986" s="266">
        <f t="shared" si="166"/>
        <v>7.0728999999999997</v>
      </c>
      <c r="L1986" s="29">
        <f t="shared" si="167"/>
        <v>50</v>
      </c>
      <c r="Q1986" s="29">
        <v>0</v>
      </c>
      <c r="R1986" s="292">
        <v>127.31</v>
      </c>
      <c r="S1986" s="29">
        <v>834.6</v>
      </c>
      <c r="T1986" s="29">
        <v>0</v>
      </c>
      <c r="U1986" s="29">
        <v>1</v>
      </c>
      <c r="V1986" s="29">
        <v>8.3460000000000001</v>
      </c>
    </row>
    <row r="1987" spans="1:22">
      <c r="A1987" s="29">
        <v>10</v>
      </c>
      <c r="B1987" s="111">
        <v>1</v>
      </c>
      <c r="C1987" s="111">
        <v>318486</v>
      </c>
      <c r="D1987" s="111" t="s">
        <v>759</v>
      </c>
      <c r="E1987" s="111" t="s">
        <v>448</v>
      </c>
      <c r="F1987" s="265">
        <v>42366</v>
      </c>
      <c r="G1987" s="265">
        <v>42415</v>
      </c>
      <c r="H1987" s="111">
        <v>877.68</v>
      </c>
      <c r="I1987" s="111">
        <f t="shared" si="165"/>
        <v>0</v>
      </c>
      <c r="J1987" s="111">
        <v>1</v>
      </c>
      <c r="K1987" s="266">
        <f t="shared" si="166"/>
        <v>8.7767999999999997</v>
      </c>
      <c r="L1987" s="29">
        <f t="shared" si="167"/>
        <v>49</v>
      </c>
      <c r="Q1987" s="29">
        <v>0</v>
      </c>
      <c r="R1987" s="292">
        <v>157.97999999999999</v>
      </c>
      <c r="S1987" s="29">
        <v>1035.6600000000001</v>
      </c>
      <c r="T1987" s="29">
        <v>0</v>
      </c>
      <c r="U1987" s="29">
        <v>1</v>
      </c>
      <c r="V1987" s="29">
        <v>10.3566</v>
      </c>
    </row>
    <row r="1988" spans="1:22">
      <c r="A1988" s="29">
        <v>11</v>
      </c>
      <c r="B1988" s="111">
        <v>1</v>
      </c>
      <c r="C1988" s="111">
        <v>318480</v>
      </c>
      <c r="D1988" s="111" t="s">
        <v>759</v>
      </c>
      <c r="E1988" s="111" t="s">
        <v>448</v>
      </c>
      <c r="F1988" s="265">
        <v>42366</v>
      </c>
      <c r="G1988" s="265">
        <v>42415</v>
      </c>
      <c r="H1988" s="111">
        <v>155.97</v>
      </c>
      <c r="I1988" s="111">
        <f t="shared" si="165"/>
        <v>0</v>
      </c>
      <c r="J1988" s="111">
        <v>1</v>
      </c>
      <c r="K1988" s="266">
        <f t="shared" si="166"/>
        <v>1.5597000000000001</v>
      </c>
      <c r="L1988" s="29">
        <f t="shared" si="167"/>
        <v>49</v>
      </c>
      <c r="Q1988" s="29">
        <v>0</v>
      </c>
      <c r="R1988" s="292">
        <v>28.07</v>
      </c>
      <c r="S1988" s="29">
        <v>184.04</v>
      </c>
      <c r="T1988" s="29">
        <v>0</v>
      </c>
      <c r="U1988" s="29">
        <v>1</v>
      </c>
      <c r="V1988" s="29">
        <v>1.8404</v>
      </c>
    </row>
    <row r="1989" spans="1:22">
      <c r="A1989" s="29">
        <v>12</v>
      </c>
      <c r="B1989" s="111">
        <v>1</v>
      </c>
      <c r="C1989" s="111">
        <v>318503</v>
      </c>
      <c r="D1989" s="111" t="s">
        <v>757</v>
      </c>
      <c r="E1989" s="111" t="s">
        <v>448</v>
      </c>
      <c r="F1989" s="265">
        <v>42366</v>
      </c>
      <c r="G1989" s="265">
        <v>42405</v>
      </c>
      <c r="H1989" s="111">
        <v>219.74</v>
      </c>
      <c r="I1989" s="111">
        <f t="shared" si="165"/>
        <v>0</v>
      </c>
      <c r="J1989" s="111">
        <v>1</v>
      </c>
      <c r="K1989" s="266">
        <f t="shared" si="166"/>
        <v>2.1974</v>
      </c>
      <c r="L1989" s="29">
        <f t="shared" si="167"/>
        <v>39</v>
      </c>
      <c r="Q1989" s="29">
        <v>0</v>
      </c>
      <c r="R1989" s="292">
        <v>39.549999999999997</v>
      </c>
      <c r="S1989" s="29">
        <v>259.29000000000002</v>
      </c>
      <c r="T1989" s="29">
        <v>0</v>
      </c>
      <c r="U1989" s="29">
        <v>1</v>
      </c>
      <c r="V1989" s="29">
        <v>2.5929000000000002</v>
      </c>
    </row>
    <row r="1990" spans="1:22">
      <c r="A1990" s="29">
        <v>13</v>
      </c>
      <c r="B1990" s="111">
        <v>1</v>
      </c>
      <c r="C1990" s="111">
        <v>318494</v>
      </c>
      <c r="D1990" s="111" t="s">
        <v>759</v>
      </c>
      <c r="E1990" s="111" t="s">
        <v>448</v>
      </c>
      <c r="F1990" s="265">
        <v>42366</v>
      </c>
      <c r="G1990" s="265">
        <v>42415</v>
      </c>
      <c r="H1990" s="111">
        <v>185.22</v>
      </c>
      <c r="I1990" s="111">
        <f t="shared" si="165"/>
        <v>0</v>
      </c>
      <c r="J1990" s="111">
        <v>1</v>
      </c>
      <c r="K1990" s="266">
        <f t="shared" si="166"/>
        <v>1.8522000000000001</v>
      </c>
      <c r="L1990" s="29">
        <f t="shared" si="167"/>
        <v>49</v>
      </c>
      <c r="Q1990" s="29">
        <v>0</v>
      </c>
      <c r="R1990" s="292">
        <v>33.340000000000003</v>
      </c>
      <c r="S1990" s="29">
        <v>218.56</v>
      </c>
      <c r="T1990" s="29">
        <v>0</v>
      </c>
      <c r="U1990" s="29">
        <v>1</v>
      </c>
      <c r="V1990" s="29">
        <v>2.1856</v>
      </c>
    </row>
    <row r="1991" spans="1:22">
      <c r="A1991" s="29">
        <v>14</v>
      </c>
      <c r="B1991" s="111">
        <v>1</v>
      </c>
      <c r="C1991" s="111">
        <v>318555</v>
      </c>
      <c r="D1991" s="111" t="s">
        <v>759</v>
      </c>
      <c r="E1991" s="111" t="s">
        <v>448</v>
      </c>
      <c r="F1991" s="265">
        <v>42367</v>
      </c>
      <c r="G1991" s="265">
        <v>42415</v>
      </c>
      <c r="H1991" s="111">
        <v>227.37</v>
      </c>
      <c r="I1991" s="111">
        <f t="shared" si="165"/>
        <v>0</v>
      </c>
      <c r="J1991" s="111">
        <v>1</v>
      </c>
      <c r="K1991" s="266">
        <f t="shared" si="166"/>
        <v>2.2737000000000003</v>
      </c>
      <c r="L1991" s="29">
        <f t="shared" si="167"/>
        <v>48</v>
      </c>
      <c r="Q1991" s="29">
        <v>0</v>
      </c>
      <c r="R1991" s="292">
        <v>40.93</v>
      </c>
      <c r="S1991" s="29">
        <v>268.3</v>
      </c>
      <c r="T1991" s="29">
        <v>0</v>
      </c>
      <c r="U1991" s="29">
        <v>1</v>
      </c>
      <c r="V1991" s="29">
        <v>2.6829999999999998</v>
      </c>
    </row>
    <row r="1992" spans="1:22">
      <c r="A1992" s="29">
        <v>15</v>
      </c>
      <c r="B1992" s="111">
        <v>1</v>
      </c>
      <c r="C1992" s="111">
        <v>318685</v>
      </c>
      <c r="D1992" s="111" t="s">
        <v>757</v>
      </c>
      <c r="E1992" s="111" t="s">
        <v>448</v>
      </c>
      <c r="F1992" s="265">
        <v>42368</v>
      </c>
      <c r="G1992" s="265">
        <v>42405</v>
      </c>
      <c r="H1992" s="111">
        <v>879.78</v>
      </c>
      <c r="I1992" s="111">
        <f t="shared" si="165"/>
        <v>0</v>
      </c>
      <c r="J1992" s="111">
        <v>1</v>
      </c>
      <c r="K1992" s="266">
        <f t="shared" si="166"/>
        <v>8.7978000000000005</v>
      </c>
      <c r="L1992" s="29">
        <f t="shared" si="167"/>
        <v>37</v>
      </c>
      <c r="Q1992" s="29">
        <v>0</v>
      </c>
      <c r="R1992" s="292">
        <v>158.36000000000001</v>
      </c>
      <c r="S1992" s="29">
        <v>1038.1400000000001</v>
      </c>
      <c r="T1992" s="29">
        <v>0</v>
      </c>
      <c r="U1992" s="29">
        <v>1</v>
      </c>
      <c r="V1992" s="29">
        <v>10.381399999999999</v>
      </c>
    </row>
    <row r="1993" spans="1:22">
      <c r="A1993" s="29">
        <v>16</v>
      </c>
      <c r="B1993" s="111">
        <v>1</v>
      </c>
      <c r="C1993" s="111">
        <v>318593</v>
      </c>
      <c r="D1993" s="111" t="s">
        <v>759</v>
      </c>
      <c r="E1993" s="111" t="s">
        <v>448</v>
      </c>
      <c r="F1993" s="265">
        <v>42367</v>
      </c>
      <c r="G1993" s="265">
        <v>42424</v>
      </c>
      <c r="H1993" s="111">
        <v>672.91</v>
      </c>
      <c r="I1993" s="266">
        <f t="shared" si="165"/>
        <v>3.2288135593220342</v>
      </c>
      <c r="J1993" s="111">
        <v>1</v>
      </c>
      <c r="K1993" s="266">
        <f t="shared" si="166"/>
        <v>6.6968118644067793</v>
      </c>
      <c r="L1993" s="29">
        <f t="shared" si="167"/>
        <v>57</v>
      </c>
      <c r="Q1993" s="29">
        <v>0</v>
      </c>
      <c r="R1993" s="292">
        <v>121.12</v>
      </c>
      <c r="S1993" s="29">
        <v>794.03</v>
      </c>
      <c r="T1993" s="29">
        <v>3.81</v>
      </c>
      <c r="U1993" s="29">
        <v>1</v>
      </c>
      <c r="V1993" s="29">
        <v>7.9021999999999997</v>
      </c>
    </row>
    <row r="1994" spans="1:22">
      <c r="A1994" s="29">
        <v>17</v>
      </c>
      <c r="B1994" s="111">
        <v>1</v>
      </c>
      <c r="C1994" s="111">
        <v>318776</v>
      </c>
      <c r="D1994" s="111" t="s">
        <v>757</v>
      </c>
      <c r="E1994" s="111" t="s">
        <v>448</v>
      </c>
      <c r="F1994" s="265">
        <v>42369</v>
      </c>
      <c r="G1994" s="265">
        <v>42405</v>
      </c>
      <c r="H1994" s="111">
        <v>680.25</v>
      </c>
      <c r="I1994" s="111">
        <f t="shared" si="165"/>
        <v>0</v>
      </c>
      <c r="J1994" s="111">
        <v>1</v>
      </c>
      <c r="K1994" s="266">
        <f t="shared" si="166"/>
        <v>6.8025000000000002</v>
      </c>
      <c r="L1994" s="29">
        <f t="shared" si="167"/>
        <v>36</v>
      </c>
      <c r="Q1994" s="29">
        <v>0</v>
      </c>
      <c r="R1994" s="292">
        <v>122.45</v>
      </c>
      <c r="S1994" s="29">
        <v>802.7</v>
      </c>
      <c r="T1994" s="29">
        <v>0</v>
      </c>
      <c r="U1994" s="29">
        <v>1</v>
      </c>
      <c r="V1994" s="29">
        <v>8.0269999999999992</v>
      </c>
    </row>
    <row r="1995" spans="1:22">
      <c r="A1995" s="29">
        <v>18</v>
      </c>
      <c r="B1995" s="111">
        <v>1</v>
      </c>
      <c r="C1995" s="111">
        <v>318884</v>
      </c>
      <c r="D1995" s="111" t="s">
        <v>758</v>
      </c>
      <c r="E1995" s="111" t="s">
        <v>448</v>
      </c>
      <c r="F1995" s="265">
        <v>42373</v>
      </c>
      <c r="G1995" s="265">
        <v>42418</v>
      </c>
      <c r="H1995" s="111">
        <v>1319.63</v>
      </c>
      <c r="I1995" s="111">
        <f t="shared" si="165"/>
        <v>0</v>
      </c>
      <c r="J1995" s="111">
        <v>1</v>
      </c>
      <c r="K1995" s="266">
        <f t="shared" si="166"/>
        <v>13.196300000000001</v>
      </c>
      <c r="L1995" s="29">
        <f t="shared" si="167"/>
        <v>45</v>
      </c>
      <c r="Q1995" s="29">
        <v>0</v>
      </c>
      <c r="R1995" s="292">
        <v>237.53</v>
      </c>
      <c r="S1995" s="29">
        <v>1557.16</v>
      </c>
      <c r="T1995" s="29">
        <v>0</v>
      </c>
      <c r="U1995" s="29">
        <v>1</v>
      </c>
      <c r="V1995" s="29">
        <v>15.5716</v>
      </c>
    </row>
    <row r="1996" spans="1:22">
      <c r="A1996" s="29">
        <v>19</v>
      </c>
      <c r="B1996" s="111">
        <v>1</v>
      </c>
      <c r="C1996" s="111">
        <v>318891</v>
      </c>
      <c r="D1996" s="111" t="s">
        <v>760</v>
      </c>
      <c r="E1996" s="111" t="s">
        <v>448</v>
      </c>
      <c r="F1996" s="265">
        <v>42373</v>
      </c>
      <c r="G1996" s="265">
        <v>42426</v>
      </c>
      <c r="H1996" s="111">
        <v>486</v>
      </c>
      <c r="I1996" s="111">
        <f t="shared" si="165"/>
        <v>0</v>
      </c>
      <c r="J1996" s="111">
        <v>1</v>
      </c>
      <c r="K1996" s="266">
        <f t="shared" si="166"/>
        <v>4.8600000000000003</v>
      </c>
      <c r="L1996" s="29">
        <f t="shared" si="167"/>
        <v>53</v>
      </c>
      <c r="Q1996" s="29">
        <v>0</v>
      </c>
      <c r="R1996" s="292">
        <v>87.48</v>
      </c>
      <c r="S1996" s="29">
        <v>573.48</v>
      </c>
      <c r="T1996" s="29">
        <v>0</v>
      </c>
      <c r="U1996" s="29">
        <v>1</v>
      </c>
      <c r="V1996" s="29">
        <v>5.7347999999999999</v>
      </c>
    </row>
    <row r="1997" spans="1:22">
      <c r="A1997" s="29">
        <v>20</v>
      </c>
      <c r="B1997" s="111">
        <v>1</v>
      </c>
      <c r="C1997" s="111">
        <v>318911</v>
      </c>
      <c r="D1997" s="111" t="s">
        <v>759</v>
      </c>
      <c r="E1997" s="111" t="s">
        <v>448</v>
      </c>
      <c r="F1997" s="265">
        <v>42373</v>
      </c>
      <c r="G1997" s="265">
        <v>42424</v>
      </c>
      <c r="H1997" s="111">
        <v>749.33</v>
      </c>
      <c r="I1997" s="111">
        <f t="shared" si="165"/>
        <v>0</v>
      </c>
      <c r="J1997" s="111">
        <v>1</v>
      </c>
      <c r="K1997" s="266">
        <f t="shared" si="166"/>
        <v>7.4933000000000005</v>
      </c>
      <c r="L1997" s="29">
        <f t="shared" si="167"/>
        <v>51</v>
      </c>
      <c r="Q1997" s="29">
        <v>0</v>
      </c>
      <c r="R1997" s="292">
        <v>134.88</v>
      </c>
      <c r="S1997" s="29">
        <v>884.21</v>
      </c>
      <c r="T1997" s="29">
        <v>0</v>
      </c>
      <c r="U1997" s="29">
        <v>1</v>
      </c>
      <c r="V1997" s="29">
        <v>8.8421000000000003</v>
      </c>
    </row>
    <row r="1998" spans="1:22">
      <c r="A1998" s="29">
        <v>21</v>
      </c>
      <c r="B1998" s="111">
        <v>1</v>
      </c>
      <c r="C1998" s="111">
        <v>318972</v>
      </c>
      <c r="D1998" s="111" t="s">
        <v>758</v>
      </c>
      <c r="E1998" s="111" t="s">
        <v>448</v>
      </c>
      <c r="F1998" s="265">
        <v>42374</v>
      </c>
      <c r="G1998" s="265">
        <v>42418</v>
      </c>
      <c r="H1998" s="111">
        <v>708.29</v>
      </c>
      <c r="I1998" s="111">
        <f t="shared" si="165"/>
        <v>0</v>
      </c>
      <c r="J1998" s="111">
        <v>1</v>
      </c>
      <c r="K1998" s="266">
        <f t="shared" si="166"/>
        <v>7.0828999999999995</v>
      </c>
      <c r="L1998" s="29">
        <f t="shared" si="167"/>
        <v>44</v>
      </c>
      <c r="Q1998" s="29">
        <v>0</v>
      </c>
      <c r="R1998" s="292">
        <v>127.49</v>
      </c>
      <c r="S1998" s="29">
        <v>835.78</v>
      </c>
      <c r="T1998" s="29">
        <v>0</v>
      </c>
      <c r="U1998" s="29">
        <v>1</v>
      </c>
      <c r="V1998" s="29">
        <v>8.3577999999999992</v>
      </c>
    </row>
    <row r="1999" spans="1:22">
      <c r="A1999" s="29">
        <v>22</v>
      </c>
      <c r="B1999" s="111">
        <v>1</v>
      </c>
      <c r="C1999" s="111">
        <v>318951</v>
      </c>
      <c r="D1999" s="111" t="s">
        <v>759</v>
      </c>
      <c r="E1999" s="111" t="s">
        <v>448</v>
      </c>
      <c r="F1999" s="265">
        <v>42374</v>
      </c>
      <c r="G1999" s="265">
        <v>42424</v>
      </c>
      <c r="H1999" s="111">
        <v>5371.14</v>
      </c>
      <c r="I1999" s="111">
        <f t="shared" si="165"/>
        <v>0</v>
      </c>
      <c r="J1999" s="111">
        <v>1</v>
      </c>
      <c r="K1999" s="266">
        <f t="shared" si="166"/>
        <v>53.711400000000005</v>
      </c>
      <c r="L1999" s="29">
        <f t="shared" si="167"/>
        <v>50</v>
      </c>
      <c r="Q1999" s="29">
        <v>0</v>
      </c>
      <c r="R1999" s="292">
        <v>966.81</v>
      </c>
      <c r="S1999" s="29">
        <v>6337.95</v>
      </c>
      <c r="T1999" s="29">
        <v>0</v>
      </c>
      <c r="U1999" s="29">
        <v>1</v>
      </c>
      <c r="V1999" s="29">
        <v>63.3795</v>
      </c>
    </row>
    <row r="2000" spans="1:22">
      <c r="A2000" s="29">
        <v>23</v>
      </c>
      <c r="B2000" s="111">
        <v>1</v>
      </c>
      <c r="C2000" s="111">
        <v>319014</v>
      </c>
      <c r="D2000" s="111" t="s">
        <v>759</v>
      </c>
      <c r="E2000" s="111" t="s">
        <v>448</v>
      </c>
      <c r="F2000" s="265">
        <v>42374</v>
      </c>
      <c r="G2000" s="265">
        <v>42424</v>
      </c>
      <c r="H2000" s="111">
        <v>1643.19</v>
      </c>
      <c r="I2000" s="111">
        <f t="shared" si="165"/>
        <v>0</v>
      </c>
      <c r="J2000" s="111">
        <v>1</v>
      </c>
      <c r="K2000" s="266">
        <f t="shared" si="166"/>
        <v>16.431900000000002</v>
      </c>
      <c r="L2000" s="29">
        <f t="shared" si="167"/>
        <v>50</v>
      </c>
      <c r="Q2000" s="29">
        <v>0</v>
      </c>
      <c r="R2000" s="292">
        <v>295.77</v>
      </c>
      <c r="S2000" s="29">
        <v>1938.96</v>
      </c>
      <c r="T2000" s="29">
        <v>0</v>
      </c>
      <c r="U2000" s="29">
        <v>1</v>
      </c>
      <c r="V2000" s="29">
        <v>19.389600000000002</v>
      </c>
    </row>
    <row r="2001" spans="1:22">
      <c r="A2001" s="29">
        <v>24</v>
      </c>
      <c r="B2001" s="111">
        <v>1</v>
      </c>
      <c r="C2001" s="111">
        <v>319083</v>
      </c>
      <c r="D2001" s="111" t="s">
        <v>757</v>
      </c>
      <c r="E2001" s="111" t="s">
        <v>448</v>
      </c>
      <c r="F2001" s="265">
        <v>42375</v>
      </c>
      <c r="G2001" s="265">
        <v>42426</v>
      </c>
      <c r="H2001" s="111">
        <v>553.65</v>
      </c>
      <c r="I2001" s="111">
        <f t="shared" si="165"/>
        <v>0</v>
      </c>
      <c r="J2001" s="111">
        <v>1</v>
      </c>
      <c r="K2001" s="266">
        <f t="shared" si="166"/>
        <v>5.5365000000000002</v>
      </c>
      <c r="L2001" s="29">
        <f t="shared" si="167"/>
        <v>51</v>
      </c>
      <c r="Q2001" s="29">
        <v>0</v>
      </c>
      <c r="R2001" s="292">
        <v>99.66</v>
      </c>
      <c r="S2001" s="29">
        <v>653.30999999999995</v>
      </c>
      <c r="T2001" s="29">
        <v>0</v>
      </c>
      <c r="U2001" s="29">
        <v>1</v>
      </c>
      <c r="V2001" s="29">
        <v>6.5331000000000001</v>
      </c>
    </row>
    <row r="2002" spans="1:22">
      <c r="A2002" s="29">
        <v>25</v>
      </c>
      <c r="B2002" s="111">
        <v>1</v>
      </c>
      <c r="C2002" s="111">
        <v>319156</v>
      </c>
      <c r="D2002" s="111" t="s">
        <v>758</v>
      </c>
      <c r="E2002" s="111" t="s">
        <v>448</v>
      </c>
      <c r="F2002" s="265">
        <v>42376</v>
      </c>
      <c r="G2002" s="265">
        <v>42418</v>
      </c>
      <c r="H2002" s="111">
        <v>1263.51</v>
      </c>
      <c r="I2002" s="111">
        <f t="shared" si="165"/>
        <v>0</v>
      </c>
      <c r="J2002" s="111">
        <v>1</v>
      </c>
      <c r="K2002" s="266">
        <f t="shared" si="166"/>
        <v>12.6351</v>
      </c>
      <c r="L2002" s="29">
        <f t="shared" si="167"/>
        <v>42</v>
      </c>
      <c r="Q2002" s="29">
        <v>0</v>
      </c>
      <c r="R2002" s="292">
        <v>227.43</v>
      </c>
      <c r="S2002" s="29">
        <v>1490.94</v>
      </c>
      <c r="T2002" s="29">
        <v>0</v>
      </c>
      <c r="U2002" s="29">
        <v>1</v>
      </c>
      <c r="V2002" s="29">
        <v>14.9094</v>
      </c>
    </row>
    <row r="2003" spans="1:22">
      <c r="A2003" s="29">
        <v>26</v>
      </c>
      <c r="B2003" s="111">
        <v>1</v>
      </c>
      <c r="C2003" s="111">
        <v>319157</v>
      </c>
      <c r="D2003" s="111" t="s">
        <v>758</v>
      </c>
      <c r="E2003" s="111" t="s">
        <v>448</v>
      </c>
      <c r="F2003" s="265">
        <v>42376</v>
      </c>
      <c r="G2003" s="265">
        <v>42418</v>
      </c>
      <c r="H2003" s="111">
        <v>6164.14</v>
      </c>
      <c r="I2003" s="111">
        <f t="shared" si="165"/>
        <v>0</v>
      </c>
      <c r="J2003" s="111">
        <v>1</v>
      </c>
      <c r="K2003" s="266">
        <f t="shared" si="166"/>
        <v>61.641400000000004</v>
      </c>
      <c r="L2003" s="29">
        <f t="shared" si="167"/>
        <v>42</v>
      </c>
      <c r="Q2003" s="29">
        <v>0</v>
      </c>
      <c r="R2003" s="292">
        <v>1109.55</v>
      </c>
      <c r="S2003" s="29">
        <v>7273.69</v>
      </c>
      <c r="T2003" s="29">
        <v>0</v>
      </c>
      <c r="U2003" s="29">
        <v>1</v>
      </c>
      <c r="V2003" s="29">
        <v>72.736900000000006</v>
      </c>
    </row>
    <row r="2004" spans="1:22">
      <c r="A2004" s="29">
        <v>27</v>
      </c>
      <c r="B2004" s="111">
        <v>1</v>
      </c>
      <c r="C2004" s="111">
        <v>319155</v>
      </c>
      <c r="D2004" s="111" t="s">
        <v>758</v>
      </c>
      <c r="E2004" s="111" t="s">
        <v>448</v>
      </c>
      <c r="F2004" s="265">
        <v>42376</v>
      </c>
      <c r="G2004" s="265">
        <v>42418</v>
      </c>
      <c r="H2004" s="111">
        <v>7014.79</v>
      </c>
      <c r="I2004" s="111">
        <f t="shared" si="165"/>
        <v>0</v>
      </c>
      <c r="J2004" s="111">
        <v>1</v>
      </c>
      <c r="K2004" s="266">
        <f t="shared" si="166"/>
        <v>70.147900000000007</v>
      </c>
      <c r="L2004" s="29">
        <f t="shared" si="167"/>
        <v>42</v>
      </c>
      <c r="Q2004" s="29">
        <v>0</v>
      </c>
      <c r="R2004" s="292">
        <v>1262.6600000000001</v>
      </c>
      <c r="S2004" s="29">
        <v>8277.4500000000007</v>
      </c>
      <c r="T2004" s="29">
        <v>0</v>
      </c>
      <c r="U2004" s="29">
        <v>1</v>
      </c>
      <c r="V2004" s="29">
        <v>82.774500000000003</v>
      </c>
    </row>
    <row r="2005" spans="1:22">
      <c r="A2005" s="29">
        <v>28</v>
      </c>
      <c r="B2005" s="111">
        <v>1</v>
      </c>
      <c r="C2005" s="111">
        <v>319190</v>
      </c>
      <c r="D2005" s="111" t="s">
        <v>760</v>
      </c>
      <c r="E2005" s="111" t="s">
        <v>448</v>
      </c>
      <c r="F2005" s="265">
        <v>42376</v>
      </c>
      <c r="G2005" s="265">
        <v>42426</v>
      </c>
      <c r="H2005" s="111">
        <v>419.17</v>
      </c>
      <c r="I2005" s="111">
        <f t="shared" si="165"/>
        <v>0</v>
      </c>
      <c r="J2005" s="111">
        <v>1</v>
      </c>
      <c r="K2005" s="266">
        <f t="shared" si="166"/>
        <v>4.1917</v>
      </c>
      <c r="L2005" s="29">
        <f t="shared" si="167"/>
        <v>50</v>
      </c>
      <c r="Q2005" s="29">
        <v>0</v>
      </c>
      <c r="R2005" s="292">
        <v>75.45</v>
      </c>
      <c r="S2005" s="29">
        <v>494.62</v>
      </c>
      <c r="T2005" s="29">
        <v>0</v>
      </c>
      <c r="U2005" s="29">
        <v>1</v>
      </c>
      <c r="V2005" s="29">
        <v>4.9462000000000002</v>
      </c>
    </row>
    <row r="2006" spans="1:22">
      <c r="A2006" s="29">
        <v>29</v>
      </c>
      <c r="B2006" s="111">
        <v>1</v>
      </c>
      <c r="C2006" s="111">
        <v>319200</v>
      </c>
      <c r="D2006" s="111" t="s">
        <v>759</v>
      </c>
      <c r="E2006" s="111" t="s">
        <v>448</v>
      </c>
      <c r="F2006" s="265">
        <v>42376</v>
      </c>
      <c r="G2006" s="265">
        <v>42424</v>
      </c>
      <c r="H2006" s="111">
        <v>1849.15</v>
      </c>
      <c r="I2006" s="111">
        <f t="shared" si="165"/>
        <v>0</v>
      </c>
      <c r="J2006" s="111">
        <v>1</v>
      </c>
      <c r="K2006" s="266">
        <f t="shared" si="166"/>
        <v>18.491500000000002</v>
      </c>
      <c r="L2006" s="29">
        <f t="shared" si="167"/>
        <v>48</v>
      </c>
      <c r="Q2006" s="29">
        <v>0</v>
      </c>
      <c r="R2006" s="292">
        <v>332.85</v>
      </c>
      <c r="S2006" s="29">
        <v>2182</v>
      </c>
      <c r="T2006" s="29">
        <v>0</v>
      </c>
      <c r="U2006" s="29">
        <v>1</v>
      </c>
      <c r="V2006" s="29">
        <v>21.82</v>
      </c>
    </row>
    <row r="2007" spans="1:22">
      <c r="A2007" s="29">
        <v>30</v>
      </c>
      <c r="B2007" s="111">
        <v>1</v>
      </c>
      <c r="C2007" s="111">
        <v>319204</v>
      </c>
      <c r="D2007" s="111" t="s">
        <v>759</v>
      </c>
      <c r="E2007" s="111" t="s">
        <v>448</v>
      </c>
      <c r="F2007" s="265">
        <v>42376</v>
      </c>
      <c r="G2007" s="265">
        <v>42424</v>
      </c>
      <c r="H2007" s="111">
        <v>6651.15</v>
      </c>
      <c r="I2007" s="111">
        <f t="shared" si="165"/>
        <v>0</v>
      </c>
      <c r="J2007" s="111">
        <v>1</v>
      </c>
      <c r="K2007" s="266">
        <f t="shared" si="166"/>
        <v>66.511499999999998</v>
      </c>
      <c r="L2007" s="29">
        <f t="shared" si="167"/>
        <v>48</v>
      </c>
      <c r="Q2007" s="29">
        <v>0</v>
      </c>
      <c r="R2007" s="292">
        <v>1197.21</v>
      </c>
      <c r="S2007" s="29">
        <v>7848.36</v>
      </c>
      <c r="T2007" s="29">
        <v>0</v>
      </c>
      <c r="U2007" s="29">
        <v>1</v>
      </c>
      <c r="V2007" s="29">
        <v>78.483599999999996</v>
      </c>
    </row>
    <row r="2008" spans="1:22">
      <c r="A2008" s="29">
        <v>31</v>
      </c>
      <c r="B2008" s="111">
        <v>1</v>
      </c>
      <c r="C2008" s="111">
        <v>319242</v>
      </c>
      <c r="D2008" s="111" t="s">
        <v>759</v>
      </c>
      <c r="E2008" s="111" t="s">
        <v>448</v>
      </c>
      <c r="F2008" s="265">
        <v>42380</v>
      </c>
      <c r="G2008" s="265">
        <v>42424</v>
      </c>
      <c r="H2008" s="111">
        <v>2093.37</v>
      </c>
      <c r="I2008" s="111">
        <f t="shared" si="165"/>
        <v>0</v>
      </c>
      <c r="J2008" s="111">
        <v>1</v>
      </c>
      <c r="K2008" s="266">
        <f t="shared" si="166"/>
        <v>20.933699999999998</v>
      </c>
      <c r="L2008" s="29">
        <f t="shared" si="167"/>
        <v>44</v>
      </c>
      <c r="Q2008" s="29">
        <v>0</v>
      </c>
      <c r="R2008" s="292">
        <v>376.81</v>
      </c>
      <c r="S2008" s="29">
        <v>2470.1799999999998</v>
      </c>
      <c r="T2008" s="29">
        <v>0</v>
      </c>
      <c r="U2008" s="29">
        <v>1</v>
      </c>
      <c r="V2008" s="29">
        <v>24.701799999999999</v>
      </c>
    </row>
    <row r="2009" spans="1:22">
      <c r="A2009" s="29">
        <v>32</v>
      </c>
      <c r="B2009" s="111">
        <v>6</v>
      </c>
      <c r="C2009" s="111">
        <v>2006</v>
      </c>
      <c r="D2009" s="111" t="s">
        <v>381</v>
      </c>
      <c r="E2009" s="111" t="s">
        <v>382</v>
      </c>
      <c r="F2009" s="265">
        <v>42382</v>
      </c>
      <c r="G2009" s="265">
        <v>42420</v>
      </c>
      <c r="H2009" s="111">
        <v>1234.75</v>
      </c>
      <c r="I2009" s="111">
        <f t="shared" si="165"/>
        <v>0</v>
      </c>
      <c r="J2009" s="111">
        <v>1</v>
      </c>
      <c r="K2009" s="266">
        <f t="shared" si="166"/>
        <v>12.3475</v>
      </c>
      <c r="L2009" s="29">
        <f t="shared" si="167"/>
        <v>38</v>
      </c>
      <c r="Q2009" s="29">
        <v>0</v>
      </c>
      <c r="R2009" s="292">
        <v>222.25</v>
      </c>
      <c r="S2009" s="29">
        <v>1457</v>
      </c>
      <c r="T2009" s="29">
        <v>0</v>
      </c>
      <c r="U2009" s="29">
        <v>1</v>
      </c>
      <c r="V2009" s="29">
        <v>14.57</v>
      </c>
    </row>
    <row r="2010" spans="1:22">
      <c r="A2010" s="29">
        <v>33</v>
      </c>
      <c r="B2010" s="111">
        <v>1</v>
      </c>
      <c r="C2010" s="111">
        <v>319635</v>
      </c>
      <c r="D2010" s="111" t="s">
        <v>758</v>
      </c>
      <c r="E2010" s="111" t="s">
        <v>448</v>
      </c>
      <c r="F2010" s="265">
        <v>42383</v>
      </c>
      <c r="G2010" s="265">
        <v>42429</v>
      </c>
      <c r="H2010" s="111">
        <v>247.42</v>
      </c>
      <c r="I2010" s="111">
        <f t="shared" ref="I2010:I2041" si="168">T2010/1.18</f>
        <v>0</v>
      </c>
      <c r="J2010" s="111">
        <v>1</v>
      </c>
      <c r="K2010" s="266">
        <f t="shared" ref="K2010:K2041" si="169">(H2010-I2010)*J2010%</f>
        <v>2.4741999999999997</v>
      </c>
      <c r="L2010" s="29">
        <f t="shared" ref="L2010:L2041" si="170">G2010-F2010</f>
        <v>46</v>
      </c>
      <c r="Q2010" s="29">
        <v>0</v>
      </c>
      <c r="R2010" s="292">
        <v>44.54</v>
      </c>
      <c r="S2010" s="29">
        <v>291.95999999999998</v>
      </c>
      <c r="T2010" s="29">
        <v>0</v>
      </c>
      <c r="U2010" s="29">
        <v>1</v>
      </c>
      <c r="V2010" s="29">
        <v>2.9196</v>
      </c>
    </row>
    <row r="2011" spans="1:22">
      <c r="A2011" s="29">
        <v>34</v>
      </c>
      <c r="B2011" s="111">
        <v>1</v>
      </c>
      <c r="C2011" s="111">
        <v>319363</v>
      </c>
      <c r="D2011" s="111" t="s">
        <v>759</v>
      </c>
      <c r="E2011" s="111" t="s">
        <v>448</v>
      </c>
      <c r="F2011" s="265">
        <v>42381</v>
      </c>
      <c r="G2011" s="265">
        <v>42424</v>
      </c>
      <c r="H2011" s="111">
        <v>3675.69</v>
      </c>
      <c r="I2011" s="111">
        <f t="shared" si="168"/>
        <v>0</v>
      </c>
      <c r="J2011" s="111">
        <v>1</v>
      </c>
      <c r="K2011" s="266">
        <f t="shared" si="169"/>
        <v>36.756900000000002</v>
      </c>
      <c r="L2011" s="29">
        <f t="shared" si="170"/>
        <v>43</v>
      </c>
      <c r="Q2011" s="29">
        <v>0</v>
      </c>
      <c r="R2011" s="292">
        <v>661.62</v>
      </c>
      <c r="S2011" s="29">
        <v>4337.3100000000004</v>
      </c>
      <c r="T2011" s="29">
        <v>0</v>
      </c>
      <c r="U2011" s="29">
        <v>1</v>
      </c>
      <c r="V2011" s="29">
        <v>43.373100000000001</v>
      </c>
    </row>
    <row r="2012" spans="1:22">
      <c r="A2012" s="29">
        <v>35</v>
      </c>
      <c r="B2012" s="111">
        <v>1</v>
      </c>
      <c r="C2012" s="111">
        <v>319393</v>
      </c>
      <c r="D2012" s="111" t="s">
        <v>758</v>
      </c>
      <c r="E2012" s="111" t="s">
        <v>448</v>
      </c>
      <c r="F2012" s="265">
        <v>42381</v>
      </c>
      <c r="G2012" s="265">
        <v>42418</v>
      </c>
      <c r="H2012" s="111">
        <v>3714.79</v>
      </c>
      <c r="I2012" s="111">
        <f t="shared" si="168"/>
        <v>0</v>
      </c>
      <c r="J2012" s="111">
        <v>1</v>
      </c>
      <c r="K2012" s="266">
        <f t="shared" si="169"/>
        <v>37.1479</v>
      </c>
      <c r="L2012" s="29">
        <f t="shared" si="170"/>
        <v>37</v>
      </c>
      <c r="Q2012" s="29">
        <v>0</v>
      </c>
      <c r="R2012" s="292">
        <v>668.66</v>
      </c>
      <c r="S2012" s="29">
        <v>4383.45</v>
      </c>
      <c r="T2012" s="29">
        <v>0</v>
      </c>
      <c r="U2012" s="29">
        <v>1</v>
      </c>
      <c r="V2012" s="29">
        <v>43.834499999999998</v>
      </c>
    </row>
    <row r="2013" spans="1:22">
      <c r="A2013" s="29">
        <v>36</v>
      </c>
      <c r="B2013" s="111">
        <v>6</v>
      </c>
      <c r="C2013" s="111">
        <v>2005</v>
      </c>
      <c r="D2013" s="111" t="s">
        <v>381</v>
      </c>
      <c r="E2013" s="111" t="s">
        <v>382</v>
      </c>
      <c r="F2013" s="265">
        <v>42381</v>
      </c>
      <c r="G2013" s="265">
        <v>42420</v>
      </c>
      <c r="H2013" s="111">
        <v>0</v>
      </c>
      <c r="I2013" s="111">
        <f t="shared" si="168"/>
        <v>0</v>
      </c>
      <c r="J2013" s="111">
        <v>1</v>
      </c>
      <c r="K2013" s="266">
        <f t="shared" si="169"/>
        <v>0</v>
      </c>
      <c r="L2013" s="29">
        <f t="shared" si="170"/>
        <v>39</v>
      </c>
      <c r="Q2013" s="29">
        <v>2925</v>
      </c>
      <c r="R2013" s="292">
        <v>0</v>
      </c>
      <c r="S2013" s="29">
        <v>2925</v>
      </c>
      <c r="T2013" s="29">
        <v>0</v>
      </c>
      <c r="U2013" s="29">
        <v>1</v>
      </c>
      <c r="V2013" s="29">
        <v>29.25</v>
      </c>
    </row>
    <row r="2014" spans="1:22">
      <c r="A2014" s="29">
        <v>37</v>
      </c>
      <c r="B2014" s="111">
        <v>1</v>
      </c>
      <c r="C2014" s="111">
        <v>319405</v>
      </c>
      <c r="D2014" s="111" t="s">
        <v>757</v>
      </c>
      <c r="E2014" s="111" t="s">
        <v>448</v>
      </c>
      <c r="F2014" s="265">
        <v>42381</v>
      </c>
      <c r="G2014" s="265">
        <v>42426</v>
      </c>
      <c r="H2014" s="111">
        <v>295.81</v>
      </c>
      <c r="I2014" s="111">
        <f t="shared" si="168"/>
        <v>0</v>
      </c>
      <c r="J2014" s="111">
        <v>1</v>
      </c>
      <c r="K2014" s="266">
        <f t="shared" si="169"/>
        <v>2.9581</v>
      </c>
      <c r="L2014" s="29">
        <f t="shared" si="170"/>
        <v>45</v>
      </c>
      <c r="Q2014" s="29">
        <v>0</v>
      </c>
      <c r="R2014" s="292">
        <v>53.25</v>
      </c>
      <c r="S2014" s="29">
        <v>349.06</v>
      </c>
      <c r="T2014" s="29">
        <v>0</v>
      </c>
      <c r="U2014" s="29">
        <v>1</v>
      </c>
      <c r="V2014" s="29">
        <v>3.4906000000000001</v>
      </c>
    </row>
    <row r="2015" spans="1:22">
      <c r="A2015" s="29">
        <v>38</v>
      </c>
      <c r="B2015" s="111">
        <v>1</v>
      </c>
      <c r="C2015" s="111">
        <v>319483</v>
      </c>
      <c r="D2015" s="111" t="s">
        <v>758</v>
      </c>
      <c r="E2015" s="111" t="s">
        <v>448</v>
      </c>
      <c r="F2015" s="265">
        <v>42382</v>
      </c>
      <c r="G2015" s="265">
        <v>42418</v>
      </c>
      <c r="H2015" s="111">
        <v>2008.01</v>
      </c>
      <c r="I2015" s="111">
        <f t="shared" si="168"/>
        <v>0</v>
      </c>
      <c r="J2015" s="111">
        <v>1</v>
      </c>
      <c r="K2015" s="266">
        <f t="shared" si="169"/>
        <v>20.080100000000002</v>
      </c>
      <c r="L2015" s="29">
        <f t="shared" si="170"/>
        <v>36</v>
      </c>
      <c r="Q2015" s="29">
        <v>0</v>
      </c>
      <c r="R2015" s="292">
        <v>361.44</v>
      </c>
      <c r="S2015" s="29">
        <v>2369.4499999999998</v>
      </c>
      <c r="T2015" s="29">
        <v>0</v>
      </c>
      <c r="U2015" s="29">
        <v>1</v>
      </c>
      <c r="V2015" s="29">
        <v>23.694500000000001</v>
      </c>
    </row>
    <row r="2016" spans="1:22">
      <c r="A2016" s="29">
        <v>39</v>
      </c>
      <c r="B2016" s="111">
        <v>1</v>
      </c>
      <c r="C2016" s="111">
        <v>319581</v>
      </c>
      <c r="D2016" s="111" t="s">
        <v>758</v>
      </c>
      <c r="E2016" s="111" t="s">
        <v>448</v>
      </c>
      <c r="F2016" s="265">
        <v>42383</v>
      </c>
      <c r="G2016" s="265">
        <v>42418</v>
      </c>
      <c r="H2016" s="111">
        <v>1785.14</v>
      </c>
      <c r="I2016" s="111">
        <f t="shared" si="168"/>
        <v>0</v>
      </c>
      <c r="J2016" s="111">
        <v>1</v>
      </c>
      <c r="K2016" s="266">
        <f t="shared" si="169"/>
        <v>17.851400000000002</v>
      </c>
      <c r="L2016" s="29">
        <f t="shared" si="170"/>
        <v>35</v>
      </c>
      <c r="Q2016" s="29">
        <v>0</v>
      </c>
      <c r="R2016" s="292">
        <v>321.33</v>
      </c>
      <c r="S2016" s="29">
        <v>2106.4699999999998</v>
      </c>
      <c r="T2016" s="29">
        <v>0</v>
      </c>
      <c r="U2016" s="29">
        <v>1</v>
      </c>
      <c r="V2016" s="29">
        <v>21.064699999999998</v>
      </c>
    </row>
    <row r="2017" spans="1:22">
      <c r="A2017" s="29">
        <v>40</v>
      </c>
      <c r="B2017" s="111">
        <v>1</v>
      </c>
      <c r="C2017" s="111">
        <v>319604</v>
      </c>
      <c r="D2017" s="111" t="s">
        <v>758</v>
      </c>
      <c r="E2017" s="111" t="s">
        <v>448</v>
      </c>
      <c r="F2017" s="265">
        <v>42383</v>
      </c>
      <c r="G2017" s="265">
        <v>42418</v>
      </c>
      <c r="H2017" s="111">
        <v>1895.42</v>
      </c>
      <c r="I2017" s="111">
        <f t="shared" si="168"/>
        <v>0</v>
      </c>
      <c r="J2017" s="111">
        <v>1</v>
      </c>
      <c r="K2017" s="266">
        <f t="shared" si="169"/>
        <v>18.9542</v>
      </c>
      <c r="L2017" s="29">
        <f t="shared" si="170"/>
        <v>35</v>
      </c>
      <c r="Q2017" s="29">
        <v>0</v>
      </c>
      <c r="R2017" s="292">
        <v>341.18</v>
      </c>
      <c r="S2017" s="29">
        <v>2236.6</v>
      </c>
      <c r="T2017" s="29">
        <v>0</v>
      </c>
      <c r="U2017" s="29">
        <v>1</v>
      </c>
      <c r="V2017" s="29">
        <v>22.366</v>
      </c>
    </row>
    <row r="2018" spans="1:22">
      <c r="A2018" s="29">
        <v>41</v>
      </c>
      <c r="B2018" s="111">
        <v>1</v>
      </c>
      <c r="C2018" s="111">
        <v>319596</v>
      </c>
      <c r="D2018" s="111" t="s">
        <v>758</v>
      </c>
      <c r="E2018" s="111" t="s">
        <v>448</v>
      </c>
      <c r="F2018" s="265">
        <v>42383</v>
      </c>
      <c r="G2018" s="265">
        <v>42418</v>
      </c>
      <c r="H2018" s="111">
        <v>4623.16</v>
      </c>
      <c r="I2018" s="111">
        <f t="shared" si="168"/>
        <v>0</v>
      </c>
      <c r="J2018" s="111">
        <v>1</v>
      </c>
      <c r="K2018" s="266">
        <f t="shared" si="169"/>
        <v>46.2316</v>
      </c>
      <c r="L2018" s="29">
        <f t="shared" si="170"/>
        <v>35</v>
      </c>
      <c r="Q2018" s="29">
        <v>0</v>
      </c>
      <c r="R2018" s="292">
        <v>832.17</v>
      </c>
      <c r="S2018" s="29">
        <v>5455.33</v>
      </c>
      <c r="T2018" s="29">
        <v>0</v>
      </c>
      <c r="U2018" s="29">
        <v>1</v>
      </c>
      <c r="V2018" s="29">
        <v>54.5533</v>
      </c>
    </row>
    <row r="2019" spans="1:22">
      <c r="A2019" s="29">
        <v>42</v>
      </c>
      <c r="B2019" s="111">
        <v>6</v>
      </c>
      <c r="C2019" s="111">
        <v>2010</v>
      </c>
      <c r="D2019" s="111" t="s">
        <v>381</v>
      </c>
      <c r="E2019" s="111" t="s">
        <v>382</v>
      </c>
      <c r="F2019" s="265">
        <v>42383</v>
      </c>
      <c r="G2019" s="265">
        <v>42420</v>
      </c>
      <c r="H2019" s="111">
        <v>7932.2</v>
      </c>
      <c r="I2019" s="111">
        <f t="shared" si="168"/>
        <v>0</v>
      </c>
      <c r="J2019" s="111">
        <v>1</v>
      </c>
      <c r="K2019" s="266">
        <f t="shared" si="169"/>
        <v>79.322000000000003</v>
      </c>
      <c r="L2019" s="29">
        <f t="shared" si="170"/>
        <v>37</v>
      </c>
      <c r="Q2019" s="29">
        <v>0</v>
      </c>
      <c r="R2019" s="292">
        <v>1427.8</v>
      </c>
      <c r="S2019" s="29">
        <v>9360</v>
      </c>
      <c r="T2019" s="29">
        <v>0</v>
      </c>
      <c r="U2019" s="29">
        <v>1</v>
      </c>
      <c r="V2019" s="29">
        <v>93.6</v>
      </c>
    </row>
    <row r="2020" spans="1:22">
      <c r="A2020" s="29">
        <v>43</v>
      </c>
      <c r="B2020" s="111">
        <v>1</v>
      </c>
      <c r="C2020" s="111">
        <v>319626</v>
      </c>
      <c r="D2020" s="111" t="s">
        <v>759</v>
      </c>
      <c r="E2020" s="111" t="s">
        <v>448</v>
      </c>
      <c r="F2020" s="265">
        <v>42383</v>
      </c>
      <c r="G2020" s="265">
        <v>42424</v>
      </c>
      <c r="H2020" s="111">
        <v>508.06</v>
      </c>
      <c r="I2020" s="111">
        <f t="shared" si="168"/>
        <v>0</v>
      </c>
      <c r="J2020" s="111">
        <v>1</v>
      </c>
      <c r="K2020" s="266">
        <f t="shared" si="169"/>
        <v>5.0806000000000004</v>
      </c>
      <c r="L2020" s="29">
        <f t="shared" si="170"/>
        <v>41</v>
      </c>
      <c r="Q2020" s="29">
        <v>0</v>
      </c>
      <c r="R2020" s="292">
        <v>91.45</v>
      </c>
      <c r="S2020" s="29">
        <v>599.51</v>
      </c>
      <c r="T2020" s="29">
        <v>0</v>
      </c>
      <c r="U2020" s="29">
        <v>1</v>
      </c>
      <c r="V2020" s="29">
        <v>5.9950999999999999</v>
      </c>
    </row>
    <row r="2021" spans="1:22">
      <c r="A2021" s="29">
        <v>44</v>
      </c>
      <c r="B2021" s="111">
        <v>1</v>
      </c>
      <c r="C2021" s="111">
        <v>319605</v>
      </c>
      <c r="D2021" s="111" t="s">
        <v>758</v>
      </c>
      <c r="E2021" s="111" t="s">
        <v>448</v>
      </c>
      <c r="F2021" s="265">
        <v>42383</v>
      </c>
      <c r="G2021" s="265">
        <v>42418</v>
      </c>
      <c r="H2021" s="111">
        <v>4274.7299999999996</v>
      </c>
      <c r="I2021" s="111">
        <f t="shared" si="168"/>
        <v>0</v>
      </c>
      <c r="J2021" s="111">
        <v>1</v>
      </c>
      <c r="K2021" s="266">
        <f t="shared" si="169"/>
        <v>42.747299999999996</v>
      </c>
      <c r="L2021" s="29">
        <f t="shared" si="170"/>
        <v>35</v>
      </c>
      <c r="Q2021" s="29">
        <v>0</v>
      </c>
      <c r="R2021" s="292">
        <v>769.45</v>
      </c>
      <c r="S2021" s="29">
        <v>5044.18</v>
      </c>
      <c r="T2021" s="29">
        <v>0</v>
      </c>
      <c r="U2021" s="29">
        <v>1</v>
      </c>
      <c r="V2021" s="29">
        <v>50.441800000000001</v>
      </c>
    </row>
    <row r="2022" spans="1:22">
      <c r="A2022" s="29">
        <v>45</v>
      </c>
      <c r="B2022" s="111">
        <v>1</v>
      </c>
      <c r="C2022" s="111">
        <v>319747</v>
      </c>
      <c r="D2022" s="111" t="s">
        <v>758</v>
      </c>
      <c r="E2022" s="111" t="s">
        <v>448</v>
      </c>
      <c r="F2022" s="265">
        <v>42385</v>
      </c>
      <c r="G2022" s="265">
        <v>42418</v>
      </c>
      <c r="H2022" s="111">
        <v>7842.72</v>
      </c>
      <c r="I2022" s="111">
        <f t="shared" si="168"/>
        <v>0</v>
      </c>
      <c r="J2022" s="111">
        <v>1</v>
      </c>
      <c r="K2022" s="266">
        <f t="shared" si="169"/>
        <v>78.427199999999999</v>
      </c>
      <c r="L2022" s="29">
        <f t="shared" si="170"/>
        <v>33</v>
      </c>
      <c r="Q2022" s="29">
        <v>0</v>
      </c>
      <c r="R2022" s="292">
        <v>1411.69</v>
      </c>
      <c r="S2022" s="29">
        <v>9254.41</v>
      </c>
      <c r="T2022" s="29">
        <v>0</v>
      </c>
      <c r="U2022" s="29">
        <v>1</v>
      </c>
      <c r="V2022" s="29">
        <v>92.5441</v>
      </c>
    </row>
    <row r="2023" spans="1:22">
      <c r="A2023" s="29">
        <v>46</v>
      </c>
      <c r="B2023" s="111">
        <v>1</v>
      </c>
      <c r="C2023" s="111">
        <v>319748</v>
      </c>
      <c r="D2023" s="111" t="s">
        <v>758</v>
      </c>
      <c r="E2023" s="111" t="s">
        <v>448</v>
      </c>
      <c r="F2023" s="265">
        <v>42385</v>
      </c>
      <c r="G2023" s="265">
        <v>42418</v>
      </c>
      <c r="H2023" s="111">
        <v>4775.6000000000004</v>
      </c>
      <c r="I2023" s="111">
        <f t="shared" si="168"/>
        <v>0</v>
      </c>
      <c r="J2023" s="111">
        <v>1</v>
      </c>
      <c r="K2023" s="266">
        <f t="shared" si="169"/>
        <v>47.756000000000007</v>
      </c>
      <c r="L2023" s="29">
        <f t="shared" si="170"/>
        <v>33</v>
      </c>
      <c r="Q2023" s="29">
        <v>0</v>
      </c>
      <c r="R2023" s="292">
        <v>859.61</v>
      </c>
      <c r="S2023" s="29">
        <v>5635.21</v>
      </c>
      <c r="T2023" s="29">
        <v>0</v>
      </c>
      <c r="U2023" s="29">
        <v>1</v>
      </c>
      <c r="V2023" s="29">
        <v>56.3521</v>
      </c>
    </row>
    <row r="2024" spans="1:22">
      <c r="A2024" s="29">
        <v>47</v>
      </c>
      <c r="B2024" s="111">
        <v>1</v>
      </c>
      <c r="C2024" s="111">
        <v>319749</v>
      </c>
      <c r="D2024" s="111" t="s">
        <v>758</v>
      </c>
      <c r="E2024" s="111" t="s">
        <v>448</v>
      </c>
      <c r="F2024" s="265">
        <v>42385</v>
      </c>
      <c r="G2024" s="265">
        <v>42418</v>
      </c>
      <c r="H2024" s="111">
        <v>8758.41</v>
      </c>
      <c r="I2024" s="266">
        <f t="shared" si="168"/>
        <v>57.042372881355938</v>
      </c>
      <c r="J2024" s="111">
        <v>1</v>
      </c>
      <c r="K2024" s="266">
        <f t="shared" si="169"/>
        <v>87.013676271186441</v>
      </c>
      <c r="L2024" s="29">
        <f t="shared" si="170"/>
        <v>33</v>
      </c>
      <c r="Q2024" s="29">
        <v>0</v>
      </c>
      <c r="R2024" s="292">
        <v>1576.51</v>
      </c>
      <c r="S2024" s="29">
        <v>10334.92</v>
      </c>
      <c r="T2024" s="29">
        <v>67.31</v>
      </c>
      <c r="U2024" s="29">
        <v>1</v>
      </c>
      <c r="V2024" s="29">
        <v>102.67610000000001</v>
      </c>
    </row>
    <row r="2025" spans="1:22">
      <c r="A2025" s="29">
        <v>48</v>
      </c>
      <c r="B2025" s="111">
        <v>1</v>
      </c>
      <c r="C2025" s="111">
        <v>319775</v>
      </c>
      <c r="D2025" s="111" t="s">
        <v>759</v>
      </c>
      <c r="E2025" s="111" t="s">
        <v>448</v>
      </c>
      <c r="F2025" s="265">
        <v>42387</v>
      </c>
      <c r="G2025" s="265">
        <v>42424</v>
      </c>
      <c r="H2025" s="111">
        <v>1803.62</v>
      </c>
      <c r="I2025" s="111">
        <f t="shared" si="168"/>
        <v>0</v>
      </c>
      <c r="J2025" s="111">
        <v>1</v>
      </c>
      <c r="K2025" s="266">
        <f t="shared" si="169"/>
        <v>18.036200000000001</v>
      </c>
      <c r="L2025" s="29">
        <f t="shared" si="170"/>
        <v>37</v>
      </c>
      <c r="Q2025" s="29">
        <v>0</v>
      </c>
      <c r="R2025" s="292">
        <v>324.64999999999998</v>
      </c>
      <c r="S2025" s="29">
        <v>2128.27</v>
      </c>
      <c r="T2025" s="29">
        <v>0</v>
      </c>
      <c r="U2025" s="29">
        <v>1</v>
      </c>
      <c r="V2025" s="29">
        <v>21.282699999999998</v>
      </c>
    </row>
    <row r="2026" spans="1:22">
      <c r="A2026" s="29">
        <v>49</v>
      </c>
      <c r="B2026" s="111">
        <v>1</v>
      </c>
      <c r="C2026" s="111">
        <v>319835</v>
      </c>
      <c r="D2026" s="111" t="s">
        <v>758</v>
      </c>
      <c r="E2026" s="111" t="s">
        <v>448</v>
      </c>
      <c r="F2026" s="265">
        <v>42388</v>
      </c>
      <c r="G2026" s="265">
        <v>42429</v>
      </c>
      <c r="H2026" s="111">
        <v>2886.38</v>
      </c>
      <c r="I2026" s="111">
        <f t="shared" si="168"/>
        <v>0</v>
      </c>
      <c r="J2026" s="111">
        <v>1</v>
      </c>
      <c r="K2026" s="266">
        <f t="shared" si="169"/>
        <v>28.863800000000001</v>
      </c>
      <c r="L2026" s="29">
        <f t="shared" si="170"/>
        <v>41</v>
      </c>
      <c r="Q2026" s="29">
        <v>0</v>
      </c>
      <c r="R2026" s="292">
        <v>519.54999999999995</v>
      </c>
      <c r="S2026" s="29">
        <v>3405.93</v>
      </c>
      <c r="T2026" s="29">
        <v>0</v>
      </c>
      <c r="U2026" s="29">
        <v>1</v>
      </c>
      <c r="V2026" s="29">
        <v>34.0593</v>
      </c>
    </row>
    <row r="2027" spans="1:22">
      <c r="A2027" s="29">
        <v>50</v>
      </c>
      <c r="B2027" s="111">
        <v>6</v>
      </c>
      <c r="C2027" s="111">
        <v>2015</v>
      </c>
      <c r="D2027" s="111" t="s">
        <v>381</v>
      </c>
      <c r="E2027" s="111" t="s">
        <v>382</v>
      </c>
      <c r="F2027" s="265">
        <v>42388</v>
      </c>
      <c r="G2027" s="265">
        <v>42420</v>
      </c>
      <c r="H2027" s="111">
        <v>4512.71</v>
      </c>
      <c r="I2027" s="111">
        <f t="shared" si="168"/>
        <v>0</v>
      </c>
      <c r="J2027" s="111">
        <v>1</v>
      </c>
      <c r="K2027" s="266">
        <f t="shared" si="169"/>
        <v>45.127099999999999</v>
      </c>
      <c r="L2027" s="29">
        <f t="shared" si="170"/>
        <v>32</v>
      </c>
      <c r="Q2027" s="29">
        <v>0</v>
      </c>
      <c r="R2027" s="292">
        <v>812.29</v>
      </c>
      <c r="S2027" s="29">
        <v>5325</v>
      </c>
      <c r="T2027" s="29">
        <v>0</v>
      </c>
      <c r="U2027" s="29">
        <v>1</v>
      </c>
      <c r="V2027" s="29">
        <v>53.25</v>
      </c>
    </row>
    <row r="2028" spans="1:22">
      <c r="A2028" s="29">
        <v>51</v>
      </c>
      <c r="B2028" s="111">
        <v>1</v>
      </c>
      <c r="C2028" s="111">
        <v>319937</v>
      </c>
      <c r="D2028" s="111" t="s">
        <v>760</v>
      </c>
      <c r="E2028" s="111" t="s">
        <v>448</v>
      </c>
      <c r="F2028" s="265">
        <v>42388</v>
      </c>
      <c r="G2028" s="265">
        <v>42426</v>
      </c>
      <c r="H2028" s="111">
        <v>419.17</v>
      </c>
      <c r="I2028" s="111">
        <f t="shared" si="168"/>
        <v>0</v>
      </c>
      <c r="J2028" s="111">
        <v>1</v>
      </c>
      <c r="K2028" s="266">
        <f t="shared" si="169"/>
        <v>4.1917</v>
      </c>
      <c r="L2028" s="29">
        <f t="shared" si="170"/>
        <v>38</v>
      </c>
      <c r="Q2028" s="29">
        <v>0</v>
      </c>
      <c r="R2028" s="292">
        <v>75.45</v>
      </c>
      <c r="S2028" s="29">
        <v>494.62</v>
      </c>
      <c r="T2028" s="29">
        <v>0</v>
      </c>
      <c r="U2028" s="29">
        <v>1</v>
      </c>
      <c r="V2028" s="29">
        <v>4.9462000000000002</v>
      </c>
    </row>
    <row r="2029" spans="1:22">
      <c r="A2029" s="29">
        <v>52</v>
      </c>
      <c r="B2029" s="111">
        <v>1</v>
      </c>
      <c r="C2029" s="111">
        <v>319972</v>
      </c>
      <c r="D2029" s="111" t="s">
        <v>758</v>
      </c>
      <c r="E2029" s="111" t="s">
        <v>448</v>
      </c>
      <c r="F2029" s="265">
        <v>42389</v>
      </c>
      <c r="G2029" s="265">
        <v>42429</v>
      </c>
      <c r="H2029" s="111">
        <v>9510.3799999999992</v>
      </c>
      <c r="I2029" s="111">
        <f t="shared" si="168"/>
        <v>0</v>
      </c>
      <c r="J2029" s="111">
        <v>1</v>
      </c>
      <c r="K2029" s="266">
        <f t="shared" si="169"/>
        <v>95.103799999999993</v>
      </c>
      <c r="L2029" s="29">
        <f t="shared" si="170"/>
        <v>40</v>
      </c>
      <c r="Q2029" s="29">
        <v>0</v>
      </c>
      <c r="R2029" s="292">
        <v>1711.87</v>
      </c>
      <c r="S2029" s="29">
        <v>11222.25</v>
      </c>
      <c r="T2029" s="29">
        <v>0</v>
      </c>
      <c r="U2029" s="29">
        <v>1</v>
      </c>
      <c r="V2029" s="29">
        <v>112.2225</v>
      </c>
    </row>
    <row r="2030" spans="1:22">
      <c r="A2030" s="29">
        <v>53</v>
      </c>
      <c r="B2030" s="111">
        <v>1</v>
      </c>
      <c r="C2030" s="111">
        <v>320220</v>
      </c>
      <c r="D2030" s="111" t="s">
        <v>758</v>
      </c>
      <c r="E2030" s="111" t="s">
        <v>448</v>
      </c>
      <c r="F2030" s="265">
        <v>42392</v>
      </c>
      <c r="G2030" s="265">
        <v>42429</v>
      </c>
      <c r="H2030" s="111">
        <v>4344.5600000000004</v>
      </c>
      <c r="I2030" s="111">
        <f t="shared" si="168"/>
        <v>0</v>
      </c>
      <c r="J2030" s="111">
        <v>1</v>
      </c>
      <c r="K2030" s="266">
        <f t="shared" si="169"/>
        <v>43.445600000000006</v>
      </c>
      <c r="L2030" s="29">
        <f t="shared" si="170"/>
        <v>37</v>
      </c>
      <c r="Q2030" s="29">
        <v>0</v>
      </c>
      <c r="R2030" s="292">
        <v>782.02</v>
      </c>
      <c r="S2030" s="29">
        <v>5126.58</v>
      </c>
      <c r="T2030" s="29">
        <v>0</v>
      </c>
      <c r="U2030" s="29">
        <v>1</v>
      </c>
      <c r="V2030" s="29">
        <v>51.265799999999999</v>
      </c>
    </row>
    <row r="2031" spans="1:22">
      <c r="A2031" s="29">
        <v>54</v>
      </c>
      <c r="B2031" s="111">
        <v>1</v>
      </c>
      <c r="C2031" s="111">
        <v>320119</v>
      </c>
      <c r="D2031" s="111" t="s">
        <v>758</v>
      </c>
      <c r="E2031" s="111" t="s">
        <v>448</v>
      </c>
      <c r="F2031" s="265">
        <v>42391</v>
      </c>
      <c r="G2031" s="265">
        <v>42429</v>
      </c>
      <c r="H2031" s="111">
        <v>962.52</v>
      </c>
      <c r="I2031" s="111">
        <f t="shared" si="168"/>
        <v>0</v>
      </c>
      <c r="J2031" s="111">
        <v>1</v>
      </c>
      <c r="K2031" s="266">
        <f t="shared" si="169"/>
        <v>9.6251999999999995</v>
      </c>
      <c r="L2031" s="29">
        <f t="shared" si="170"/>
        <v>38</v>
      </c>
      <c r="Q2031" s="29">
        <v>0</v>
      </c>
      <c r="R2031" s="292">
        <v>173.25</v>
      </c>
      <c r="S2031" s="29">
        <v>1135.77</v>
      </c>
      <c r="T2031" s="29">
        <v>0</v>
      </c>
      <c r="U2031" s="29">
        <v>1</v>
      </c>
      <c r="V2031" s="29">
        <v>11.357699999999999</v>
      </c>
    </row>
    <row r="2032" spans="1:22">
      <c r="A2032" s="29">
        <v>55</v>
      </c>
      <c r="B2032" s="111">
        <v>1</v>
      </c>
      <c r="C2032" s="111">
        <v>320151</v>
      </c>
      <c r="D2032" s="111" t="s">
        <v>760</v>
      </c>
      <c r="E2032" s="111" t="s">
        <v>448</v>
      </c>
      <c r="F2032" s="265">
        <v>42391</v>
      </c>
      <c r="G2032" s="265">
        <v>42426</v>
      </c>
      <c r="H2032" s="111">
        <v>133.61000000000001</v>
      </c>
      <c r="I2032" s="111">
        <f t="shared" si="168"/>
        <v>0</v>
      </c>
      <c r="J2032" s="111">
        <v>1</v>
      </c>
      <c r="K2032" s="266">
        <f t="shared" si="169"/>
        <v>1.3361000000000001</v>
      </c>
      <c r="L2032" s="29">
        <f t="shared" si="170"/>
        <v>35</v>
      </c>
      <c r="Q2032" s="29">
        <v>0</v>
      </c>
      <c r="R2032" s="292">
        <v>24.05</v>
      </c>
      <c r="S2032" s="29">
        <v>157.66</v>
      </c>
      <c r="T2032" s="29">
        <v>0</v>
      </c>
      <c r="U2032" s="29">
        <v>1</v>
      </c>
      <c r="V2032" s="29">
        <v>1.5766</v>
      </c>
    </row>
    <row r="2033" spans="1:22">
      <c r="A2033" s="29">
        <v>56</v>
      </c>
      <c r="B2033" s="111">
        <v>1</v>
      </c>
      <c r="C2033" s="111">
        <v>320257</v>
      </c>
      <c r="D2033" s="111" t="s">
        <v>758</v>
      </c>
      <c r="E2033" s="111" t="s">
        <v>448</v>
      </c>
      <c r="F2033" s="265">
        <v>42394</v>
      </c>
      <c r="G2033" s="265">
        <v>42429</v>
      </c>
      <c r="H2033" s="111">
        <v>1508.47</v>
      </c>
      <c r="I2033" s="111">
        <f t="shared" si="168"/>
        <v>0</v>
      </c>
      <c r="J2033" s="111">
        <v>1</v>
      </c>
      <c r="K2033" s="266">
        <f t="shared" si="169"/>
        <v>15.0847</v>
      </c>
      <c r="L2033" s="29">
        <f t="shared" si="170"/>
        <v>35</v>
      </c>
      <c r="Q2033" s="29">
        <v>0</v>
      </c>
      <c r="R2033" s="292">
        <v>271.52</v>
      </c>
      <c r="S2033" s="29">
        <v>1779.99</v>
      </c>
      <c r="T2033" s="29">
        <v>0</v>
      </c>
      <c r="U2033" s="29">
        <v>1</v>
      </c>
      <c r="V2033" s="29">
        <v>17.799900000000001</v>
      </c>
    </row>
    <row r="2034" spans="1:22">
      <c r="A2034" s="29">
        <v>57</v>
      </c>
      <c r="B2034" s="111">
        <v>1</v>
      </c>
      <c r="C2034" s="111">
        <v>320206</v>
      </c>
      <c r="D2034" s="111" t="s">
        <v>758</v>
      </c>
      <c r="E2034" s="111" t="s">
        <v>448</v>
      </c>
      <c r="F2034" s="265">
        <v>42392</v>
      </c>
      <c r="G2034" s="265">
        <v>42429</v>
      </c>
      <c r="H2034" s="111">
        <v>3928.24</v>
      </c>
      <c r="I2034" s="111">
        <f t="shared" si="168"/>
        <v>0</v>
      </c>
      <c r="J2034" s="111">
        <v>1</v>
      </c>
      <c r="K2034" s="266">
        <f t="shared" si="169"/>
        <v>39.282399999999996</v>
      </c>
      <c r="L2034" s="29">
        <f t="shared" si="170"/>
        <v>37</v>
      </c>
      <c r="Q2034" s="29">
        <v>0</v>
      </c>
      <c r="R2034" s="292">
        <v>707.08</v>
      </c>
      <c r="S2034" s="29">
        <v>4635.32</v>
      </c>
      <c r="T2034" s="29">
        <v>0</v>
      </c>
      <c r="U2034" s="29">
        <v>1</v>
      </c>
      <c r="V2034" s="29">
        <v>46.353200000000001</v>
      </c>
    </row>
    <row r="2035" spans="1:22">
      <c r="A2035" s="29">
        <v>58</v>
      </c>
      <c r="B2035" s="111">
        <v>1</v>
      </c>
      <c r="C2035" s="111">
        <v>320260</v>
      </c>
      <c r="D2035" s="111" t="s">
        <v>758</v>
      </c>
      <c r="E2035" s="111" t="s">
        <v>448</v>
      </c>
      <c r="F2035" s="265">
        <v>42394</v>
      </c>
      <c r="G2035" s="265">
        <v>42429</v>
      </c>
      <c r="H2035" s="111">
        <v>6318.07</v>
      </c>
      <c r="I2035" s="111">
        <f t="shared" si="168"/>
        <v>0</v>
      </c>
      <c r="J2035" s="111">
        <v>1</v>
      </c>
      <c r="K2035" s="266">
        <f t="shared" si="169"/>
        <v>63.180700000000002</v>
      </c>
      <c r="L2035" s="29">
        <f t="shared" si="170"/>
        <v>35</v>
      </c>
      <c r="Q2035" s="29">
        <v>0</v>
      </c>
      <c r="R2035" s="292">
        <v>1137.25</v>
      </c>
      <c r="S2035" s="29">
        <v>7455.32</v>
      </c>
      <c r="T2035" s="29">
        <v>0</v>
      </c>
      <c r="U2035" s="29">
        <v>1</v>
      </c>
      <c r="V2035" s="29">
        <v>74.553200000000004</v>
      </c>
    </row>
    <row r="2036" spans="1:22">
      <c r="A2036" s="29">
        <v>59</v>
      </c>
      <c r="B2036" s="111">
        <v>1</v>
      </c>
      <c r="C2036" s="111">
        <v>320262</v>
      </c>
      <c r="D2036" s="111" t="s">
        <v>758</v>
      </c>
      <c r="E2036" s="111" t="s">
        <v>448</v>
      </c>
      <c r="F2036" s="265">
        <v>42394</v>
      </c>
      <c r="G2036" s="265">
        <v>42429</v>
      </c>
      <c r="H2036" s="111">
        <v>2599.4499999999998</v>
      </c>
      <c r="I2036" s="111">
        <f t="shared" si="168"/>
        <v>0</v>
      </c>
      <c r="J2036" s="111">
        <v>1</v>
      </c>
      <c r="K2036" s="266">
        <f t="shared" si="169"/>
        <v>25.994499999999999</v>
      </c>
      <c r="L2036" s="29">
        <f t="shared" si="170"/>
        <v>35</v>
      </c>
      <c r="Q2036" s="29">
        <v>0</v>
      </c>
      <c r="R2036" s="292">
        <v>467.9</v>
      </c>
      <c r="S2036" s="29">
        <v>3067.35</v>
      </c>
      <c r="T2036" s="29">
        <v>0</v>
      </c>
      <c r="U2036" s="29">
        <v>1</v>
      </c>
      <c r="V2036" s="29">
        <v>30.673500000000001</v>
      </c>
    </row>
    <row r="2037" spans="1:22">
      <c r="A2037" s="29">
        <v>60</v>
      </c>
      <c r="B2037" s="111">
        <v>1</v>
      </c>
      <c r="C2037" s="111">
        <v>320261</v>
      </c>
      <c r="D2037" s="111" t="s">
        <v>758</v>
      </c>
      <c r="E2037" s="111" t="s">
        <v>448</v>
      </c>
      <c r="F2037" s="265">
        <v>42394</v>
      </c>
      <c r="G2037" s="265">
        <v>42429</v>
      </c>
      <c r="H2037" s="111">
        <v>6890.81</v>
      </c>
      <c r="I2037" s="111">
        <f t="shared" si="168"/>
        <v>0</v>
      </c>
      <c r="J2037" s="111">
        <v>1</v>
      </c>
      <c r="K2037" s="266">
        <f t="shared" si="169"/>
        <v>68.908100000000005</v>
      </c>
      <c r="L2037" s="29">
        <f t="shared" si="170"/>
        <v>35</v>
      </c>
      <c r="Q2037" s="29">
        <v>0</v>
      </c>
      <c r="R2037" s="292">
        <v>1240.3499999999999</v>
      </c>
      <c r="S2037" s="29">
        <v>8131.16</v>
      </c>
      <c r="T2037" s="29">
        <v>0</v>
      </c>
      <c r="U2037" s="29">
        <v>1</v>
      </c>
      <c r="V2037" s="29">
        <v>81.311599999999999</v>
      </c>
    </row>
    <row r="2038" spans="1:22">
      <c r="A2038" s="29">
        <v>61</v>
      </c>
      <c r="B2038" s="111">
        <v>1</v>
      </c>
      <c r="C2038" s="111">
        <v>320306</v>
      </c>
      <c r="D2038" s="111" t="s">
        <v>758</v>
      </c>
      <c r="E2038" s="111" t="s">
        <v>448</v>
      </c>
      <c r="F2038" s="265">
        <v>42394</v>
      </c>
      <c r="G2038" s="265">
        <v>42429</v>
      </c>
      <c r="H2038" s="111">
        <v>1214.3800000000001</v>
      </c>
      <c r="I2038" s="111">
        <f t="shared" si="168"/>
        <v>0</v>
      </c>
      <c r="J2038" s="111">
        <v>1</v>
      </c>
      <c r="K2038" s="266">
        <f t="shared" si="169"/>
        <v>12.143800000000001</v>
      </c>
      <c r="L2038" s="29">
        <f t="shared" si="170"/>
        <v>35</v>
      </c>
      <c r="Q2038" s="29">
        <v>0</v>
      </c>
      <c r="R2038" s="292">
        <v>218.59</v>
      </c>
      <c r="S2038" s="29">
        <v>1432.97</v>
      </c>
      <c r="T2038" s="29">
        <v>0</v>
      </c>
      <c r="U2038" s="29">
        <v>1</v>
      </c>
      <c r="V2038" s="29">
        <v>14.329700000000001</v>
      </c>
    </row>
    <row r="2039" spans="1:22">
      <c r="A2039" s="29">
        <v>62</v>
      </c>
      <c r="B2039" s="111">
        <v>1</v>
      </c>
      <c r="C2039" s="111">
        <v>320618</v>
      </c>
      <c r="D2039" s="111" t="s">
        <v>758</v>
      </c>
      <c r="E2039" s="111" t="s">
        <v>448</v>
      </c>
      <c r="F2039" s="265">
        <v>42397</v>
      </c>
      <c r="G2039" s="265">
        <v>42429</v>
      </c>
      <c r="H2039" s="111">
        <v>170.22</v>
      </c>
      <c r="I2039" s="111">
        <f t="shared" si="168"/>
        <v>0</v>
      </c>
      <c r="J2039" s="111">
        <v>1</v>
      </c>
      <c r="K2039" s="266">
        <f t="shared" si="169"/>
        <v>1.7021999999999999</v>
      </c>
      <c r="L2039" s="29">
        <f t="shared" si="170"/>
        <v>32</v>
      </c>
      <c r="Q2039" s="29">
        <v>0</v>
      </c>
      <c r="R2039" s="292">
        <v>30.64</v>
      </c>
      <c r="S2039" s="29">
        <v>200.86</v>
      </c>
      <c r="T2039" s="29">
        <v>0</v>
      </c>
      <c r="U2039" s="29">
        <v>1</v>
      </c>
      <c r="V2039" s="29">
        <v>2.0085999999999999</v>
      </c>
    </row>
    <row r="2040" spans="1:22">
      <c r="A2040" s="29">
        <v>63</v>
      </c>
      <c r="B2040" s="111">
        <v>1</v>
      </c>
      <c r="C2040" s="111">
        <v>320437</v>
      </c>
      <c r="D2040" s="111" t="s">
        <v>758</v>
      </c>
      <c r="E2040" s="111" t="s">
        <v>448</v>
      </c>
      <c r="F2040" s="265">
        <v>42396</v>
      </c>
      <c r="G2040" s="265">
        <v>42429</v>
      </c>
      <c r="H2040" s="111">
        <v>1499.91</v>
      </c>
      <c r="I2040" s="111">
        <f t="shared" si="168"/>
        <v>0</v>
      </c>
      <c r="J2040" s="111">
        <v>1</v>
      </c>
      <c r="K2040" s="266">
        <f t="shared" si="169"/>
        <v>14.9991</v>
      </c>
      <c r="L2040" s="29">
        <f t="shared" si="170"/>
        <v>33</v>
      </c>
      <c r="Q2040" s="29">
        <v>0</v>
      </c>
      <c r="R2040" s="292">
        <v>269.98</v>
      </c>
      <c r="S2040" s="29">
        <v>1769.89</v>
      </c>
      <c r="T2040" s="29">
        <v>0</v>
      </c>
      <c r="U2040" s="29">
        <v>1</v>
      </c>
      <c r="V2040" s="29">
        <v>17.698899999999998</v>
      </c>
    </row>
    <row r="2041" spans="1:22">
      <c r="A2041" s="29">
        <v>64</v>
      </c>
      <c r="B2041" s="111">
        <v>1</v>
      </c>
      <c r="C2041" s="111">
        <v>320438</v>
      </c>
      <c r="D2041" s="111" t="s">
        <v>758</v>
      </c>
      <c r="E2041" s="111" t="s">
        <v>448</v>
      </c>
      <c r="F2041" s="265">
        <v>42396</v>
      </c>
      <c r="G2041" s="265">
        <v>42429</v>
      </c>
      <c r="H2041" s="111">
        <v>2249.87</v>
      </c>
      <c r="I2041" s="111">
        <f t="shared" si="168"/>
        <v>0</v>
      </c>
      <c r="J2041" s="111">
        <v>1</v>
      </c>
      <c r="K2041" s="266">
        <f t="shared" si="169"/>
        <v>22.498699999999999</v>
      </c>
      <c r="L2041" s="29">
        <f t="shared" si="170"/>
        <v>33</v>
      </c>
      <c r="Q2041" s="29">
        <v>0</v>
      </c>
      <c r="R2041" s="292">
        <v>404.98</v>
      </c>
      <c r="S2041" s="29">
        <v>2654.85</v>
      </c>
      <c r="T2041" s="29">
        <v>0</v>
      </c>
      <c r="U2041" s="29">
        <v>1</v>
      </c>
      <c r="V2041" s="29">
        <v>26.548500000000001</v>
      </c>
    </row>
    <row r="2042" spans="1:22">
      <c r="A2042" s="29">
        <v>65</v>
      </c>
      <c r="B2042" s="111">
        <v>1</v>
      </c>
      <c r="C2042" s="111">
        <v>320535</v>
      </c>
      <c r="D2042" s="111" t="s">
        <v>758</v>
      </c>
      <c r="E2042" s="111" t="s">
        <v>448</v>
      </c>
      <c r="F2042" s="265">
        <v>42397</v>
      </c>
      <c r="G2042" s="265">
        <v>42429</v>
      </c>
      <c r="H2042" s="111">
        <v>7375.05</v>
      </c>
      <c r="I2042" s="266">
        <f t="shared" ref="I2042:I2056" si="171">T2042/1.18</f>
        <v>133.4491525423729</v>
      </c>
      <c r="J2042" s="111">
        <v>1</v>
      </c>
      <c r="K2042" s="266">
        <f t="shared" ref="K2042:K2051" si="172">(H2042-I2042)*J2042%</f>
        <v>72.416008474576273</v>
      </c>
      <c r="L2042" s="29">
        <f t="shared" ref="L2042:L2056" si="173">G2042-F2042</f>
        <v>32</v>
      </c>
      <c r="Q2042" s="29">
        <v>0</v>
      </c>
      <c r="R2042" s="292">
        <v>1327.51</v>
      </c>
      <c r="S2042" s="29">
        <v>8702.56</v>
      </c>
      <c r="T2042" s="29">
        <v>157.47</v>
      </c>
      <c r="U2042" s="29">
        <v>1</v>
      </c>
      <c r="V2042" s="29">
        <v>85.450900000000004</v>
      </c>
    </row>
    <row r="2043" spans="1:22">
      <c r="A2043" s="29">
        <v>66</v>
      </c>
      <c r="B2043" s="111">
        <v>1</v>
      </c>
      <c r="C2043" s="111">
        <v>320534</v>
      </c>
      <c r="D2043" s="111" t="s">
        <v>758</v>
      </c>
      <c r="E2043" s="111" t="s">
        <v>448</v>
      </c>
      <c r="F2043" s="265">
        <v>42397</v>
      </c>
      <c r="G2043" s="265">
        <v>42429</v>
      </c>
      <c r="H2043" s="111">
        <v>1457.25</v>
      </c>
      <c r="I2043" s="266">
        <f t="shared" si="171"/>
        <v>0</v>
      </c>
      <c r="J2043" s="111">
        <v>1</v>
      </c>
      <c r="K2043" s="266">
        <f t="shared" si="172"/>
        <v>14.5725</v>
      </c>
      <c r="L2043" s="29">
        <f t="shared" si="173"/>
        <v>32</v>
      </c>
      <c r="Q2043" s="29">
        <v>0</v>
      </c>
      <c r="R2043" s="292">
        <v>262.31</v>
      </c>
      <c r="S2043" s="29">
        <v>1719.56</v>
      </c>
      <c r="T2043" s="29">
        <v>0</v>
      </c>
      <c r="U2043" s="29">
        <v>1</v>
      </c>
      <c r="V2043" s="29">
        <v>17.195599999999999</v>
      </c>
    </row>
    <row r="2044" spans="1:22">
      <c r="A2044" s="29">
        <v>67</v>
      </c>
      <c r="B2044" s="111">
        <v>1</v>
      </c>
      <c r="C2044" s="111">
        <v>320536</v>
      </c>
      <c r="D2044" s="111" t="s">
        <v>758</v>
      </c>
      <c r="E2044" s="111" t="s">
        <v>448</v>
      </c>
      <c r="F2044" s="265">
        <v>42397</v>
      </c>
      <c r="G2044" s="265">
        <v>42429</v>
      </c>
      <c r="H2044" s="111">
        <v>8796.17</v>
      </c>
      <c r="I2044" s="266">
        <f t="shared" si="171"/>
        <v>222.50000000000003</v>
      </c>
      <c r="J2044" s="111">
        <v>1</v>
      </c>
      <c r="K2044" s="266">
        <f t="shared" si="172"/>
        <v>85.736699999999999</v>
      </c>
      <c r="L2044" s="29">
        <f t="shared" si="173"/>
        <v>32</v>
      </c>
      <c r="Q2044" s="29">
        <v>0</v>
      </c>
      <c r="R2044" s="292">
        <v>1583.31</v>
      </c>
      <c r="S2044" s="29">
        <v>10379.48</v>
      </c>
      <c r="T2044" s="29">
        <v>262.55</v>
      </c>
      <c r="U2044" s="29">
        <v>1</v>
      </c>
      <c r="V2044" s="29">
        <v>101.16930000000001</v>
      </c>
    </row>
    <row r="2045" spans="1:22">
      <c r="A2045" s="29">
        <v>68</v>
      </c>
      <c r="B2045" s="111">
        <v>1</v>
      </c>
      <c r="C2045" s="111">
        <v>320682</v>
      </c>
      <c r="D2045" s="111" t="s">
        <v>758</v>
      </c>
      <c r="E2045" s="111" t="s">
        <v>448</v>
      </c>
      <c r="F2045" s="265">
        <v>42398</v>
      </c>
      <c r="G2045" s="265">
        <v>42429</v>
      </c>
      <c r="H2045" s="111">
        <v>440.5</v>
      </c>
      <c r="I2045" s="111">
        <f t="shared" si="171"/>
        <v>0</v>
      </c>
      <c r="J2045" s="111">
        <v>1</v>
      </c>
      <c r="K2045" s="266">
        <f t="shared" si="172"/>
        <v>4.4050000000000002</v>
      </c>
      <c r="L2045" s="29">
        <f t="shared" si="173"/>
        <v>31</v>
      </c>
      <c r="Q2045" s="29">
        <v>0</v>
      </c>
      <c r="R2045" s="292">
        <v>79.290000000000006</v>
      </c>
      <c r="S2045" s="29">
        <v>519.79</v>
      </c>
      <c r="T2045" s="29">
        <v>0</v>
      </c>
      <c r="U2045" s="29">
        <v>1</v>
      </c>
      <c r="V2045" s="29">
        <v>5.1978999999999997</v>
      </c>
    </row>
    <row r="2046" spans="1:22">
      <c r="A2046" s="29">
        <v>69</v>
      </c>
      <c r="B2046" s="111">
        <v>1</v>
      </c>
      <c r="C2046" s="111">
        <v>320674</v>
      </c>
      <c r="D2046" s="111" t="s">
        <v>758</v>
      </c>
      <c r="E2046" s="111" t="s">
        <v>448</v>
      </c>
      <c r="F2046" s="265">
        <v>42398</v>
      </c>
      <c r="G2046" s="265">
        <v>42429</v>
      </c>
      <c r="H2046" s="111">
        <v>1226.5899999999999</v>
      </c>
      <c r="I2046" s="111">
        <f t="shared" si="171"/>
        <v>0</v>
      </c>
      <c r="J2046" s="111">
        <v>1</v>
      </c>
      <c r="K2046" s="266">
        <f t="shared" si="172"/>
        <v>12.2659</v>
      </c>
      <c r="L2046" s="29">
        <f t="shared" si="173"/>
        <v>31</v>
      </c>
      <c r="Q2046" s="29">
        <v>0</v>
      </c>
      <c r="R2046" s="292">
        <v>220.79</v>
      </c>
      <c r="S2046" s="29">
        <v>1447.38</v>
      </c>
      <c r="T2046" s="29">
        <v>0</v>
      </c>
      <c r="U2046" s="29">
        <v>1</v>
      </c>
      <c r="V2046" s="29">
        <v>14.473800000000001</v>
      </c>
    </row>
    <row r="2047" spans="1:22">
      <c r="A2047" s="29">
        <v>70</v>
      </c>
      <c r="B2047" s="111">
        <v>1</v>
      </c>
      <c r="C2047" s="111">
        <v>320773</v>
      </c>
      <c r="D2047" s="111" t="s">
        <v>758</v>
      </c>
      <c r="E2047" s="111" t="s">
        <v>448</v>
      </c>
      <c r="F2047" s="265">
        <v>42399</v>
      </c>
      <c r="G2047" s="265">
        <v>42429</v>
      </c>
      <c r="H2047" s="111">
        <v>5385.82</v>
      </c>
      <c r="I2047" s="111">
        <f t="shared" si="171"/>
        <v>0</v>
      </c>
      <c r="J2047" s="111">
        <v>1</v>
      </c>
      <c r="K2047" s="266">
        <f t="shared" si="172"/>
        <v>53.858199999999997</v>
      </c>
      <c r="L2047" s="29">
        <f t="shared" si="173"/>
        <v>30</v>
      </c>
      <c r="Q2047" s="29">
        <v>0</v>
      </c>
      <c r="R2047" s="292">
        <v>969.45</v>
      </c>
      <c r="S2047" s="29">
        <v>6355.27</v>
      </c>
      <c r="T2047" s="29">
        <v>0</v>
      </c>
      <c r="U2047" s="29">
        <v>1</v>
      </c>
      <c r="V2047" s="29">
        <v>63.552700000000002</v>
      </c>
    </row>
    <row r="2048" spans="1:22">
      <c r="A2048" s="29">
        <v>71</v>
      </c>
      <c r="B2048" s="111">
        <v>1</v>
      </c>
      <c r="C2048" s="111">
        <v>320792</v>
      </c>
      <c r="D2048" s="111" t="s">
        <v>758</v>
      </c>
      <c r="E2048" s="111" t="s">
        <v>448</v>
      </c>
      <c r="F2048" s="265">
        <v>42399</v>
      </c>
      <c r="G2048" s="265">
        <v>42429</v>
      </c>
      <c r="H2048" s="111">
        <v>1383.53</v>
      </c>
      <c r="I2048" s="111">
        <f t="shared" si="171"/>
        <v>0</v>
      </c>
      <c r="J2048" s="111">
        <v>1</v>
      </c>
      <c r="K2048" s="266">
        <f t="shared" si="172"/>
        <v>13.8353</v>
      </c>
      <c r="L2048" s="29">
        <f t="shared" si="173"/>
        <v>30</v>
      </c>
      <c r="Q2048" s="29">
        <v>0</v>
      </c>
      <c r="R2048" s="292">
        <v>249.04</v>
      </c>
      <c r="S2048" s="29">
        <v>1632.57</v>
      </c>
      <c r="T2048" s="29">
        <v>0</v>
      </c>
      <c r="U2048" s="29">
        <v>1</v>
      </c>
      <c r="V2048" s="29">
        <v>16.325700000000001</v>
      </c>
    </row>
    <row r="2049" spans="1:26">
      <c r="A2049" s="29">
        <v>72</v>
      </c>
      <c r="B2049" s="111">
        <v>1</v>
      </c>
      <c r="C2049" s="111">
        <v>320969</v>
      </c>
      <c r="D2049" s="111" t="s">
        <v>798</v>
      </c>
      <c r="E2049" s="111" t="s">
        <v>448</v>
      </c>
      <c r="F2049" s="265">
        <v>42402</v>
      </c>
      <c r="G2049" s="265">
        <v>42403</v>
      </c>
      <c r="H2049" s="111">
        <v>343.41</v>
      </c>
      <c r="I2049" s="111">
        <f t="shared" si="171"/>
        <v>0</v>
      </c>
      <c r="J2049" s="111">
        <v>1</v>
      </c>
      <c r="K2049" s="266">
        <f t="shared" si="172"/>
        <v>3.4341000000000004</v>
      </c>
      <c r="L2049" s="29">
        <f t="shared" si="173"/>
        <v>1</v>
      </c>
      <c r="Q2049" s="29">
        <v>0</v>
      </c>
      <c r="R2049" s="292">
        <v>61.81</v>
      </c>
      <c r="S2049" s="29">
        <v>405.22</v>
      </c>
      <c r="T2049" s="29">
        <v>0</v>
      </c>
      <c r="U2049" s="29">
        <v>1</v>
      </c>
      <c r="V2049" s="29">
        <v>4.0522</v>
      </c>
    </row>
    <row r="2050" spans="1:26">
      <c r="A2050" s="29">
        <v>73</v>
      </c>
      <c r="B2050" s="111">
        <v>1</v>
      </c>
      <c r="C2050" s="111">
        <v>321082</v>
      </c>
      <c r="D2050" s="111" t="s">
        <v>766</v>
      </c>
      <c r="E2050" s="111" t="s">
        <v>448</v>
      </c>
      <c r="F2050" s="265">
        <v>42403</v>
      </c>
      <c r="G2050" s="265">
        <v>42426</v>
      </c>
      <c r="H2050" s="111">
        <v>178.58</v>
      </c>
      <c r="I2050" s="111">
        <f t="shared" si="171"/>
        <v>0</v>
      </c>
      <c r="J2050" s="111">
        <v>1</v>
      </c>
      <c r="K2050" s="266">
        <f t="shared" si="172"/>
        <v>1.7858000000000001</v>
      </c>
      <c r="L2050" s="29">
        <f t="shared" si="173"/>
        <v>23</v>
      </c>
      <c r="Q2050" s="29">
        <v>0</v>
      </c>
      <c r="R2050" s="292">
        <v>32.14</v>
      </c>
      <c r="S2050" s="29">
        <v>210.72</v>
      </c>
      <c r="T2050" s="29">
        <v>0</v>
      </c>
      <c r="U2050" s="29">
        <v>1</v>
      </c>
      <c r="V2050" s="29">
        <v>2.1072000000000002</v>
      </c>
    </row>
    <row r="2051" spans="1:26">
      <c r="A2051" s="29">
        <v>74</v>
      </c>
      <c r="B2051" s="111">
        <v>1</v>
      </c>
      <c r="C2051" s="111">
        <v>321403</v>
      </c>
      <c r="D2051" s="111" t="s">
        <v>772</v>
      </c>
      <c r="E2051" s="111" t="s">
        <v>448</v>
      </c>
      <c r="F2051" s="265">
        <v>42405</v>
      </c>
      <c r="G2051" s="265">
        <v>42410</v>
      </c>
      <c r="H2051" s="111">
        <v>8745.6</v>
      </c>
      <c r="I2051" s="111">
        <f t="shared" si="171"/>
        <v>0</v>
      </c>
      <c r="J2051" s="111">
        <v>0.5</v>
      </c>
      <c r="K2051" s="266">
        <f t="shared" si="172"/>
        <v>43.728000000000002</v>
      </c>
      <c r="L2051" s="29">
        <f t="shared" si="173"/>
        <v>5</v>
      </c>
      <c r="Q2051" s="29">
        <v>0</v>
      </c>
      <c r="R2051" s="292">
        <v>1574.21</v>
      </c>
      <c r="S2051" s="29">
        <v>10319.81</v>
      </c>
      <c r="T2051" s="29">
        <v>0</v>
      </c>
      <c r="U2051" s="29">
        <v>1</v>
      </c>
      <c r="V2051" s="29">
        <v>103.1981</v>
      </c>
    </row>
    <row r="2052" spans="1:26">
      <c r="A2052" s="29">
        <v>75</v>
      </c>
      <c r="B2052" s="111">
        <v>1</v>
      </c>
      <c r="C2052" s="111">
        <v>320984</v>
      </c>
      <c r="D2052" s="111" t="s">
        <v>761</v>
      </c>
      <c r="E2052" s="111" t="s">
        <v>448</v>
      </c>
      <c r="F2052" s="265">
        <v>42402</v>
      </c>
      <c r="G2052" s="265">
        <v>42406</v>
      </c>
      <c r="H2052" s="111">
        <v>27956.240000000002</v>
      </c>
      <c r="I2052" s="111">
        <f t="shared" si="171"/>
        <v>0</v>
      </c>
      <c r="J2052" s="111">
        <v>0.5</v>
      </c>
      <c r="K2052" s="266">
        <v>164.93</v>
      </c>
      <c r="L2052" s="29">
        <f t="shared" si="173"/>
        <v>4</v>
      </c>
      <c r="Q2052" s="29">
        <v>0</v>
      </c>
      <c r="R2052" s="292">
        <v>5032.12</v>
      </c>
      <c r="S2052" s="29">
        <v>32988.36</v>
      </c>
      <c r="T2052" s="29">
        <v>0</v>
      </c>
      <c r="U2052" s="29">
        <v>1</v>
      </c>
      <c r="V2052" s="29">
        <v>329.8836</v>
      </c>
    </row>
    <row r="2053" spans="1:26">
      <c r="A2053" s="29">
        <v>76</v>
      </c>
      <c r="B2053" s="111">
        <v>1</v>
      </c>
      <c r="C2053" s="111">
        <v>321608</v>
      </c>
      <c r="D2053" s="111" t="s">
        <v>772</v>
      </c>
      <c r="E2053" s="111" t="s">
        <v>448</v>
      </c>
      <c r="F2053" s="265">
        <v>42409</v>
      </c>
      <c r="G2053" s="265">
        <v>42410</v>
      </c>
      <c r="H2053" s="111">
        <v>22643.200000000001</v>
      </c>
      <c r="I2053" s="111">
        <f t="shared" si="171"/>
        <v>0</v>
      </c>
      <c r="J2053" s="111">
        <v>0.5</v>
      </c>
      <c r="K2053" s="266">
        <f>(H2053-I2053)*J2053%</f>
        <v>113.21600000000001</v>
      </c>
      <c r="L2053" s="29">
        <f t="shared" si="173"/>
        <v>1</v>
      </c>
      <c r="Q2053" s="29">
        <v>0</v>
      </c>
      <c r="R2053" s="292">
        <v>4075.78</v>
      </c>
      <c r="S2053" s="29">
        <v>26718.98</v>
      </c>
      <c r="T2053" s="29">
        <v>0</v>
      </c>
      <c r="U2053" s="29">
        <v>1</v>
      </c>
      <c r="V2053" s="29">
        <v>267.18979999999999</v>
      </c>
    </row>
    <row r="2054" spans="1:26">
      <c r="A2054" s="29">
        <v>77</v>
      </c>
      <c r="B2054" s="111">
        <v>1</v>
      </c>
      <c r="C2054" s="111">
        <v>322292</v>
      </c>
      <c r="D2054" s="111" t="s">
        <v>764</v>
      </c>
      <c r="E2054" s="111" t="s">
        <v>448</v>
      </c>
      <c r="F2054" s="265">
        <v>42418</v>
      </c>
      <c r="G2054" s="265">
        <v>42424</v>
      </c>
      <c r="H2054" s="111">
        <v>31472.67</v>
      </c>
      <c r="I2054" s="111">
        <f t="shared" si="171"/>
        <v>0</v>
      </c>
      <c r="J2054" s="111">
        <v>0.5</v>
      </c>
      <c r="K2054" s="266">
        <v>190.89</v>
      </c>
      <c r="L2054" s="29">
        <f t="shared" si="173"/>
        <v>6</v>
      </c>
      <c r="Q2054" s="29">
        <v>0</v>
      </c>
      <c r="R2054" s="292">
        <v>5665.08</v>
      </c>
      <c r="S2054" s="29">
        <v>37137.75</v>
      </c>
      <c r="T2054" s="29">
        <v>0</v>
      </c>
      <c r="U2054" s="29">
        <v>1</v>
      </c>
      <c r="V2054" s="29">
        <v>371.3775</v>
      </c>
    </row>
    <row r="2055" spans="1:26">
      <c r="A2055" s="29">
        <v>78</v>
      </c>
      <c r="B2055" s="111">
        <v>1</v>
      </c>
      <c r="C2055" s="111">
        <v>322375</v>
      </c>
      <c r="D2055" s="111" t="s">
        <v>772</v>
      </c>
      <c r="E2055" s="111" t="s">
        <v>448</v>
      </c>
      <c r="F2055" s="265">
        <v>42419</v>
      </c>
      <c r="G2055" s="265">
        <v>42424</v>
      </c>
      <c r="H2055" s="111">
        <v>3644</v>
      </c>
      <c r="I2055" s="111">
        <f t="shared" si="171"/>
        <v>0</v>
      </c>
      <c r="J2055" s="111">
        <v>0.5</v>
      </c>
      <c r="K2055" s="266">
        <f>(H2055-I2055)*J2055%</f>
        <v>18.22</v>
      </c>
      <c r="L2055" s="29">
        <f t="shared" si="173"/>
        <v>5</v>
      </c>
      <c r="Q2055" s="29">
        <v>0</v>
      </c>
      <c r="R2055" s="292">
        <v>655.92</v>
      </c>
      <c r="S2055" s="29">
        <v>4299.92</v>
      </c>
      <c r="T2055" s="29">
        <v>0</v>
      </c>
      <c r="U2055" s="29">
        <v>1</v>
      </c>
      <c r="V2055" s="29">
        <v>42.999200000000002</v>
      </c>
    </row>
    <row r="2056" spans="1:26">
      <c r="A2056" s="29">
        <v>79</v>
      </c>
      <c r="B2056" s="111">
        <v>1</v>
      </c>
      <c r="C2056" s="111">
        <v>322527</v>
      </c>
      <c r="D2056" s="111" t="s">
        <v>798</v>
      </c>
      <c r="E2056" s="111" t="s">
        <v>448</v>
      </c>
      <c r="F2056" s="265">
        <v>42422</v>
      </c>
      <c r="G2056" s="265">
        <v>42423</v>
      </c>
      <c r="H2056" s="111">
        <v>841.07</v>
      </c>
      <c r="I2056" s="111">
        <f t="shared" si="171"/>
        <v>0</v>
      </c>
      <c r="J2056" s="111">
        <v>1</v>
      </c>
      <c r="K2056" s="266">
        <f>(H2056-I2056)*J2056%</f>
        <v>8.4107000000000003</v>
      </c>
      <c r="L2056" s="29">
        <f t="shared" si="173"/>
        <v>1</v>
      </c>
      <c r="Q2056" s="29">
        <v>0</v>
      </c>
      <c r="R2056" s="292">
        <v>151.38999999999999</v>
      </c>
      <c r="S2056" s="29">
        <v>992.46</v>
      </c>
      <c r="T2056" s="29">
        <v>0</v>
      </c>
      <c r="U2056" s="29">
        <v>1</v>
      </c>
      <c r="V2056" s="29">
        <v>9.9245999999999999</v>
      </c>
    </row>
    <row r="2057" spans="1:26">
      <c r="G2057" s="268" t="s">
        <v>765</v>
      </c>
      <c r="H2057" s="269">
        <f>SUM(H1978:H2056)</f>
        <v>274370.63000000006</v>
      </c>
      <c r="I2057" s="59"/>
      <c r="J2057" s="311" t="s">
        <v>383</v>
      </c>
      <c r="K2057" s="269">
        <f>SUM(K1978:K2056)</f>
        <v>2325.9109966101696</v>
      </c>
    </row>
    <row r="2064" spans="1:26">
      <c r="B2064" s="29">
        <v>1</v>
      </c>
      <c r="C2064" s="33">
        <v>320984</v>
      </c>
      <c r="D2064" s="29" t="s">
        <v>761</v>
      </c>
      <c r="E2064" s="29" t="s">
        <v>448</v>
      </c>
      <c r="F2064" s="263">
        <v>42402</v>
      </c>
      <c r="G2064" s="263">
        <v>42406</v>
      </c>
      <c r="H2064" s="29">
        <v>27956.240000000002</v>
      </c>
      <c r="J2064" s="122">
        <v>5030</v>
      </c>
      <c r="K2064" s="29">
        <f>J2064*1%</f>
        <v>50.300000000000004</v>
      </c>
      <c r="S2064" s="29">
        <v>0</v>
      </c>
      <c r="T2064" s="292">
        <v>5032.12</v>
      </c>
      <c r="U2064" s="29">
        <v>32988.36</v>
      </c>
      <c r="V2064" s="29">
        <v>0</v>
      </c>
      <c r="W2064" s="29">
        <v>1</v>
      </c>
      <c r="X2064" s="29">
        <v>329.8836</v>
      </c>
      <c r="Y2064" s="29">
        <v>12520</v>
      </c>
      <c r="Z2064" s="29">
        <v>995328</v>
      </c>
    </row>
    <row r="2065" spans="2:26">
      <c r="B2065" s="29">
        <v>1</v>
      </c>
      <c r="C2065" s="33">
        <v>320984</v>
      </c>
      <c r="D2065" s="29" t="s">
        <v>761</v>
      </c>
      <c r="E2065" s="29" t="s">
        <v>448</v>
      </c>
      <c r="F2065" s="263">
        <v>42402</v>
      </c>
      <c r="G2065" s="263">
        <v>42406</v>
      </c>
      <c r="H2065" s="29">
        <v>27956.240000000002</v>
      </c>
      <c r="J2065" s="29">
        <f>H2065-J2064</f>
        <v>22926.240000000002</v>
      </c>
      <c r="K2065" s="29">
        <f>J2065*0.5%</f>
        <v>114.63120000000001</v>
      </c>
      <c r="L2065" s="29">
        <f>K2065+K2064</f>
        <v>164.93120000000002</v>
      </c>
      <c r="S2065" s="29">
        <v>0</v>
      </c>
      <c r="T2065" s="292">
        <v>5032.12</v>
      </c>
      <c r="U2065" s="29">
        <v>32988.36</v>
      </c>
      <c r="V2065" s="29">
        <v>0</v>
      </c>
      <c r="W2065" s="29">
        <v>1</v>
      </c>
      <c r="X2065" s="29">
        <v>329.8836</v>
      </c>
      <c r="Y2065" s="29">
        <v>12520</v>
      </c>
      <c r="Z2065" s="29">
        <v>995328</v>
      </c>
    </row>
    <row r="2066" spans="2:26" s="29" customFormat="1" ht="9">
      <c r="B2066" s="29">
        <v>1</v>
      </c>
      <c r="C2066" s="33">
        <v>320984</v>
      </c>
      <c r="D2066" s="29" t="s">
        <v>761</v>
      </c>
      <c r="E2066" s="29" t="s">
        <v>448</v>
      </c>
      <c r="F2066" s="263">
        <v>42402</v>
      </c>
      <c r="G2066" s="263">
        <v>42406</v>
      </c>
      <c r="H2066" s="29">
        <v>27956.240000000002</v>
      </c>
      <c r="S2066" s="29">
        <v>0</v>
      </c>
      <c r="T2066" s="292">
        <v>5032.12</v>
      </c>
      <c r="U2066" s="29">
        <v>32988.36</v>
      </c>
      <c r="V2066" s="29">
        <v>0</v>
      </c>
      <c r="W2066" s="29">
        <v>1</v>
      </c>
      <c r="X2066" s="29">
        <v>329.8836</v>
      </c>
      <c r="Y2066" s="29">
        <v>12519</v>
      </c>
      <c r="Z2066" s="29">
        <v>995328</v>
      </c>
    </row>
    <row r="2067" spans="2:26" s="29" customFormat="1" ht="9">
      <c r="B2067" s="29">
        <v>1</v>
      </c>
      <c r="C2067" s="33">
        <v>320984</v>
      </c>
      <c r="D2067" s="29" t="s">
        <v>761</v>
      </c>
      <c r="E2067" s="29" t="s">
        <v>448</v>
      </c>
      <c r="F2067" s="263">
        <v>42402</v>
      </c>
      <c r="G2067" s="263">
        <v>42406</v>
      </c>
      <c r="H2067" s="29">
        <v>27956.240000000002</v>
      </c>
      <c r="S2067" s="29">
        <v>0</v>
      </c>
      <c r="T2067" s="292">
        <v>5032.12</v>
      </c>
      <c r="U2067" s="29">
        <v>32988.36</v>
      </c>
      <c r="V2067" s="29">
        <v>0</v>
      </c>
      <c r="W2067" s="29">
        <v>1</v>
      </c>
      <c r="X2067" s="29">
        <v>329.8836</v>
      </c>
      <c r="Y2067" s="29">
        <v>12519</v>
      </c>
      <c r="Z2067" s="29">
        <v>995328</v>
      </c>
    </row>
    <row r="2068" spans="2:26" s="29" customFormat="1" ht="9">
      <c r="B2068" s="29">
        <v>1</v>
      </c>
      <c r="C2068" s="29">
        <v>321403</v>
      </c>
      <c r="D2068" s="29" t="s">
        <v>772</v>
      </c>
      <c r="E2068" s="29" t="s">
        <v>448</v>
      </c>
      <c r="F2068" s="263">
        <v>42405</v>
      </c>
      <c r="G2068" s="263">
        <v>42410</v>
      </c>
      <c r="H2068" s="29">
        <v>8745.6</v>
      </c>
      <c r="S2068" s="29">
        <v>0</v>
      </c>
      <c r="T2068" s="292">
        <v>1574.21</v>
      </c>
      <c r="U2068" s="29">
        <v>10319.81</v>
      </c>
      <c r="V2068" s="29">
        <v>0</v>
      </c>
      <c r="W2068" s="29">
        <v>1</v>
      </c>
      <c r="X2068" s="29">
        <v>103.1981</v>
      </c>
      <c r="Y2068" s="29">
        <v>12520</v>
      </c>
      <c r="Z2068" s="29">
        <v>995916</v>
      </c>
    </row>
    <row r="2069" spans="2:26" s="29" customFormat="1" ht="9">
      <c r="B2069" s="29">
        <v>1</v>
      </c>
      <c r="C2069" s="29">
        <v>321403</v>
      </c>
      <c r="D2069" s="29" t="s">
        <v>772</v>
      </c>
      <c r="E2069" s="29" t="s">
        <v>448</v>
      </c>
      <c r="F2069" s="263">
        <v>42405</v>
      </c>
      <c r="G2069" s="263">
        <v>42410</v>
      </c>
      <c r="H2069" s="29">
        <v>8745.6</v>
      </c>
      <c r="S2069" s="29">
        <v>0</v>
      </c>
      <c r="T2069" s="292">
        <v>1574.21</v>
      </c>
      <c r="U2069" s="29">
        <v>10319.81</v>
      </c>
      <c r="V2069" s="29">
        <v>0</v>
      </c>
      <c r="W2069" s="29">
        <v>1</v>
      </c>
      <c r="X2069" s="29">
        <v>103.1981</v>
      </c>
      <c r="Y2069" s="29">
        <v>12520</v>
      </c>
      <c r="Z2069" s="29">
        <v>995916</v>
      </c>
    </row>
    <row r="2070" spans="2:26" s="29" customFormat="1" ht="9">
      <c r="B2070" s="29">
        <v>1</v>
      </c>
      <c r="C2070" s="29">
        <v>321403</v>
      </c>
      <c r="D2070" s="29" t="s">
        <v>772</v>
      </c>
      <c r="E2070" s="29" t="s">
        <v>448</v>
      </c>
      <c r="F2070" s="263">
        <v>42405</v>
      </c>
      <c r="G2070" s="263">
        <v>42410</v>
      </c>
      <c r="H2070" s="29">
        <v>8745.6</v>
      </c>
      <c r="S2070" s="29">
        <v>0</v>
      </c>
      <c r="T2070" s="292">
        <v>1574.21</v>
      </c>
      <c r="U2070" s="29">
        <v>10319.81</v>
      </c>
      <c r="V2070" s="29">
        <v>0</v>
      </c>
      <c r="W2070" s="29">
        <v>1</v>
      </c>
      <c r="X2070" s="29">
        <v>103.1981</v>
      </c>
      <c r="Y2070" s="29">
        <v>12520</v>
      </c>
      <c r="Z2070" s="29">
        <v>995916</v>
      </c>
    </row>
    <row r="2071" spans="2:26" s="29" customFormat="1" ht="9">
      <c r="B2071" s="29">
        <v>1</v>
      </c>
      <c r="C2071" s="29">
        <v>321403</v>
      </c>
      <c r="D2071" s="29" t="s">
        <v>772</v>
      </c>
      <c r="E2071" s="29" t="s">
        <v>448</v>
      </c>
      <c r="F2071" s="263">
        <v>42405</v>
      </c>
      <c r="G2071" s="263">
        <v>42410</v>
      </c>
      <c r="H2071" s="29">
        <v>8745.6</v>
      </c>
      <c r="S2071" s="29">
        <v>0</v>
      </c>
      <c r="T2071" s="292">
        <v>1574.21</v>
      </c>
      <c r="U2071" s="29">
        <v>10319.81</v>
      </c>
      <c r="V2071" s="29">
        <v>0</v>
      </c>
      <c r="W2071" s="29">
        <v>1</v>
      </c>
      <c r="X2071" s="29">
        <v>103.1981</v>
      </c>
      <c r="Y2071" s="29">
        <v>12520</v>
      </c>
      <c r="Z2071" s="29">
        <v>995916</v>
      </c>
    </row>
    <row r="2072" spans="2:26" s="29" customFormat="1" ht="9">
      <c r="B2072" s="29">
        <v>1</v>
      </c>
      <c r="C2072" s="29">
        <v>321403</v>
      </c>
      <c r="D2072" s="29" t="s">
        <v>772</v>
      </c>
      <c r="E2072" s="29" t="s">
        <v>448</v>
      </c>
      <c r="F2072" s="263">
        <v>42405</v>
      </c>
      <c r="G2072" s="263">
        <v>42410</v>
      </c>
      <c r="H2072" s="29">
        <v>8745.6</v>
      </c>
      <c r="S2072" s="29">
        <v>0</v>
      </c>
      <c r="T2072" s="292">
        <v>1574.21</v>
      </c>
      <c r="U2072" s="29">
        <v>10319.81</v>
      </c>
      <c r="V2072" s="29">
        <v>0</v>
      </c>
      <c r="W2072" s="29">
        <v>1</v>
      </c>
      <c r="X2072" s="29">
        <v>103.1981</v>
      </c>
      <c r="Y2072" s="29">
        <v>12519</v>
      </c>
      <c r="Z2072" s="29">
        <v>995916</v>
      </c>
    </row>
    <row r="2073" spans="2:26" s="29" customFormat="1" ht="9">
      <c r="B2073" s="29">
        <v>1</v>
      </c>
      <c r="C2073" s="29">
        <v>321403</v>
      </c>
      <c r="D2073" s="29" t="s">
        <v>772</v>
      </c>
      <c r="E2073" s="29" t="s">
        <v>448</v>
      </c>
      <c r="F2073" s="263">
        <v>42405</v>
      </c>
      <c r="G2073" s="263">
        <v>42410</v>
      </c>
      <c r="H2073" s="29">
        <v>8745.6</v>
      </c>
      <c r="S2073" s="29">
        <v>0</v>
      </c>
      <c r="T2073" s="292">
        <v>1574.21</v>
      </c>
      <c r="U2073" s="29">
        <v>10319.81</v>
      </c>
      <c r="V2073" s="29">
        <v>0</v>
      </c>
      <c r="W2073" s="29">
        <v>1</v>
      </c>
      <c r="X2073" s="29">
        <v>103.1981</v>
      </c>
      <c r="Y2073" s="29">
        <v>12519</v>
      </c>
      <c r="Z2073" s="29">
        <v>995916</v>
      </c>
    </row>
    <row r="2074" spans="2:26" s="29" customFormat="1" ht="9">
      <c r="B2074" s="29">
        <v>1</v>
      </c>
      <c r="C2074" s="29">
        <v>321403</v>
      </c>
      <c r="D2074" s="29" t="s">
        <v>772</v>
      </c>
      <c r="E2074" s="29" t="s">
        <v>448</v>
      </c>
      <c r="F2074" s="263">
        <v>42405</v>
      </c>
      <c r="G2074" s="263">
        <v>42410</v>
      </c>
      <c r="H2074" s="29">
        <v>8745.6</v>
      </c>
      <c r="S2074" s="29">
        <v>0</v>
      </c>
      <c r="T2074" s="292">
        <v>1574.21</v>
      </c>
      <c r="U2074" s="29">
        <v>10319.81</v>
      </c>
      <c r="V2074" s="29">
        <v>0</v>
      </c>
      <c r="W2074" s="29">
        <v>1</v>
      </c>
      <c r="X2074" s="29">
        <v>103.1981</v>
      </c>
      <c r="Y2074" s="29">
        <v>12519</v>
      </c>
      <c r="Z2074" s="29">
        <v>995916</v>
      </c>
    </row>
    <row r="2075" spans="2:26" s="29" customFormat="1" ht="9">
      <c r="B2075" s="29">
        <v>1</v>
      </c>
      <c r="C2075" s="33">
        <v>321608</v>
      </c>
      <c r="D2075" s="29" t="s">
        <v>772</v>
      </c>
      <c r="E2075" s="29" t="s">
        <v>448</v>
      </c>
      <c r="F2075" s="263">
        <v>42409</v>
      </c>
      <c r="G2075" s="263">
        <v>42410</v>
      </c>
      <c r="H2075" s="29">
        <v>22643.200000000001</v>
      </c>
      <c r="S2075" s="29">
        <v>0</v>
      </c>
      <c r="T2075" s="292">
        <v>4075.78</v>
      </c>
      <c r="U2075" s="29">
        <v>26718.98</v>
      </c>
      <c r="V2075" s="29">
        <v>0</v>
      </c>
      <c r="W2075" s="29">
        <v>1</v>
      </c>
      <c r="X2075" s="29">
        <v>267.18979999999999</v>
      </c>
      <c r="Y2075" s="29">
        <v>12520</v>
      </c>
      <c r="Z2075" s="29">
        <v>996227</v>
      </c>
    </row>
    <row r="2076" spans="2:26" s="29" customFormat="1" ht="9">
      <c r="B2076" s="29">
        <v>1</v>
      </c>
      <c r="C2076" s="33">
        <v>321608</v>
      </c>
      <c r="D2076" s="29" t="s">
        <v>772</v>
      </c>
      <c r="E2076" s="29" t="s">
        <v>448</v>
      </c>
      <c r="F2076" s="263">
        <v>42409</v>
      </c>
      <c r="G2076" s="263">
        <v>42410</v>
      </c>
      <c r="H2076" s="29">
        <v>22643.200000000001</v>
      </c>
      <c r="S2076" s="29">
        <v>0</v>
      </c>
      <c r="T2076" s="292">
        <v>4075.78</v>
      </c>
      <c r="U2076" s="29">
        <v>26718.98</v>
      </c>
      <c r="V2076" s="29">
        <v>0</v>
      </c>
      <c r="W2076" s="29">
        <v>1</v>
      </c>
      <c r="X2076" s="29">
        <v>267.18979999999999</v>
      </c>
      <c r="Y2076" s="29">
        <v>12520</v>
      </c>
      <c r="Z2076" s="29">
        <v>996227</v>
      </c>
    </row>
    <row r="2077" spans="2:26" s="29" customFormat="1" ht="9">
      <c r="B2077" s="29">
        <v>1</v>
      </c>
      <c r="C2077" s="33">
        <v>321608</v>
      </c>
      <c r="D2077" s="29" t="s">
        <v>772</v>
      </c>
      <c r="E2077" s="29" t="s">
        <v>448</v>
      </c>
      <c r="F2077" s="263">
        <v>42409</v>
      </c>
      <c r="G2077" s="263">
        <v>42410</v>
      </c>
      <c r="H2077" s="29">
        <v>22643.200000000001</v>
      </c>
      <c r="S2077" s="29">
        <v>0</v>
      </c>
      <c r="T2077" s="292">
        <v>4075.78</v>
      </c>
      <c r="U2077" s="29">
        <v>26718.98</v>
      </c>
      <c r="V2077" s="29">
        <v>0</v>
      </c>
      <c r="W2077" s="29">
        <v>1</v>
      </c>
      <c r="X2077" s="29">
        <v>267.18979999999999</v>
      </c>
      <c r="Y2077" s="29">
        <v>12519</v>
      </c>
      <c r="Z2077" s="29">
        <v>996227</v>
      </c>
    </row>
    <row r="2078" spans="2:26">
      <c r="B2078" s="29">
        <v>1</v>
      </c>
      <c r="C2078" s="29">
        <v>322292</v>
      </c>
      <c r="D2078" s="29" t="s">
        <v>764</v>
      </c>
      <c r="E2078" s="29" t="s">
        <v>448</v>
      </c>
      <c r="F2078" s="263">
        <v>42418</v>
      </c>
      <c r="G2078" s="263">
        <v>42424</v>
      </c>
      <c r="H2078" s="29">
        <v>31472.67</v>
      </c>
      <c r="J2078" s="122">
        <v>6706.67</v>
      </c>
      <c r="K2078" s="29">
        <f>J2078*1%</f>
        <v>67.066699999999997</v>
      </c>
      <c r="S2078" s="29">
        <v>0</v>
      </c>
      <c r="T2078" s="292">
        <v>5665.08</v>
      </c>
      <c r="U2078" s="29">
        <v>37137.75</v>
      </c>
      <c r="V2078" s="29">
        <v>0</v>
      </c>
      <c r="W2078" s="29">
        <v>1</v>
      </c>
      <c r="X2078" s="29">
        <v>371.3775</v>
      </c>
      <c r="Y2078" s="29">
        <v>12520</v>
      </c>
      <c r="Z2078" s="29">
        <v>997267</v>
      </c>
    </row>
    <row r="2079" spans="2:26">
      <c r="B2079" s="29">
        <v>1</v>
      </c>
      <c r="C2079" s="29">
        <v>322292</v>
      </c>
      <c r="D2079" s="29" t="s">
        <v>764</v>
      </c>
      <c r="E2079" s="29" t="s">
        <v>448</v>
      </c>
      <c r="F2079" s="263">
        <v>42418</v>
      </c>
      <c r="G2079" s="263">
        <v>42424</v>
      </c>
      <c r="H2079" s="29">
        <v>31472.67</v>
      </c>
      <c r="J2079" s="29">
        <f>H2079-J2078</f>
        <v>24766</v>
      </c>
      <c r="K2079" s="29">
        <f>J2079*0.5%</f>
        <v>123.83</v>
      </c>
      <c r="L2079" s="29">
        <f>K2079+K2078</f>
        <v>190.89670000000001</v>
      </c>
      <c r="S2079" s="29">
        <v>0</v>
      </c>
      <c r="T2079" s="292">
        <v>5665.08</v>
      </c>
      <c r="U2079" s="29">
        <v>37137.75</v>
      </c>
      <c r="V2079" s="29">
        <v>0</v>
      </c>
      <c r="W2079" s="29">
        <v>1</v>
      </c>
      <c r="X2079" s="29">
        <v>371.3775</v>
      </c>
      <c r="Y2079" s="29">
        <v>12520</v>
      </c>
      <c r="Z2079" s="29">
        <v>997267</v>
      </c>
    </row>
    <row r="2080" spans="2:26" s="29" customFormat="1" ht="9">
      <c r="B2080" s="29">
        <v>1</v>
      </c>
      <c r="C2080" s="29">
        <v>322292</v>
      </c>
      <c r="D2080" s="29" t="s">
        <v>764</v>
      </c>
      <c r="E2080" s="29" t="s">
        <v>448</v>
      </c>
      <c r="F2080" s="263">
        <v>42418</v>
      </c>
      <c r="G2080" s="263">
        <v>42424</v>
      </c>
      <c r="H2080" s="29">
        <v>31472.67</v>
      </c>
      <c r="S2080" s="29">
        <v>0</v>
      </c>
      <c r="T2080" s="292">
        <v>5665.08</v>
      </c>
      <c r="U2080" s="29">
        <v>37137.75</v>
      </c>
      <c r="V2080" s="29">
        <v>0</v>
      </c>
      <c r="W2080" s="29">
        <v>1</v>
      </c>
      <c r="X2080" s="29">
        <v>371.3775</v>
      </c>
      <c r="Y2080" s="29">
        <v>12520</v>
      </c>
      <c r="Z2080" s="29">
        <v>997267</v>
      </c>
    </row>
    <row r="2081" spans="1:26" s="29" customFormat="1" ht="9">
      <c r="B2081" s="29">
        <v>1</v>
      </c>
      <c r="C2081" s="29">
        <v>322292</v>
      </c>
      <c r="D2081" s="29" t="s">
        <v>764</v>
      </c>
      <c r="E2081" s="29" t="s">
        <v>448</v>
      </c>
      <c r="F2081" s="263">
        <v>42418</v>
      </c>
      <c r="G2081" s="263">
        <v>42424</v>
      </c>
      <c r="H2081" s="29">
        <v>31472.67</v>
      </c>
      <c r="S2081" s="29">
        <v>0</v>
      </c>
      <c r="T2081" s="292">
        <v>5665.08</v>
      </c>
      <c r="U2081" s="29">
        <v>37137.75</v>
      </c>
      <c r="V2081" s="29">
        <v>0</v>
      </c>
      <c r="W2081" s="29">
        <v>1</v>
      </c>
      <c r="X2081" s="29">
        <v>371.3775</v>
      </c>
      <c r="Y2081" s="29">
        <v>12519</v>
      </c>
      <c r="Z2081" s="29">
        <v>997267</v>
      </c>
    </row>
    <row r="2082" spans="1:26" s="29" customFormat="1" ht="9">
      <c r="B2082" s="29">
        <v>1</v>
      </c>
      <c r="C2082" s="33">
        <v>322375</v>
      </c>
      <c r="D2082" s="29" t="s">
        <v>772</v>
      </c>
      <c r="E2082" s="29" t="s">
        <v>448</v>
      </c>
      <c r="F2082" s="263">
        <v>42419</v>
      </c>
      <c r="G2082" s="263">
        <v>42424</v>
      </c>
      <c r="H2082" s="29">
        <v>3644</v>
      </c>
      <c r="S2082" s="29">
        <v>0</v>
      </c>
      <c r="T2082" s="292">
        <v>655.92</v>
      </c>
      <c r="U2082" s="29">
        <v>4299.92</v>
      </c>
      <c r="V2082" s="29">
        <v>0</v>
      </c>
      <c r="W2082" s="29">
        <v>1</v>
      </c>
      <c r="X2082" s="29">
        <v>42.999200000000002</v>
      </c>
      <c r="Y2082" s="29">
        <v>12520</v>
      </c>
      <c r="Z2082" s="29">
        <v>997429</v>
      </c>
    </row>
    <row r="2083" spans="1:26" s="29" customFormat="1" ht="9">
      <c r="B2083" s="29">
        <v>1</v>
      </c>
      <c r="C2083" s="33">
        <v>322375</v>
      </c>
      <c r="D2083" s="29" t="s">
        <v>772</v>
      </c>
      <c r="E2083" s="29" t="s">
        <v>448</v>
      </c>
      <c r="F2083" s="263">
        <v>42419</v>
      </c>
      <c r="G2083" s="263">
        <v>42424</v>
      </c>
      <c r="H2083" s="29">
        <v>3644</v>
      </c>
      <c r="S2083" s="29">
        <v>0</v>
      </c>
      <c r="T2083" s="292">
        <v>655.92</v>
      </c>
      <c r="U2083" s="29">
        <v>4299.92</v>
      </c>
      <c r="V2083" s="29">
        <v>0</v>
      </c>
      <c r="W2083" s="29">
        <v>1</v>
      </c>
      <c r="X2083" s="29">
        <v>42.999200000000002</v>
      </c>
      <c r="Y2083" s="29">
        <v>12519</v>
      </c>
      <c r="Z2083" s="29">
        <v>997429</v>
      </c>
    </row>
    <row r="2086" spans="1:26">
      <c r="C2086" s="59"/>
      <c r="D2086" s="59"/>
      <c r="E2086" s="59" t="s">
        <v>804</v>
      </c>
      <c r="F2086" s="59"/>
      <c r="G2086" s="59"/>
      <c r="H2086" s="59"/>
      <c r="I2086" s="59"/>
      <c r="J2086" s="59"/>
      <c r="K2086" s="293"/>
    </row>
    <row r="2087" spans="1:26">
      <c r="C2087" s="59"/>
      <c r="D2087" s="59"/>
      <c r="E2087" s="59"/>
      <c r="F2087" s="59"/>
      <c r="G2087" s="59"/>
      <c r="H2087" s="59"/>
      <c r="I2087" s="59"/>
      <c r="J2087" s="59"/>
      <c r="K2087" s="293"/>
    </row>
    <row r="2088" spans="1:26">
      <c r="A2088" s="29" t="s">
        <v>45</v>
      </c>
      <c r="B2088" s="264" t="s">
        <v>369</v>
      </c>
      <c r="C2088" s="264" t="s">
        <v>370</v>
      </c>
      <c r="D2088" s="264" t="s">
        <v>371</v>
      </c>
      <c r="E2088" s="264" t="s">
        <v>372</v>
      </c>
      <c r="F2088" s="264" t="s">
        <v>373</v>
      </c>
      <c r="G2088" s="264" t="s">
        <v>393</v>
      </c>
      <c r="H2088" s="264" t="s">
        <v>375</v>
      </c>
      <c r="I2088" s="264" t="s">
        <v>376</v>
      </c>
      <c r="J2088" s="294" t="s">
        <v>377</v>
      </c>
      <c r="K2088" s="264" t="s">
        <v>378</v>
      </c>
      <c r="L2088" s="29" t="s">
        <v>771</v>
      </c>
    </row>
    <row r="2089" spans="1:26">
      <c r="A2089" s="29">
        <v>1</v>
      </c>
      <c r="B2089" s="111">
        <v>1</v>
      </c>
      <c r="C2089" s="111">
        <v>317742</v>
      </c>
      <c r="D2089" s="111" t="s">
        <v>761</v>
      </c>
      <c r="E2089" s="111" t="s">
        <v>448</v>
      </c>
      <c r="F2089" s="265">
        <v>42350</v>
      </c>
      <c r="G2089" s="265">
        <v>42443</v>
      </c>
      <c r="H2089" s="266">
        <f t="shared" ref="H2089:H2120" si="174">S2089+T2089</f>
        <v>2830.4</v>
      </c>
      <c r="I2089" s="266">
        <f t="shared" ref="I2089:I2120" si="175">W2089/1.18</f>
        <v>0</v>
      </c>
      <c r="J2089" s="266">
        <v>0</v>
      </c>
      <c r="K2089" s="266">
        <f t="shared" ref="K2089:K2120" si="176">(H2089-I2089)*J2089%</f>
        <v>0</v>
      </c>
      <c r="L2089" s="312">
        <f t="shared" ref="L2089:L2120" si="177">G2089-F2089</f>
        <v>93</v>
      </c>
      <c r="M2089" s="263"/>
      <c r="N2089" s="263"/>
      <c r="O2089" s="263"/>
      <c r="P2089" s="263"/>
      <c r="Q2089" s="263"/>
      <c r="R2089" s="263"/>
      <c r="S2089" s="29">
        <v>2830.4</v>
      </c>
      <c r="T2089" s="29">
        <v>0</v>
      </c>
      <c r="U2089" s="292">
        <v>509.47</v>
      </c>
      <c r="V2089" s="29">
        <v>3339.87</v>
      </c>
      <c r="W2089" s="29">
        <v>0</v>
      </c>
      <c r="X2089" s="29">
        <v>1</v>
      </c>
      <c r="Y2089" s="29">
        <v>33.398699999999998</v>
      </c>
    </row>
    <row r="2090" spans="1:26">
      <c r="A2090" s="29">
        <v>2</v>
      </c>
      <c r="B2090" s="111">
        <v>1</v>
      </c>
      <c r="C2090" s="111">
        <v>317921</v>
      </c>
      <c r="D2090" s="111" t="s">
        <v>800</v>
      </c>
      <c r="E2090" s="111" t="s">
        <v>448</v>
      </c>
      <c r="F2090" s="265">
        <v>42353</v>
      </c>
      <c r="G2090" s="265">
        <v>42433</v>
      </c>
      <c r="H2090" s="266">
        <f t="shared" si="174"/>
        <v>109.76</v>
      </c>
      <c r="I2090" s="266">
        <f t="shared" si="175"/>
        <v>0</v>
      </c>
      <c r="J2090" s="266">
        <v>0</v>
      </c>
      <c r="K2090" s="266">
        <f t="shared" si="176"/>
        <v>0</v>
      </c>
      <c r="L2090" s="312">
        <f t="shared" si="177"/>
        <v>80</v>
      </c>
      <c r="M2090" s="263"/>
      <c r="N2090" s="263"/>
      <c r="O2090" s="263"/>
      <c r="P2090" s="263"/>
      <c r="Q2090" s="263"/>
      <c r="R2090" s="263"/>
      <c r="S2090" s="29">
        <v>109.76</v>
      </c>
      <c r="T2090" s="29">
        <v>0</v>
      </c>
      <c r="U2090" s="292">
        <v>19.760000000000002</v>
      </c>
      <c r="V2090" s="29">
        <v>129.52000000000001</v>
      </c>
      <c r="W2090" s="29">
        <v>0</v>
      </c>
      <c r="X2090" s="29">
        <v>1</v>
      </c>
      <c r="Y2090" s="29">
        <v>1.2951999999999999</v>
      </c>
    </row>
    <row r="2091" spans="1:26">
      <c r="A2091" s="29">
        <v>3</v>
      </c>
      <c r="B2091" s="111">
        <v>1</v>
      </c>
      <c r="C2091" s="111">
        <v>318120</v>
      </c>
      <c r="D2091" s="111" t="s">
        <v>800</v>
      </c>
      <c r="E2091" s="111" t="s">
        <v>448</v>
      </c>
      <c r="F2091" s="265">
        <v>42355</v>
      </c>
      <c r="G2091" s="265">
        <v>42433</v>
      </c>
      <c r="H2091" s="266">
        <f t="shared" si="174"/>
        <v>899.93</v>
      </c>
      <c r="I2091" s="266">
        <f t="shared" si="175"/>
        <v>0</v>
      </c>
      <c r="J2091" s="266">
        <v>0</v>
      </c>
      <c r="K2091" s="266">
        <f t="shared" si="176"/>
        <v>0</v>
      </c>
      <c r="L2091" s="312">
        <f t="shared" si="177"/>
        <v>78</v>
      </c>
      <c r="M2091" s="263"/>
      <c r="N2091" s="263"/>
      <c r="O2091" s="263"/>
      <c r="P2091" s="263"/>
      <c r="Q2091" s="263"/>
      <c r="R2091" s="263"/>
      <c r="S2091" s="29">
        <v>899.93</v>
      </c>
      <c r="T2091" s="29">
        <v>0</v>
      </c>
      <c r="U2091" s="292">
        <v>161.99</v>
      </c>
      <c r="V2091" s="29">
        <v>1061.92</v>
      </c>
      <c r="W2091" s="29">
        <v>0</v>
      </c>
      <c r="X2091" s="29">
        <v>1</v>
      </c>
      <c r="Y2091" s="29">
        <v>10.619199999999999</v>
      </c>
    </row>
    <row r="2092" spans="1:26">
      <c r="A2092" s="29">
        <v>4</v>
      </c>
      <c r="B2092" s="111">
        <v>1</v>
      </c>
      <c r="C2092" s="111">
        <v>318395</v>
      </c>
      <c r="D2092" s="111" t="s">
        <v>800</v>
      </c>
      <c r="E2092" s="111" t="s">
        <v>448</v>
      </c>
      <c r="F2092" s="265">
        <v>42361</v>
      </c>
      <c r="G2092" s="265">
        <v>42433</v>
      </c>
      <c r="H2092" s="266">
        <f t="shared" si="174"/>
        <v>219.44</v>
      </c>
      <c r="I2092" s="266">
        <f t="shared" si="175"/>
        <v>0</v>
      </c>
      <c r="J2092" s="266">
        <v>1</v>
      </c>
      <c r="K2092" s="266">
        <f t="shared" si="176"/>
        <v>2.1943999999999999</v>
      </c>
      <c r="L2092" s="312">
        <f t="shared" si="177"/>
        <v>72</v>
      </c>
      <c r="M2092" s="263"/>
      <c r="N2092" s="263"/>
      <c r="O2092" s="263"/>
      <c r="P2092" s="263"/>
      <c r="Q2092" s="263"/>
      <c r="R2092" s="263"/>
      <c r="S2092" s="29">
        <v>219.44</v>
      </c>
      <c r="T2092" s="29">
        <v>0</v>
      </c>
      <c r="U2092" s="292">
        <v>39.5</v>
      </c>
      <c r="V2092" s="29">
        <v>258.94</v>
      </c>
      <c r="W2092" s="29">
        <v>0</v>
      </c>
      <c r="X2092" s="29">
        <v>1</v>
      </c>
      <c r="Y2092" s="29">
        <v>2.5893999999999999</v>
      </c>
    </row>
    <row r="2093" spans="1:26">
      <c r="A2093" s="29">
        <v>5</v>
      </c>
      <c r="B2093" s="111">
        <v>1</v>
      </c>
      <c r="C2093" s="111">
        <v>319049</v>
      </c>
      <c r="D2093" s="111" t="s">
        <v>800</v>
      </c>
      <c r="E2093" s="111" t="s">
        <v>448</v>
      </c>
      <c r="F2093" s="265">
        <v>42375</v>
      </c>
      <c r="G2093" s="265">
        <v>42451</v>
      </c>
      <c r="H2093" s="266">
        <f t="shared" si="174"/>
        <v>686.09</v>
      </c>
      <c r="I2093" s="266">
        <f t="shared" si="175"/>
        <v>0</v>
      </c>
      <c r="J2093" s="266">
        <v>0</v>
      </c>
      <c r="K2093" s="266">
        <f t="shared" si="176"/>
        <v>0</v>
      </c>
      <c r="L2093" s="312">
        <f t="shared" si="177"/>
        <v>76</v>
      </c>
      <c r="M2093" s="263"/>
      <c r="N2093" s="263"/>
      <c r="O2093" s="263"/>
      <c r="P2093" s="263"/>
      <c r="Q2093" s="263"/>
      <c r="R2093" s="263"/>
      <c r="S2093" s="29">
        <v>686.09</v>
      </c>
      <c r="T2093" s="29">
        <v>0</v>
      </c>
      <c r="U2093" s="292">
        <v>123.5</v>
      </c>
      <c r="V2093" s="29">
        <v>809.59</v>
      </c>
      <c r="W2093" s="29">
        <v>0</v>
      </c>
      <c r="X2093" s="29">
        <v>1</v>
      </c>
      <c r="Y2093" s="29">
        <v>8.0959000000000003</v>
      </c>
    </row>
    <row r="2094" spans="1:26">
      <c r="A2094" s="29">
        <v>6</v>
      </c>
      <c r="B2094" s="111">
        <v>1</v>
      </c>
      <c r="C2094" s="111">
        <v>319960</v>
      </c>
      <c r="D2094" s="111" t="s">
        <v>759</v>
      </c>
      <c r="E2094" s="111" t="s">
        <v>448</v>
      </c>
      <c r="F2094" s="265">
        <v>42389</v>
      </c>
      <c r="G2094" s="265">
        <v>42441</v>
      </c>
      <c r="H2094" s="266">
        <f t="shared" si="174"/>
        <v>88.67</v>
      </c>
      <c r="I2094" s="266">
        <f t="shared" si="175"/>
        <v>0</v>
      </c>
      <c r="J2094" s="266">
        <v>1</v>
      </c>
      <c r="K2094" s="266">
        <f t="shared" si="176"/>
        <v>0.88670000000000004</v>
      </c>
      <c r="L2094" s="312">
        <f t="shared" si="177"/>
        <v>52</v>
      </c>
      <c r="M2094" s="263"/>
      <c r="N2094" s="263"/>
      <c r="O2094" s="263"/>
      <c r="P2094" s="263"/>
      <c r="Q2094" s="263"/>
      <c r="R2094" s="263"/>
      <c r="S2094" s="29">
        <v>88.67</v>
      </c>
      <c r="T2094" s="29">
        <v>0</v>
      </c>
      <c r="U2094" s="292">
        <v>15.96</v>
      </c>
      <c r="V2094" s="29">
        <v>104.63</v>
      </c>
      <c r="W2094" s="29">
        <v>0</v>
      </c>
      <c r="X2094" s="29">
        <v>1</v>
      </c>
      <c r="Y2094" s="29">
        <v>1.0463</v>
      </c>
    </row>
    <row r="2095" spans="1:26">
      <c r="A2095" s="29">
        <v>7</v>
      </c>
      <c r="B2095" s="111">
        <v>1</v>
      </c>
      <c r="C2095" s="111">
        <v>319967</v>
      </c>
      <c r="D2095" s="111" t="s">
        <v>759</v>
      </c>
      <c r="E2095" s="111" t="s">
        <v>448</v>
      </c>
      <c r="F2095" s="265">
        <v>42389</v>
      </c>
      <c r="G2095" s="265">
        <v>42441</v>
      </c>
      <c r="H2095" s="266">
        <f t="shared" si="174"/>
        <v>75.33</v>
      </c>
      <c r="I2095" s="266">
        <f t="shared" si="175"/>
        <v>0</v>
      </c>
      <c r="J2095" s="266">
        <v>1</v>
      </c>
      <c r="K2095" s="266">
        <f t="shared" si="176"/>
        <v>0.75329999999999997</v>
      </c>
      <c r="L2095" s="312">
        <f t="shared" si="177"/>
        <v>52</v>
      </c>
      <c r="M2095" s="263"/>
      <c r="N2095" s="263"/>
      <c r="O2095" s="263"/>
      <c r="P2095" s="263"/>
      <c r="Q2095" s="263"/>
      <c r="R2095" s="263"/>
      <c r="S2095" s="29">
        <v>75.33</v>
      </c>
      <c r="T2095" s="29">
        <v>0</v>
      </c>
      <c r="U2095" s="292">
        <v>13.56</v>
      </c>
      <c r="V2095" s="29">
        <v>88.89</v>
      </c>
      <c r="W2095" s="29">
        <v>0</v>
      </c>
      <c r="X2095" s="29">
        <v>1</v>
      </c>
      <c r="Y2095" s="29">
        <v>0.88890000000000002</v>
      </c>
    </row>
    <row r="2096" spans="1:26">
      <c r="A2096" s="29">
        <v>8</v>
      </c>
      <c r="B2096" s="111">
        <v>1</v>
      </c>
      <c r="C2096" s="111">
        <v>320159</v>
      </c>
      <c r="D2096" s="111" t="s">
        <v>759</v>
      </c>
      <c r="E2096" s="111" t="s">
        <v>448</v>
      </c>
      <c r="F2096" s="265">
        <v>42391</v>
      </c>
      <c r="G2096" s="265">
        <v>42440</v>
      </c>
      <c r="H2096" s="266">
        <f t="shared" si="174"/>
        <v>1550.92</v>
      </c>
      <c r="I2096" s="266">
        <f t="shared" si="175"/>
        <v>0</v>
      </c>
      <c r="J2096" s="266">
        <v>1</v>
      </c>
      <c r="K2096" s="266">
        <f t="shared" si="176"/>
        <v>15.509200000000002</v>
      </c>
      <c r="L2096" s="312">
        <f t="shared" si="177"/>
        <v>49</v>
      </c>
      <c r="M2096" s="263"/>
      <c r="N2096" s="263"/>
      <c r="O2096" s="263"/>
      <c r="P2096" s="263"/>
      <c r="Q2096" s="263"/>
      <c r="R2096" s="263"/>
      <c r="S2096" s="29">
        <v>1550.92</v>
      </c>
      <c r="T2096" s="29">
        <v>0</v>
      </c>
      <c r="U2096" s="292">
        <v>279.17</v>
      </c>
      <c r="V2096" s="29">
        <v>1830.09</v>
      </c>
      <c r="W2096" s="29">
        <v>0</v>
      </c>
      <c r="X2096" s="29">
        <v>1</v>
      </c>
      <c r="Y2096" s="29">
        <v>18.300899999999999</v>
      </c>
    </row>
    <row r="2097" spans="1:25">
      <c r="A2097" s="29">
        <v>9</v>
      </c>
      <c r="B2097" s="111">
        <v>1</v>
      </c>
      <c r="C2097" s="111">
        <v>320218</v>
      </c>
      <c r="D2097" s="111" t="s">
        <v>759</v>
      </c>
      <c r="E2097" s="111" t="s">
        <v>448</v>
      </c>
      <c r="F2097" s="265">
        <v>42392</v>
      </c>
      <c r="G2097" s="265">
        <v>42440</v>
      </c>
      <c r="H2097" s="266">
        <f t="shared" si="174"/>
        <v>1600.17</v>
      </c>
      <c r="I2097" s="266">
        <f t="shared" si="175"/>
        <v>0</v>
      </c>
      <c r="J2097" s="266">
        <v>1</v>
      </c>
      <c r="K2097" s="266">
        <f t="shared" si="176"/>
        <v>16.0017</v>
      </c>
      <c r="L2097" s="312">
        <f t="shared" si="177"/>
        <v>48</v>
      </c>
      <c r="M2097" s="263"/>
      <c r="N2097" s="263"/>
      <c r="O2097" s="263"/>
      <c r="P2097" s="263"/>
      <c r="Q2097" s="263"/>
      <c r="R2097" s="263"/>
      <c r="S2097" s="29">
        <v>1600.17</v>
      </c>
      <c r="T2097" s="29">
        <v>0</v>
      </c>
      <c r="U2097" s="292">
        <v>288.02999999999997</v>
      </c>
      <c r="V2097" s="29">
        <v>1888.2</v>
      </c>
      <c r="W2097" s="29">
        <v>0</v>
      </c>
      <c r="X2097" s="29">
        <v>1</v>
      </c>
      <c r="Y2097" s="29">
        <v>18.882000000000001</v>
      </c>
    </row>
    <row r="2098" spans="1:25">
      <c r="A2098" s="29">
        <v>10</v>
      </c>
      <c r="B2098" s="111">
        <v>1</v>
      </c>
      <c r="C2098" s="111">
        <v>320259</v>
      </c>
      <c r="D2098" s="111" t="s">
        <v>759</v>
      </c>
      <c r="E2098" s="111" t="s">
        <v>448</v>
      </c>
      <c r="F2098" s="265">
        <v>42394</v>
      </c>
      <c r="G2098" s="265">
        <v>42440</v>
      </c>
      <c r="H2098" s="266">
        <f t="shared" si="174"/>
        <v>1139.7</v>
      </c>
      <c r="I2098" s="266">
        <f t="shared" si="175"/>
        <v>0</v>
      </c>
      <c r="J2098" s="266">
        <v>1</v>
      </c>
      <c r="K2098" s="266">
        <f t="shared" si="176"/>
        <v>11.397</v>
      </c>
      <c r="L2098" s="312">
        <f t="shared" si="177"/>
        <v>46</v>
      </c>
      <c r="M2098" s="263"/>
      <c r="N2098" s="263"/>
      <c r="O2098" s="263"/>
      <c r="P2098" s="263"/>
      <c r="Q2098" s="263"/>
      <c r="R2098" s="263"/>
      <c r="S2098" s="29">
        <v>1139.7</v>
      </c>
      <c r="T2098" s="29">
        <v>0</v>
      </c>
      <c r="U2098" s="292">
        <v>205.15</v>
      </c>
      <c r="V2098" s="29">
        <v>1344.85</v>
      </c>
      <c r="W2098" s="29">
        <v>0</v>
      </c>
      <c r="X2098" s="29">
        <v>1</v>
      </c>
      <c r="Y2098" s="29">
        <v>13.448499999999999</v>
      </c>
    </row>
    <row r="2099" spans="1:25">
      <c r="A2099" s="29">
        <v>11</v>
      </c>
      <c r="B2099" s="111">
        <v>1</v>
      </c>
      <c r="C2099" s="111">
        <v>320278</v>
      </c>
      <c r="D2099" s="111" t="s">
        <v>757</v>
      </c>
      <c r="E2099" s="111" t="s">
        <v>448</v>
      </c>
      <c r="F2099" s="265">
        <v>42394</v>
      </c>
      <c r="G2099" s="265">
        <v>42440</v>
      </c>
      <c r="H2099" s="266">
        <f t="shared" si="174"/>
        <v>459.46</v>
      </c>
      <c r="I2099" s="266">
        <f t="shared" si="175"/>
        <v>0</v>
      </c>
      <c r="J2099" s="266">
        <v>1</v>
      </c>
      <c r="K2099" s="266">
        <f t="shared" si="176"/>
        <v>4.5945999999999998</v>
      </c>
      <c r="L2099" s="312">
        <f t="shared" si="177"/>
        <v>46</v>
      </c>
      <c r="M2099" s="263"/>
      <c r="N2099" s="263"/>
      <c r="O2099" s="263"/>
      <c r="P2099" s="263"/>
      <c r="Q2099" s="263"/>
      <c r="R2099" s="263"/>
      <c r="S2099" s="29">
        <v>459.46</v>
      </c>
      <c r="T2099" s="29">
        <v>0</v>
      </c>
      <c r="U2099" s="292">
        <v>82.7</v>
      </c>
      <c r="V2099" s="29">
        <v>542.16</v>
      </c>
      <c r="W2099" s="29">
        <v>0</v>
      </c>
      <c r="X2099" s="29">
        <v>1</v>
      </c>
      <c r="Y2099" s="29">
        <v>5.4215999999999998</v>
      </c>
    </row>
    <row r="2100" spans="1:25">
      <c r="A2100" s="29">
        <v>12</v>
      </c>
      <c r="B2100" s="111">
        <v>1</v>
      </c>
      <c r="C2100" s="111">
        <v>320364</v>
      </c>
      <c r="D2100" s="111" t="s">
        <v>759</v>
      </c>
      <c r="E2100" s="111" t="s">
        <v>448</v>
      </c>
      <c r="F2100" s="265">
        <v>42395</v>
      </c>
      <c r="G2100" s="265">
        <v>42440</v>
      </c>
      <c r="H2100" s="266">
        <f t="shared" si="174"/>
        <v>775.46</v>
      </c>
      <c r="I2100" s="266">
        <f t="shared" si="175"/>
        <v>0</v>
      </c>
      <c r="J2100" s="266">
        <v>1</v>
      </c>
      <c r="K2100" s="266">
        <f t="shared" si="176"/>
        <v>7.7546000000000008</v>
      </c>
      <c r="L2100" s="312">
        <f t="shared" si="177"/>
        <v>45</v>
      </c>
      <c r="M2100" s="263"/>
      <c r="N2100" s="263"/>
      <c r="O2100" s="263"/>
      <c r="P2100" s="263"/>
      <c r="Q2100" s="263"/>
      <c r="R2100" s="263"/>
      <c r="S2100" s="29">
        <v>775.46</v>
      </c>
      <c r="T2100" s="29">
        <v>0</v>
      </c>
      <c r="U2100" s="292">
        <v>139.58000000000001</v>
      </c>
      <c r="V2100" s="29">
        <v>915.04</v>
      </c>
      <c r="W2100" s="29">
        <v>0</v>
      </c>
      <c r="X2100" s="29">
        <v>1</v>
      </c>
      <c r="Y2100" s="29">
        <v>9.1503999999999994</v>
      </c>
    </row>
    <row r="2101" spans="1:25">
      <c r="A2101" s="29">
        <v>13</v>
      </c>
      <c r="B2101" s="111">
        <v>1</v>
      </c>
      <c r="C2101" s="111">
        <v>320466</v>
      </c>
      <c r="D2101" s="111" t="s">
        <v>759</v>
      </c>
      <c r="E2101" s="111" t="s">
        <v>448</v>
      </c>
      <c r="F2101" s="265">
        <v>42396</v>
      </c>
      <c r="G2101" s="265">
        <v>42440</v>
      </c>
      <c r="H2101" s="266">
        <f t="shared" si="174"/>
        <v>719.44</v>
      </c>
      <c r="I2101" s="266">
        <f t="shared" si="175"/>
        <v>0</v>
      </c>
      <c r="J2101" s="266">
        <v>1</v>
      </c>
      <c r="K2101" s="266">
        <f t="shared" si="176"/>
        <v>7.1944000000000008</v>
      </c>
      <c r="L2101" s="312">
        <f t="shared" si="177"/>
        <v>44</v>
      </c>
      <c r="M2101" s="263"/>
      <c r="N2101" s="263"/>
      <c r="O2101" s="263"/>
      <c r="P2101" s="263"/>
      <c r="Q2101" s="263"/>
      <c r="R2101" s="263"/>
      <c r="S2101" s="29">
        <v>719.44</v>
      </c>
      <c r="T2101" s="29">
        <v>0</v>
      </c>
      <c r="U2101" s="292">
        <v>129.5</v>
      </c>
      <c r="V2101" s="29">
        <v>848.94</v>
      </c>
      <c r="W2101" s="29">
        <v>0</v>
      </c>
      <c r="X2101" s="29">
        <v>1</v>
      </c>
      <c r="Y2101" s="29">
        <v>8.4893999999999998</v>
      </c>
    </row>
    <row r="2102" spans="1:25">
      <c r="A2102" s="29">
        <v>14</v>
      </c>
      <c r="B2102" s="111">
        <v>1</v>
      </c>
      <c r="C2102" s="111">
        <v>320480</v>
      </c>
      <c r="D2102" s="111" t="s">
        <v>759</v>
      </c>
      <c r="E2102" s="111" t="s">
        <v>448</v>
      </c>
      <c r="F2102" s="265">
        <v>42396</v>
      </c>
      <c r="G2102" s="265">
        <v>42440</v>
      </c>
      <c r="H2102" s="266">
        <f t="shared" si="174"/>
        <v>1596.62</v>
      </c>
      <c r="I2102" s="266">
        <f t="shared" si="175"/>
        <v>0</v>
      </c>
      <c r="J2102" s="266">
        <v>1</v>
      </c>
      <c r="K2102" s="266">
        <f t="shared" si="176"/>
        <v>15.966199999999999</v>
      </c>
      <c r="L2102" s="312">
        <f t="shared" si="177"/>
        <v>44</v>
      </c>
      <c r="M2102" s="263"/>
      <c r="N2102" s="263"/>
      <c r="O2102" s="263"/>
      <c r="P2102" s="263"/>
      <c r="Q2102" s="263"/>
      <c r="R2102" s="263"/>
      <c r="S2102" s="29">
        <v>1596.62</v>
      </c>
      <c r="T2102" s="29">
        <v>0</v>
      </c>
      <c r="U2102" s="292">
        <v>287.39</v>
      </c>
      <c r="V2102" s="29">
        <v>1884.01</v>
      </c>
      <c r="W2102" s="29">
        <v>0</v>
      </c>
      <c r="X2102" s="29">
        <v>1</v>
      </c>
      <c r="Y2102" s="29">
        <v>18.8401</v>
      </c>
    </row>
    <row r="2103" spans="1:25">
      <c r="A2103" s="29">
        <v>15</v>
      </c>
      <c r="B2103" s="111">
        <v>1</v>
      </c>
      <c r="C2103" s="111">
        <v>320577</v>
      </c>
      <c r="D2103" s="111" t="s">
        <v>759</v>
      </c>
      <c r="E2103" s="111" t="s">
        <v>448</v>
      </c>
      <c r="F2103" s="265">
        <v>42397</v>
      </c>
      <c r="G2103" s="265">
        <v>42440</v>
      </c>
      <c r="H2103" s="266">
        <f t="shared" si="174"/>
        <v>779.35</v>
      </c>
      <c r="I2103" s="266">
        <f t="shared" si="175"/>
        <v>0</v>
      </c>
      <c r="J2103" s="266">
        <v>1</v>
      </c>
      <c r="K2103" s="266">
        <f t="shared" si="176"/>
        <v>7.7935000000000008</v>
      </c>
      <c r="L2103" s="312">
        <f t="shared" si="177"/>
        <v>43</v>
      </c>
      <c r="M2103" s="263"/>
      <c r="N2103" s="263"/>
      <c r="O2103" s="263"/>
      <c r="P2103" s="263"/>
      <c r="Q2103" s="263"/>
      <c r="R2103" s="263"/>
      <c r="S2103" s="29">
        <v>779.35</v>
      </c>
      <c r="T2103" s="29">
        <v>0</v>
      </c>
      <c r="U2103" s="292">
        <v>140.28</v>
      </c>
      <c r="V2103" s="29">
        <v>919.63</v>
      </c>
      <c r="W2103" s="29">
        <v>0</v>
      </c>
      <c r="X2103" s="29">
        <v>1</v>
      </c>
      <c r="Y2103" s="29">
        <v>9.1963000000000008</v>
      </c>
    </row>
    <row r="2104" spans="1:25">
      <c r="A2104" s="29">
        <v>16</v>
      </c>
      <c r="B2104" s="111">
        <v>1</v>
      </c>
      <c r="C2104" s="111">
        <v>320802</v>
      </c>
      <c r="D2104" s="111" t="s">
        <v>758</v>
      </c>
      <c r="E2104" s="111" t="s">
        <v>448</v>
      </c>
      <c r="F2104" s="265">
        <v>42399</v>
      </c>
      <c r="G2104" s="265">
        <v>42447</v>
      </c>
      <c r="H2104" s="266">
        <f t="shared" si="174"/>
        <v>758.82</v>
      </c>
      <c r="I2104" s="266">
        <f t="shared" si="175"/>
        <v>0</v>
      </c>
      <c r="J2104" s="266">
        <v>1</v>
      </c>
      <c r="K2104" s="266">
        <f t="shared" si="176"/>
        <v>7.5882000000000005</v>
      </c>
      <c r="L2104" s="312">
        <f t="shared" si="177"/>
        <v>48</v>
      </c>
      <c r="M2104" s="263"/>
      <c r="N2104" s="263"/>
      <c r="O2104" s="263"/>
      <c r="P2104" s="263"/>
      <c r="Q2104" s="263"/>
      <c r="R2104" s="263"/>
      <c r="S2104" s="29">
        <v>758.82</v>
      </c>
      <c r="T2104" s="29">
        <v>0</v>
      </c>
      <c r="U2104" s="292">
        <v>136.59</v>
      </c>
      <c r="V2104" s="29">
        <v>895.41</v>
      </c>
      <c r="W2104" s="29">
        <v>0</v>
      </c>
      <c r="X2104" s="29">
        <v>1</v>
      </c>
      <c r="Y2104" s="29">
        <v>8.9541000000000004</v>
      </c>
    </row>
    <row r="2105" spans="1:25">
      <c r="A2105" s="29">
        <v>17</v>
      </c>
      <c r="B2105" s="111">
        <v>1</v>
      </c>
      <c r="C2105" s="111">
        <v>320914</v>
      </c>
      <c r="D2105" s="111" t="s">
        <v>760</v>
      </c>
      <c r="E2105" s="111" t="s">
        <v>448</v>
      </c>
      <c r="F2105" s="265">
        <v>42401</v>
      </c>
      <c r="G2105" s="265">
        <v>42458</v>
      </c>
      <c r="H2105" s="266">
        <f t="shared" si="174"/>
        <v>631.44000000000005</v>
      </c>
      <c r="I2105" s="266">
        <f t="shared" si="175"/>
        <v>0</v>
      </c>
      <c r="J2105" s="266">
        <v>1</v>
      </c>
      <c r="K2105" s="266">
        <f t="shared" si="176"/>
        <v>6.3144000000000009</v>
      </c>
      <c r="L2105" s="312">
        <f t="shared" si="177"/>
        <v>57</v>
      </c>
      <c r="M2105" s="263"/>
      <c r="N2105" s="263"/>
      <c r="O2105" s="263"/>
      <c r="P2105" s="263"/>
      <c r="Q2105" s="263"/>
      <c r="R2105" s="263"/>
      <c r="S2105" s="29">
        <v>631.44000000000005</v>
      </c>
      <c r="T2105" s="29">
        <v>0</v>
      </c>
      <c r="U2105" s="292">
        <v>113.66</v>
      </c>
      <c r="V2105" s="29">
        <v>745.1</v>
      </c>
      <c r="W2105" s="29">
        <v>0</v>
      </c>
      <c r="X2105" s="29">
        <v>1</v>
      </c>
      <c r="Y2105" s="29">
        <v>7.4509999999999996</v>
      </c>
    </row>
    <row r="2106" spans="1:25">
      <c r="A2106" s="29">
        <v>18</v>
      </c>
      <c r="B2106" s="111">
        <v>1</v>
      </c>
      <c r="C2106" s="111">
        <v>320968</v>
      </c>
      <c r="D2106" s="111" t="s">
        <v>757</v>
      </c>
      <c r="E2106" s="111" t="s">
        <v>448</v>
      </c>
      <c r="F2106" s="265">
        <v>42402</v>
      </c>
      <c r="G2106" s="265">
        <v>42447</v>
      </c>
      <c r="H2106" s="266">
        <f t="shared" si="174"/>
        <v>683.11</v>
      </c>
      <c r="I2106" s="266">
        <f t="shared" si="175"/>
        <v>0</v>
      </c>
      <c r="J2106" s="266">
        <v>1</v>
      </c>
      <c r="K2106" s="266">
        <f t="shared" si="176"/>
        <v>6.8311000000000002</v>
      </c>
      <c r="L2106" s="312">
        <f t="shared" si="177"/>
        <v>45</v>
      </c>
      <c r="M2106" s="263"/>
      <c r="N2106" s="263"/>
      <c r="O2106" s="263"/>
      <c r="P2106" s="263"/>
      <c r="Q2106" s="263"/>
      <c r="R2106" s="263"/>
      <c r="S2106" s="29">
        <v>683.11</v>
      </c>
      <c r="T2106" s="29">
        <v>0</v>
      </c>
      <c r="U2106" s="292">
        <v>122.96</v>
      </c>
      <c r="V2106" s="29">
        <v>806.07</v>
      </c>
      <c r="W2106" s="29">
        <v>0</v>
      </c>
      <c r="X2106" s="29">
        <v>1</v>
      </c>
      <c r="Y2106" s="29">
        <v>8.0607000000000006</v>
      </c>
    </row>
    <row r="2107" spans="1:25">
      <c r="A2107" s="29">
        <v>19</v>
      </c>
      <c r="B2107" s="111">
        <v>1</v>
      </c>
      <c r="C2107" s="111">
        <v>320982</v>
      </c>
      <c r="D2107" s="111" t="s">
        <v>758</v>
      </c>
      <c r="E2107" s="111" t="s">
        <v>448</v>
      </c>
      <c r="F2107" s="265">
        <v>42402</v>
      </c>
      <c r="G2107" s="265">
        <v>42447</v>
      </c>
      <c r="H2107" s="266">
        <f t="shared" si="174"/>
        <v>776.55</v>
      </c>
      <c r="I2107" s="266">
        <f t="shared" si="175"/>
        <v>0</v>
      </c>
      <c r="J2107" s="266">
        <v>1</v>
      </c>
      <c r="K2107" s="266">
        <f t="shared" si="176"/>
        <v>7.7654999999999994</v>
      </c>
      <c r="L2107" s="312">
        <f t="shared" si="177"/>
        <v>45</v>
      </c>
      <c r="M2107" s="263"/>
      <c r="N2107" s="263"/>
      <c r="O2107" s="263"/>
      <c r="P2107" s="263"/>
      <c r="Q2107" s="263"/>
      <c r="R2107" s="263"/>
      <c r="S2107" s="29">
        <v>776.55</v>
      </c>
      <c r="T2107" s="29">
        <v>0</v>
      </c>
      <c r="U2107" s="292">
        <v>139.78</v>
      </c>
      <c r="V2107" s="29">
        <v>916.33</v>
      </c>
      <c r="W2107" s="29">
        <v>0</v>
      </c>
      <c r="X2107" s="29">
        <v>1</v>
      </c>
      <c r="Y2107" s="29">
        <v>9.1632999999999996</v>
      </c>
    </row>
    <row r="2108" spans="1:25">
      <c r="A2108" s="29">
        <v>20</v>
      </c>
      <c r="B2108" s="111">
        <v>1</v>
      </c>
      <c r="C2108" s="111">
        <v>321012</v>
      </c>
      <c r="D2108" s="111" t="s">
        <v>759</v>
      </c>
      <c r="E2108" s="111" t="s">
        <v>448</v>
      </c>
      <c r="F2108" s="265">
        <v>42402</v>
      </c>
      <c r="G2108" s="265">
        <v>42447</v>
      </c>
      <c r="H2108" s="266">
        <f t="shared" si="174"/>
        <v>5090.33</v>
      </c>
      <c r="I2108" s="266">
        <f t="shared" si="175"/>
        <v>0</v>
      </c>
      <c r="J2108" s="266">
        <v>1</v>
      </c>
      <c r="K2108" s="266">
        <f t="shared" si="176"/>
        <v>50.903300000000002</v>
      </c>
      <c r="L2108" s="312">
        <f t="shared" si="177"/>
        <v>45</v>
      </c>
      <c r="M2108" s="263"/>
      <c r="N2108" s="263"/>
      <c r="O2108" s="263"/>
      <c r="P2108" s="263"/>
      <c r="Q2108" s="263"/>
      <c r="R2108" s="263"/>
      <c r="S2108" s="29">
        <v>5090.33</v>
      </c>
      <c r="T2108" s="29">
        <v>0</v>
      </c>
      <c r="U2108" s="292">
        <v>916.26</v>
      </c>
      <c r="V2108" s="29">
        <v>6006.59</v>
      </c>
      <c r="W2108" s="29">
        <v>0</v>
      </c>
      <c r="X2108" s="29">
        <v>1</v>
      </c>
      <c r="Y2108" s="29">
        <v>60.065899999999999</v>
      </c>
    </row>
    <row r="2109" spans="1:25">
      <c r="A2109" s="29">
        <v>21</v>
      </c>
      <c r="B2109" s="111">
        <v>6</v>
      </c>
      <c r="C2109" s="111">
        <v>2034</v>
      </c>
      <c r="D2109" s="111" t="s">
        <v>467</v>
      </c>
      <c r="E2109" s="111" t="s">
        <v>448</v>
      </c>
      <c r="F2109" s="265">
        <v>42402</v>
      </c>
      <c r="G2109" s="265">
        <v>42432</v>
      </c>
      <c r="H2109" s="266">
        <f t="shared" si="174"/>
        <v>3207.63</v>
      </c>
      <c r="I2109" s="266">
        <f t="shared" si="175"/>
        <v>0</v>
      </c>
      <c r="J2109" s="266">
        <v>1</v>
      </c>
      <c r="K2109" s="266">
        <f t="shared" si="176"/>
        <v>32.076300000000003</v>
      </c>
      <c r="L2109" s="312">
        <f t="shared" si="177"/>
        <v>30</v>
      </c>
      <c r="M2109" s="263"/>
      <c r="N2109" s="263"/>
      <c r="O2109" s="263"/>
      <c r="P2109" s="263"/>
      <c r="Q2109" s="263"/>
      <c r="R2109" s="263"/>
      <c r="S2109" s="29">
        <v>3207.63</v>
      </c>
      <c r="T2109" s="29">
        <v>0</v>
      </c>
      <c r="U2109" s="292">
        <v>577.37</v>
      </c>
      <c r="V2109" s="29">
        <v>3785</v>
      </c>
      <c r="W2109" s="29">
        <v>0</v>
      </c>
      <c r="X2109" s="29">
        <v>1</v>
      </c>
      <c r="Y2109" s="29">
        <v>37.85</v>
      </c>
    </row>
    <row r="2110" spans="1:25">
      <c r="A2110" s="29">
        <v>22</v>
      </c>
      <c r="B2110" s="111">
        <v>1</v>
      </c>
      <c r="C2110" s="111">
        <v>321011</v>
      </c>
      <c r="D2110" s="111" t="s">
        <v>760</v>
      </c>
      <c r="E2110" s="111" t="s">
        <v>448</v>
      </c>
      <c r="F2110" s="265">
        <v>42402</v>
      </c>
      <c r="G2110" s="265">
        <v>42458</v>
      </c>
      <c r="H2110" s="266">
        <f t="shared" si="174"/>
        <v>231.46</v>
      </c>
      <c r="I2110" s="266">
        <f t="shared" si="175"/>
        <v>0</v>
      </c>
      <c r="J2110" s="266">
        <v>1</v>
      </c>
      <c r="K2110" s="266">
        <f t="shared" si="176"/>
        <v>2.3146</v>
      </c>
      <c r="L2110" s="312">
        <f t="shared" si="177"/>
        <v>56</v>
      </c>
      <c r="M2110" s="263"/>
      <c r="N2110" s="263"/>
      <c r="O2110" s="263"/>
      <c r="P2110" s="263"/>
      <c r="Q2110" s="263"/>
      <c r="R2110" s="263"/>
      <c r="S2110" s="29">
        <v>231.46</v>
      </c>
      <c r="T2110" s="29">
        <v>0</v>
      </c>
      <c r="U2110" s="292">
        <v>41.66</v>
      </c>
      <c r="V2110" s="29">
        <v>273.12</v>
      </c>
      <c r="W2110" s="29">
        <v>0</v>
      </c>
      <c r="X2110" s="29">
        <v>1</v>
      </c>
      <c r="Y2110" s="29">
        <v>2.7311999999999999</v>
      </c>
    </row>
    <row r="2111" spans="1:25">
      <c r="A2111" s="29">
        <v>23</v>
      </c>
      <c r="B2111" s="111">
        <v>1</v>
      </c>
      <c r="C2111" s="111">
        <v>321027</v>
      </c>
      <c r="D2111" s="111" t="s">
        <v>758</v>
      </c>
      <c r="E2111" s="111" t="s">
        <v>448</v>
      </c>
      <c r="F2111" s="265">
        <v>42402</v>
      </c>
      <c r="G2111" s="265">
        <v>42447</v>
      </c>
      <c r="H2111" s="266">
        <f t="shared" si="174"/>
        <v>1869.47</v>
      </c>
      <c r="I2111" s="266">
        <f t="shared" si="175"/>
        <v>0</v>
      </c>
      <c r="J2111" s="266">
        <v>1</v>
      </c>
      <c r="K2111" s="266">
        <f t="shared" si="176"/>
        <v>18.694700000000001</v>
      </c>
      <c r="L2111" s="312">
        <f t="shared" si="177"/>
        <v>45</v>
      </c>
      <c r="M2111" s="263"/>
      <c r="N2111" s="263"/>
      <c r="O2111" s="263"/>
      <c r="P2111" s="263"/>
      <c r="Q2111" s="263"/>
      <c r="R2111" s="263"/>
      <c r="S2111" s="29">
        <v>1869.47</v>
      </c>
      <c r="T2111" s="29">
        <v>0</v>
      </c>
      <c r="U2111" s="292">
        <v>336.5</v>
      </c>
      <c r="V2111" s="29">
        <v>2205.9699999999998</v>
      </c>
      <c r="W2111" s="29">
        <v>0</v>
      </c>
      <c r="X2111" s="29">
        <v>1</v>
      </c>
      <c r="Y2111" s="29">
        <v>22.059699999999999</v>
      </c>
    </row>
    <row r="2112" spans="1:25">
      <c r="A2112" s="29">
        <v>24</v>
      </c>
      <c r="B2112" s="111">
        <v>1</v>
      </c>
      <c r="C2112" s="111">
        <v>321033</v>
      </c>
      <c r="D2112" s="111" t="s">
        <v>758</v>
      </c>
      <c r="E2112" s="111" t="s">
        <v>448</v>
      </c>
      <c r="F2112" s="265">
        <v>42402</v>
      </c>
      <c r="G2112" s="265">
        <v>42447</v>
      </c>
      <c r="H2112" s="266">
        <f t="shared" si="174"/>
        <v>1950.98</v>
      </c>
      <c r="I2112" s="266">
        <f t="shared" si="175"/>
        <v>0</v>
      </c>
      <c r="J2112" s="266">
        <v>1</v>
      </c>
      <c r="K2112" s="266">
        <f t="shared" si="176"/>
        <v>19.509800000000002</v>
      </c>
      <c r="L2112" s="312">
        <f t="shared" si="177"/>
        <v>45</v>
      </c>
      <c r="M2112" s="263"/>
      <c r="N2112" s="263"/>
      <c r="O2112" s="263"/>
      <c r="P2112" s="263"/>
      <c r="Q2112" s="263"/>
      <c r="R2112" s="263"/>
      <c r="S2112" s="29">
        <v>1950.98</v>
      </c>
      <c r="T2112" s="29">
        <v>0</v>
      </c>
      <c r="U2112" s="292">
        <v>351.18</v>
      </c>
      <c r="V2112" s="29">
        <v>2302.16</v>
      </c>
      <c r="W2112" s="29">
        <v>0</v>
      </c>
      <c r="X2112" s="29">
        <v>1</v>
      </c>
      <c r="Y2112" s="29">
        <v>23.021599999999999</v>
      </c>
    </row>
    <row r="2113" spans="1:25">
      <c r="A2113" s="29">
        <v>25</v>
      </c>
      <c r="B2113" s="111">
        <v>1</v>
      </c>
      <c r="C2113" s="111">
        <v>321200</v>
      </c>
      <c r="D2113" s="111" t="s">
        <v>758</v>
      </c>
      <c r="E2113" s="111" t="s">
        <v>448</v>
      </c>
      <c r="F2113" s="265">
        <v>42404</v>
      </c>
      <c r="G2113" s="265">
        <v>42447</v>
      </c>
      <c r="H2113" s="266">
        <f t="shared" si="174"/>
        <v>1481.96</v>
      </c>
      <c r="I2113" s="266">
        <f t="shared" si="175"/>
        <v>0</v>
      </c>
      <c r="J2113" s="266">
        <v>1</v>
      </c>
      <c r="K2113" s="266">
        <f t="shared" si="176"/>
        <v>14.819600000000001</v>
      </c>
      <c r="L2113" s="312">
        <f t="shared" si="177"/>
        <v>43</v>
      </c>
      <c r="M2113" s="263"/>
      <c r="N2113" s="263"/>
      <c r="O2113" s="263"/>
      <c r="P2113" s="263"/>
      <c r="Q2113" s="263"/>
      <c r="R2113" s="263"/>
      <c r="S2113" s="29">
        <v>1481.96</v>
      </c>
      <c r="T2113" s="29">
        <v>0</v>
      </c>
      <c r="U2113" s="292">
        <v>266.75</v>
      </c>
      <c r="V2113" s="29">
        <v>1748.71</v>
      </c>
      <c r="W2113" s="29">
        <v>0</v>
      </c>
      <c r="X2113" s="29">
        <v>1</v>
      </c>
      <c r="Y2113" s="29">
        <v>17.487100000000002</v>
      </c>
    </row>
    <row r="2114" spans="1:25">
      <c r="A2114" s="29">
        <v>26</v>
      </c>
      <c r="B2114" s="111">
        <v>1</v>
      </c>
      <c r="C2114" s="111">
        <v>321240</v>
      </c>
      <c r="D2114" s="111" t="s">
        <v>759</v>
      </c>
      <c r="E2114" s="111" t="s">
        <v>448</v>
      </c>
      <c r="F2114" s="265">
        <v>42404</v>
      </c>
      <c r="G2114" s="265">
        <v>42460</v>
      </c>
      <c r="H2114" s="266">
        <f t="shared" si="174"/>
        <v>3611.87</v>
      </c>
      <c r="I2114" s="266">
        <f t="shared" si="175"/>
        <v>0</v>
      </c>
      <c r="J2114" s="266">
        <v>1</v>
      </c>
      <c r="K2114" s="266">
        <f t="shared" si="176"/>
        <v>36.118699999999997</v>
      </c>
      <c r="L2114" s="312">
        <f t="shared" si="177"/>
        <v>56</v>
      </c>
      <c r="M2114" s="263"/>
      <c r="N2114" s="263"/>
      <c r="O2114" s="263"/>
      <c r="P2114" s="263"/>
      <c r="Q2114" s="263"/>
      <c r="R2114" s="263"/>
      <c r="S2114" s="29">
        <v>3611.87</v>
      </c>
      <c r="T2114" s="29">
        <v>0</v>
      </c>
      <c r="U2114" s="292">
        <v>650.14</v>
      </c>
      <c r="V2114" s="29">
        <v>4262.01</v>
      </c>
      <c r="W2114" s="29">
        <v>0</v>
      </c>
      <c r="X2114" s="29">
        <v>1</v>
      </c>
      <c r="Y2114" s="29">
        <v>42.620100000000001</v>
      </c>
    </row>
    <row r="2115" spans="1:25">
      <c r="A2115" s="29">
        <v>27</v>
      </c>
      <c r="B2115" s="111">
        <v>1</v>
      </c>
      <c r="C2115" s="111">
        <v>321202</v>
      </c>
      <c r="D2115" s="111" t="s">
        <v>758</v>
      </c>
      <c r="E2115" s="111" t="s">
        <v>448</v>
      </c>
      <c r="F2115" s="265">
        <v>42404</v>
      </c>
      <c r="G2115" s="265">
        <v>42447</v>
      </c>
      <c r="H2115" s="266">
        <f t="shared" si="174"/>
        <v>321.21999999999997</v>
      </c>
      <c r="I2115" s="266">
        <f t="shared" si="175"/>
        <v>0</v>
      </c>
      <c r="J2115" s="266">
        <v>1</v>
      </c>
      <c r="K2115" s="266">
        <f t="shared" si="176"/>
        <v>3.2121999999999997</v>
      </c>
      <c r="L2115" s="312">
        <f t="shared" si="177"/>
        <v>43</v>
      </c>
      <c r="M2115" s="263"/>
      <c r="N2115" s="263"/>
      <c r="O2115" s="263"/>
      <c r="P2115" s="263"/>
      <c r="Q2115" s="263"/>
      <c r="R2115" s="263"/>
      <c r="S2115" s="29">
        <v>218.98</v>
      </c>
      <c r="T2115" s="29">
        <v>102.24</v>
      </c>
      <c r="U2115" s="292">
        <v>39.42</v>
      </c>
      <c r="V2115" s="29">
        <v>360.64</v>
      </c>
      <c r="W2115" s="29">
        <v>0</v>
      </c>
      <c r="X2115" s="29">
        <v>1</v>
      </c>
      <c r="Y2115" s="29">
        <v>3.6063999999999998</v>
      </c>
    </row>
    <row r="2116" spans="1:25">
      <c r="A2116" s="29">
        <v>28</v>
      </c>
      <c r="B2116" s="111">
        <v>1</v>
      </c>
      <c r="C2116" s="111">
        <v>321206</v>
      </c>
      <c r="D2116" s="111" t="s">
        <v>759</v>
      </c>
      <c r="E2116" s="111" t="s">
        <v>448</v>
      </c>
      <c r="F2116" s="265">
        <v>42404</v>
      </c>
      <c r="G2116" s="265">
        <v>42447</v>
      </c>
      <c r="H2116" s="266">
        <f t="shared" si="174"/>
        <v>1686.97</v>
      </c>
      <c r="I2116" s="266">
        <f t="shared" si="175"/>
        <v>0</v>
      </c>
      <c r="J2116" s="266">
        <v>1</v>
      </c>
      <c r="K2116" s="266">
        <f t="shared" si="176"/>
        <v>16.869700000000002</v>
      </c>
      <c r="L2116" s="312">
        <f t="shared" si="177"/>
        <v>43</v>
      </c>
      <c r="M2116" s="263"/>
      <c r="N2116" s="263"/>
      <c r="O2116" s="263"/>
      <c r="P2116" s="263"/>
      <c r="Q2116" s="263"/>
      <c r="R2116" s="263"/>
      <c r="S2116" s="29">
        <v>1686.97</v>
      </c>
      <c r="T2116" s="29">
        <v>0</v>
      </c>
      <c r="U2116" s="292">
        <v>303.64999999999998</v>
      </c>
      <c r="V2116" s="29">
        <v>1990.62</v>
      </c>
      <c r="W2116" s="29">
        <v>0</v>
      </c>
      <c r="X2116" s="29">
        <v>1</v>
      </c>
      <c r="Y2116" s="29">
        <v>19.906199999999998</v>
      </c>
    </row>
    <row r="2117" spans="1:25">
      <c r="A2117" s="29">
        <v>29</v>
      </c>
      <c r="B2117" s="111">
        <v>1</v>
      </c>
      <c r="C2117" s="111">
        <v>321207</v>
      </c>
      <c r="D2117" s="111" t="s">
        <v>759</v>
      </c>
      <c r="E2117" s="111" t="s">
        <v>448</v>
      </c>
      <c r="F2117" s="265">
        <v>42404</v>
      </c>
      <c r="G2117" s="265">
        <v>42460</v>
      </c>
      <c r="H2117" s="266">
        <f t="shared" si="174"/>
        <v>193.56</v>
      </c>
      <c r="I2117" s="266">
        <f t="shared" si="175"/>
        <v>0</v>
      </c>
      <c r="J2117" s="266">
        <v>1</v>
      </c>
      <c r="K2117" s="266">
        <f t="shared" si="176"/>
        <v>1.9356</v>
      </c>
      <c r="L2117" s="312">
        <f t="shared" si="177"/>
        <v>56</v>
      </c>
      <c r="M2117" s="263"/>
      <c r="N2117" s="263"/>
      <c r="O2117" s="263"/>
      <c r="P2117" s="263"/>
      <c r="Q2117" s="263"/>
      <c r="R2117" s="263"/>
      <c r="S2117" s="29">
        <v>193.56</v>
      </c>
      <c r="T2117" s="29">
        <v>0</v>
      </c>
      <c r="U2117" s="292">
        <v>34.840000000000003</v>
      </c>
      <c r="V2117" s="29">
        <v>228.4</v>
      </c>
      <c r="W2117" s="29">
        <v>0</v>
      </c>
      <c r="X2117" s="29">
        <v>1</v>
      </c>
      <c r="Y2117" s="29">
        <v>2.2839999999999998</v>
      </c>
    </row>
    <row r="2118" spans="1:25">
      <c r="A2118" s="29">
        <v>30</v>
      </c>
      <c r="B2118" s="111">
        <v>1</v>
      </c>
      <c r="C2118" s="111">
        <v>321271</v>
      </c>
      <c r="D2118" s="111" t="s">
        <v>760</v>
      </c>
      <c r="E2118" s="111" t="s">
        <v>448</v>
      </c>
      <c r="F2118" s="265">
        <v>42404</v>
      </c>
      <c r="G2118" s="265">
        <v>42458</v>
      </c>
      <c r="H2118" s="266">
        <f t="shared" si="174"/>
        <v>493.26</v>
      </c>
      <c r="I2118" s="266">
        <f t="shared" si="175"/>
        <v>0</v>
      </c>
      <c r="J2118" s="266">
        <v>1</v>
      </c>
      <c r="K2118" s="266">
        <f t="shared" si="176"/>
        <v>4.9325999999999999</v>
      </c>
      <c r="L2118" s="312">
        <f t="shared" si="177"/>
        <v>54</v>
      </c>
      <c r="M2118" s="263"/>
      <c r="N2118" s="263"/>
      <c r="O2118" s="263"/>
      <c r="P2118" s="263"/>
      <c r="Q2118" s="263"/>
      <c r="R2118" s="263"/>
      <c r="S2118" s="29">
        <v>493.26</v>
      </c>
      <c r="T2118" s="29">
        <v>0</v>
      </c>
      <c r="U2118" s="292">
        <v>88.79</v>
      </c>
      <c r="V2118" s="29">
        <v>582.04999999999995</v>
      </c>
      <c r="W2118" s="29">
        <v>0</v>
      </c>
      <c r="X2118" s="29">
        <v>1</v>
      </c>
      <c r="Y2118" s="29">
        <v>5.8205</v>
      </c>
    </row>
    <row r="2119" spans="1:25">
      <c r="A2119" s="29">
        <v>31</v>
      </c>
      <c r="B2119" s="111">
        <v>1</v>
      </c>
      <c r="C2119" s="111">
        <v>321348</v>
      </c>
      <c r="D2119" s="111" t="s">
        <v>759</v>
      </c>
      <c r="E2119" s="111" t="s">
        <v>448</v>
      </c>
      <c r="F2119" s="265">
        <v>42405</v>
      </c>
      <c r="G2119" s="265">
        <v>42460</v>
      </c>
      <c r="H2119" s="266">
        <f t="shared" si="174"/>
        <v>3764.64</v>
      </c>
      <c r="I2119" s="266">
        <f t="shared" si="175"/>
        <v>0</v>
      </c>
      <c r="J2119" s="266">
        <v>1</v>
      </c>
      <c r="K2119" s="266">
        <f t="shared" si="176"/>
        <v>37.6464</v>
      </c>
      <c r="L2119" s="312">
        <f t="shared" si="177"/>
        <v>55</v>
      </c>
      <c r="M2119" s="263"/>
      <c r="N2119" s="263"/>
      <c r="O2119" s="263"/>
      <c r="P2119" s="263"/>
      <c r="Q2119" s="263"/>
      <c r="R2119" s="263"/>
      <c r="S2119" s="29">
        <v>3764.64</v>
      </c>
      <c r="T2119" s="29">
        <v>0</v>
      </c>
      <c r="U2119" s="292">
        <v>677.64</v>
      </c>
      <c r="V2119" s="29">
        <v>4442.28</v>
      </c>
      <c r="W2119" s="29">
        <v>0</v>
      </c>
      <c r="X2119" s="29">
        <v>1</v>
      </c>
      <c r="Y2119" s="29">
        <v>44.422800000000002</v>
      </c>
    </row>
    <row r="2120" spans="1:25">
      <c r="A2120" s="29">
        <v>32</v>
      </c>
      <c r="B2120" s="111">
        <v>1</v>
      </c>
      <c r="C2120" s="111">
        <v>321349</v>
      </c>
      <c r="D2120" s="111" t="s">
        <v>759</v>
      </c>
      <c r="E2120" s="111" t="s">
        <v>448</v>
      </c>
      <c r="F2120" s="265">
        <v>42405</v>
      </c>
      <c r="G2120" s="265">
        <v>42460</v>
      </c>
      <c r="H2120" s="266">
        <f t="shared" si="174"/>
        <v>1810.7</v>
      </c>
      <c r="I2120" s="266">
        <f t="shared" si="175"/>
        <v>0</v>
      </c>
      <c r="J2120" s="266">
        <v>1</v>
      </c>
      <c r="K2120" s="266">
        <f t="shared" si="176"/>
        <v>18.106999999999999</v>
      </c>
      <c r="L2120" s="312">
        <f t="shared" si="177"/>
        <v>55</v>
      </c>
      <c r="M2120" s="263"/>
      <c r="N2120" s="263"/>
      <c r="O2120" s="263"/>
      <c r="P2120" s="263"/>
      <c r="Q2120" s="263"/>
      <c r="R2120" s="263"/>
      <c r="S2120" s="29">
        <v>1810.7</v>
      </c>
      <c r="T2120" s="29">
        <v>0</v>
      </c>
      <c r="U2120" s="292">
        <v>325.93</v>
      </c>
      <c r="V2120" s="29">
        <v>2136.63</v>
      </c>
      <c r="W2120" s="29">
        <v>0</v>
      </c>
      <c r="X2120" s="29">
        <v>1</v>
      </c>
      <c r="Y2120" s="29">
        <v>21.366299999999999</v>
      </c>
    </row>
    <row r="2121" spans="1:25">
      <c r="A2121" s="29">
        <v>33</v>
      </c>
      <c r="B2121" s="111">
        <v>1</v>
      </c>
      <c r="C2121" s="111">
        <v>321350</v>
      </c>
      <c r="D2121" s="111" t="s">
        <v>759</v>
      </c>
      <c r="E2121" s="111" t="s">
        <v>448</v>
      </c>
      <c r="F2121" s="265">
        <v>42405</v>
      </c>
      <c r="G2121" s="265">
        <v>42460</v>
      </c>
      <c r="H2121" s="266">
        <f t="shared" ref="H2121:H2152" si="178">S2121+T2121</f>
        <v>93.05</v>
      </c>
      <c r="I2121" s="266">
        <f t="shared" ref="I2121:I2152" si="179">W2121/1.18</f>
        <v>0</v>
      </c>
      <c r="J2121" s="266">
        <v>1</v>
      </c>
      <c r="K2121" s="266">
        <f t="shared" ref="K2121:K2152" si="180">(H2121-I2121)*J2121%</f>
        <v>0.93049999999999999</v>
      </c>
      <c r="L2121" s="312">
        <f t="shared" ref="L2121:L2152" si="181">G2121-F2121</f>
        <v>55</v>
      </c>
      <c r="M2121" s="263"/>
      <c r="N2121" s="263"/>
      <c r="O2121" s="263"/>
      <c r="P2121" s="263"/>
      <c r="Q2121" s="263"/>
      <c r="R2121" s="263"/>
      <c r="S2121" s="29">
        <v>93.05</v>
      </c>
      <c r="T2121" s="29">
        <v>0</v>
      </c>
      <c r="U2121" s="292">
        <v>16.75</v>
      </c>
      <c r="V2121" s="29">
        <v>109.8</v>
      </c>
      <c r="W2121" s="29">
        <v>0</v>
      </c>
      <c r="X2121" s="29">
        <v>1</v>
      </c>
      <c r="Y2121" s="29">
        <v>1.0980000000000001</v>
      </c>
    </row>
    <row r="2122" spans="1:25">
      <c r="A2122" s="29">
        <v>34</v>
      </c>
      <c r="B2122" s="111">
        <v>1</v>
      </c>
      <c r="C2122" s="111">
        <v>321353</v>
      </c>
      <c r="D2122" s="111" t="s">
        <v>757</v>
      </c>
      <c r="E2122" s="111" t="s">
        <v>448</v>
      </c>
      <c r="F2122" s="265">
        <v>42405</v>
      </c>
      <c r="G2122" s="265">
        <v>42447</v>
      </c>
      <c r="H2122" s="266">
        <f t="shared" si="178"/>
        <v>310.66000000000003</v>
      </c>
      <c r="I2122" s="266">
        <f t="shared" si="179"/>
        <v>0</v>
      </c>
      <c r="J2122" s="266">
        <v>1</v>
      </c>
      <c r="K2122" s="266">
        <f t="shared" si="180"/>
        <v>3.1066000000000003</v>
      </c>
      <c r="L2122" s="312">
        <f t="shared" si="181"/>
        <v>42</v>
      </c>
      <c r="M2122" s="263"/>
      <c r="N2122" s="263"/>
      <c r="O2122" s="263"/>
      <c r="P2122" s="263"/>
      <c r="Q2122" s="263"/>
      <c r="R2122" s="263"/>
      <c r="S2122" s="29">
        <v>310.66000000000003</v>
      </c>
      <c r="T2122" s="29">
        <v>0</v>
      </c>
      <c r="U2122" s="292">
        <v>55.92</v>
      </c>
      <c r="V2122" s="29">
        <v>366.58</v>
      </c>
      <c r="W2122" s="29">
        <v>0</v>
      </c>
      <c r="X2122" s="29">
        <v>1</v>
      </c>
      <c r="Y2122" s="29">
        <v>3.6657999999999999</v>
      </c>
    </row>
    <row r="2123" spans="1:25">
      <c r="A2123" s="29">
        <v>35</v>
      </c>
      <c r="B2123" s="111">
        <v>1</v>
      </c>
      <c r="C2123" s="111">
        <v>321320</v>
      </c>
      <c r="D2123" s="111" t="s">
        <v>758</v>
      </c>
      <c r="E2123" s="111" t="s">
        <v>448</v>
      </c>
      <c r="F2123" s="265">
        <v>42405</v>
      </c>
      <c r="G2123" s="265">
        <v>42447</v>
      </c>
      <c r="H2123" s="266">
        <f t="shared" si="178"/>
        <v>3538.14</v>
      </c>
      <c r="I2123" s="266">
        <f t="shared" si="179"/>
        <v>0</v>
      </c>
      <c r="J2123" s="266">
        <v>1</v>
      </c>
      <c r="K2123" s="266">
        <f t="shared" si="180"/>
        <v>35.381399999999999</v>
      </c>
      <c r="L2123" s="312">
        <f t="shared" si="181"/>
        <v>42</v>
      </c>
      <c r="M2123" s="263"/>
      <c r="N2123" s="263"/>
      <c r="O2123" s="263"/>
      <c r="P2123" s="263"/>
      <c r="Q2123" s="263"/>
      <c r="R2123" s="263"/>
      <c r="S2123" s="29">
        <v>3538.14</v>
      </c>
      <c r="T2123" s="29">
        <v>0</v>
      </c>
      <c r="U2123" s="292">
        <v>636.87</v>
      </c>
      <c r="V2123" s="29">
        <v>4175.01</v>
      </c>
      <c r="W2123" s="29">
        <v>0</v>
      </c>
      <c r="X2123" s="29">
        <v>1</v>
      </c>
      <c r="Y2123" s="29">
        <v>41.750100000000003</v>
      </c>
    </row>
    <row r="2124" spans="1:25">
      <c r="A2124" s="29">
        <v>36</v>
      </c>
      <c r="B2124" s="111">
        <v>6</v>
      </c>
      <c r="C2124" s="111">
        <v>2039</v>
      </c>
      <c r="D2124" s="111" t="s">
        <v>467</v>
      </c>
      <c r="E2124" s="111" t="s">
        <v>448</v>
      </c>
      <c r="F2124" s="265">
        <v>42408</v>
      </c>
      <c r="G2124" s="265">
        <v>42432</v>
      </c>
      <c r="H2124" s="266">
        <f t="shared" si="178"/>
        <v>7330.51</v>
      </c>
      <c r="I2124" s="266">
        <f t="shared" si="179"/>
        <v>0</v>
      </c>
      <c r="J2124" s="266">
        <v>1</v>
      </c>
      <c r="K2124" s="266">
        <f t="shared" si="180"/>
        <v>73.30510000000001</v>
      </c>
      <c r="L2124" s="312">
        <f t="shared" si="181"/>
        <v>24</v>
      </c>
      <c r="M2124" s="263"/>
      <c r="N2124" s="263"/>
      <c r="O2124" s="263"/>
      <c r="P2124" s="263"/>
      <c r="Q2124" s="263"/>
      <c r="R2124" s="263"/>
      <c r="S2124" s="29">
        <v>7330.51</v>
      </c>
      <c r="T2124" s="29">
        <v>0</v>
      </c>
      <c r="U2124" s="292">
        <v>1319.49</v>
      </c>
      <c r="V2124" s="29">
        <v>8650</v>
      </c>
      <c r="W2124" s="29">
        <v>0</v>
      </c>
      <c r="X2124" s="29">
        <v>1</v>
      </c>
      <c r="Y2124" s="29">
        <v>86.5</v>
      </c>
    </row>
    <row r="2125" spans="1:25">
      <c r="A2125" s="29">
        <v>37</v>
      </c>
      <c r="B2125" s="111">
        <v>1</v>
      </c>
      <c r="C2125" s="111">
        <v>321429</v>
      </c>
      <c r="D2125" s="111" t="s">
        <v>759</v>
      </c>
      <c r="E2125" s="111" t="s">
        <v>448</v>
      </c>
      <c r="F2125" s="265">
        <v>42406</v>
      </c>
      <c r="G2125" s="265">
        <v>42460</v>
      </c>
      <c r="H2125" s="266">
        <f t="shared" si="178"/>
        <v>328.35</v>
      </c>
      <c r="I2125" s="266">
        <f t="shared" si="179"/>
        <v>0</v>
      </c>
      <c r="J2125" s="266">
        <v>1</v>
      </c>
      <c r="K2125" s="266">
        <f t="shared" si="180"/>
        <v>3.2835000000000001</v>
      </c>
      <c r="L2125" s="312">
        <f t="shared" si="181"/>
        <v>54</v>
      </c>
      <c r="M2125" s="263"/>
      <c r="N2125" s="263"/>
      <c r="O2125" s="263"/>
      <c r="P2125" s="263"/>
      <c r="Q2125" s="263"/>
      <c r="R2125" s="263"/>
      <c r="S2125" s="29">
        <v>328.35</v>
      </c>
      <c r="T2125" s="29">
        <v>0</v>
      </c>
      <c r="U2125" s="292">
        <v>59.1</v>
      </c>
      <c r="V2125" s="29">
        <v>387.45</v>
      </c>
      <c r="W2125" s="29">
        <v>0</v>
      </c>
      <c r="X2125" s="29">
        <v>1</v>
      </c>
      <c r="Y2125" s="29">
        <v>3.8744999999999998</v>
      </c>
    </row>
    <row r="2126" spans="1:25">
      <c r="A2126" s="29">
        <v>38</v>
      </c>
      <c r="B2126" s="111">
        <v>1</v>
      </c>
      <c r="C2126" s="111">
        <v>321448</v>
      </c>
      <c r="D2126" s="111" t="s">
        <v>757</v>
      </c>
      <c r="E2126" s="111" t="s">
        <v>448</v>
      </c>
      <c r="F2126" s="265">
        <v>42408</v>
      </c>
      <c r="G2126" s="265">
        <v>42447</v>
      </c>
      <c r="H2126" s="266">
        <f t="shared" si="178"/>
        <v>196.49</v>
      </c>
      <c r="I2126" s="266">
        <f t="shared" si="179"/>
        <v>0</v>
      </c>
      <c r="J2126" s="266">
        <v>1</v>
      </c>
      <c r="K2126" s="266">
        <f t="shared" si="180"/>
        <v>1.9649000000000001</v>
      </c>
      <c r="L2126" s="312">
        <f t="shared" si="181"/>
        <v>39</v>
      </c>
      <c r="M2126" s="263"/>
      <c r="N2126" s="263"/>
      <c r="O2126" s="263"/>
      <c r="P2126" s="263"/>
      <c r="Q2126" s="263"/>
      <c r="R2126" s="263"/>
      <c r="S2126" s="29">
        <v>196.49</v>
      </c>
      <c r="T2126" s="29">
        <v>0</v>
      </c>
      <c r="U2126" s="292">
        <v>35.369999999999997</v>
      </c>
      <c r="V2126" s="29">
        <v>231.86</v>
      </c>
      <c r="W2126" s="29">
        <v>0</v>
      </c>
      <c r="X2126" s="29">
        <v>1</v>
      </c>
      <c r="Y2126" s="29">
        <v>2.3186</v>
      </c>
    </row>
    <row r="2127" spans="1:25">
      <c r="A2127" s="29">
        <v>39</v>
      </c>
      <c r="B2127" s="111">
        <v>1</v>
      </c>
      <c r="C2127" s="111">
        <v>321474</v>
      </c>
      <c r="D2127" s="111" t="s">
        <v>758</v>
      </c>
      <c r="E2127" s="111" t="s">
        <v>448</v>
      </c>
      <c r="F2127" s="265">
        <v>42408</v>
      </c>
      <c r="G2127" s="265">
        <v>42447</v>
      </c>
      <c r="H2127" s="266">
        <f t="shared" si="178"/>
        <v>5790.93</v>
      </c>
      <c r="I2127" s="266">
        <f t="shared" si="179"/>
        <v>2302.5084745762715</v>
      </c>
      <c r="J2127" s="266">
        <v>1</v>
      </c>
      <c r="K2127" s="266">
        <f t="shared" si="180"/>
        <v>34.88421525423729</v>
      </c>
      <c r="L2127" s="312">
        <f t="shared" si="181"/>
        <v>39</v>
      </c>
      <c r="M2127" s="263"/>
      <c r="N2127" s="263"/>
      <c r="O2127" s="263"/>
      <c r="P2127" s="263"/>
      <c r="Q2127" s="263"/>
      <c r="R2127" s="263"/>
      <c r="S2127" s="29">
        <v>5790.93</v>
      </c>
      <c r="T2127" s="29">
        <v>0</v>
      </c>
      <c r="U2127" s="292">
        <v>1042.3699999999999</v>
      </c>
      <c r="V2127" s="29">
        <v>6833.3</v>
      </c>
      <c r="W2127" s="29">
        <v>2716.96</v>
      </c>
      <c r="X2127" s="29">
        <v>1</v>
      </c>
      <c r="Y2127" s="29">
        <v>41.163400000000003</v>
      </c>
    </row>
    <row r="2128" spans="1:25">
      <c r="A2128" s="29">
        <v>40</v>
      </c>
      <c r="B2128" s="111">
        <v>1</v>
      </c>
      <c r="C2128" s="111">
        <v>321476</v>
      </c>
      <c r="D2128" s="111" t="s">
        <v>758</v>
      </c>
      <c r="E2128" s="111" t="s">
        <v>448</v>
      </c>
      <c r="F2128" s="265">
        <v>42408</v>
      </c>
      <c r="G2128" s="265">
        <v>42447</v>
      </c>
      <c r="H2128" s="266">
        <f t="shared" si="178"/>
        <v>557.94000000000005</v>
      </c>
      <c r="I2128" s="266">
        <f t="shared" si="179"/>
        <v>0</v>
      </c>
      <c r="J2128" s="266">
        <v>1</v>
      </c>
      <c r="K2128" s="266">
        <f t="shared" si="180"/>
        <v>5.5794000000000006</v>
      </c>
      <c r="L2128" s="312">
        <f t="shared" si="181"/>
        <v>39</v>
      </c>
      <c r="M2128" s="263"/>
      <c r="N2128" s="263"/>
      <c r="O2128" s="263"/>
      <c r="P2128" s="263"/>
      <c r="Q2128" s="263"/>
      <c r="R2128" s="263"/>
      <c r="S2128" s="29">
        <v>557.94000000000005</v>
      </c>
      <c r="T2128" s="29">
        <v>0</v>
      </c>
      <c r="U2128" s="292">
        <v>100.43</v>
      </c>
      <c r="V2128" s="29">
        <v>658.37</v>
      </c>
      <c r="W2128" s="29">
        <v>0</v>
      </c>
      <c r="X2128" s="29">
        <v>1</v>
      </c>
      <c r="Y2128" s="29">
        <v>6.5837000000000003</v>
      </c>
    </row>
    <row r="2129" spans="1:25">
      <c r="A2129" s="29">
        <v>41</v>
      </c>
      <c r="B2129" s="111">
        <v>1</v>
      </c>
      <c r="C2129" s="111">
        <v>321473</v>
      </c>
      <c r="D2129" s="111" t="s">
        <v>758</v>
      </c>
      <c r="E2129" s="111" t="s">
        <v>448</v>
      </c>
      <c r="F2129" s="265">
        <v>42408</v>
      </c>
      <c r="G2129" s="265">
        <v>42447</v>
      </c>
      <c r="H2129" s="266">
        <f t="shared" si="178"/>
        <v>4567.5</v>
      </c>
      <c r="I2129" s="266">
        <f t="shared" si="179"/>
        <v>0</v>
      </c>
      <c r="J2129" s="266">
        <v>1</v>
      </c>
      <c r="K2129" s="266">
        <f t="shared" si="180"/>
        <v>45.675000000000004</v>
      </c>
      <c r="L2129" s="312">
        <f t="shared" si="181"/>
        <v>39</v>
      </c>
      <c r="M2129" s="263"/>
      <c r="N2129" s="263"/>
      <c r="O2129" s="263"/>
      <c r="P2129" s="263"/>
      <c r="Q2129" s="263"/>
      <c r="R2129" s="263"/>
      <c r="S2129" s="29">
        <v>4567.5</v>
      </c>
      <c r="T2129" s="29">
        <v>0</v>
      </c>
      <c r="U2129" s="292">
        <v>822.15</v>
      </c>
      <c r="V2129" s="29">
        <v>5389.65</v>
      </c>
      <c r="W2129" s="29">
        <v>0</v>
      </c>
      <c r="X2129" s="29">
        <v>1</v>
      </c>
      <c r="Y2129" s="29">
        <v>53.896500000000003</v>
      </c>
    </row>
    <row r="2130" spans="1:25">
      <c r="A2130" s="29">
        <v>42</v>
      </c>
      <c r="B2130" s="111">
        <v>1</v>
      </c>
      <c r="C2130" s="111">
        <v>321475</v>
      </c>
      <c r="D2130" s="111" t="s">
        <v>758</v>
      </c>
      <c r="E2130" s="111" t="s">
        <v>448</v>
      </c>
      <c r="F2130" s="265">
        <v>42408</v>
      </c>
      <c r="G2130" s="265">
        <v>42447</v>
      </c>
      <c r="H2130" s="266">
        <f t="shared" si="178"/>
        <v>1871.24</v>
      </c>
      <c r="I2130" s="266">
        <f t="shared" si="179"/>
        <v>0</v>
      </c>
      <c r="J2130" s="266">
        <v>1</v>
      </c>
      <c r="K2130" s="266">
        <f t="shared" si="180"/>
        <v>18.712399999999999</v>
      </c>
      <c r="L2130" s="312">
        <f t="shared" si="181"/>
        <v>39</v>
      </c>
      <c r="M2130" s="263"/>
      <c r="N2130" s="263"/>
      <c r="O2130" s="263"/>
      <c r="P2130" s="263"/>
      <c r="Q2130" s="263"/>
      <c r="R2130" s="263"/>
      <c r="S2130" s="29">
        <v>1871.24</v>
      </c>
      <c r="T2130" s="29">
        <v>0</v>
      </c>
      <c r="U2130" s="292">
        <v>336.82</v>
      </c>
      <c r="V2130" s="29">
        <v>2208.06</v>
      </c>
      <c r="W2130" s="29">
        <v>0</v>
      </c>
      <c r="X2130" s="29">
        <v>1</v>
      </c>
      <c r="Y2130" s="29">
        <v>22.0806</v>
      </c>
    </row>
    <row r="2131" spans="1:25">
      <c r="A2131" s="29">
        <v>43</v>
      </c>
      <c r="B2131" s="111">
        <v>1</v>
      </c>
      <c r="C2131" s="111">
        <v>321496</v>
      </c>
      <c r="D2131" s="111" t="s">
        <v>757</v>
      </c>
      <c r="E2131" s="111" t="s">
        <v>448</v>
      </c>
      <c r="F2131" s="265">
        <v>42408</v>
      </c>
      <c r="G2131" s="265">
        <v>42447</v>
      </c>
      <c r="H2131" s="266">
        <f t="shared" si="178"/>
        <v>351.4</v>
      </c>
      <c r="I2131" s="266">
        <f t="shared" si="179"/>
        <v>0</v>
      </c>
      <c r="J2131" s="266">
        <v>1</v>
      </c>
      <c r="K2131" s="266">
        <f t="shared" si="180"/>
        <v>3.5139999999999998</v>
      </c>
      <c r="L2131" s="312">
        <f t="shared" si="181"/>
        <v>39</v>
      </c>
      <c r="M2131" s="263"/>
      <c r="N2131" s="263"/>
      <c r="O2131" s="263"/>
      <c r="P2131" s="263"/>
      <c r="Q2131" s="263"/>
      <c r="R2131" s="263"/>
      <c r="S2131" s="29">
        <v>351.4</v>
      </c>
      <c r="T2131" s="29">
        <v>0</v>
      </c>
      <c r="U2131" s="292">
        <v>63.25</v>
      </c>
      <c r="V2131" s="29">
        <v>414.65</v>
      </c>
      <c r="W2131" s="29">
        <v>0</v>
      </c>
      <c r="X2131" s="29">
        <v>1</v>
      </c>
      <c r="Y2131" s="29">
        <v>4.1464999999999996</v>
      </c>
    </row>
    <row r="2132" spans="1:25">
      <c r="A2132" s="29">
        <v>44</v>
      </c>
      <c r="B2132" s="111">
        <v>1</v>
      </c>
      <c r="C2132" s="111">
        <v>321513</v>
      </c>
      <c r="D2132" s="111" t="s">
        <v>758</v>
      </c>
      <c r="E2132" s="111" t="s">
        <v>448</v>
      </c>
      <c r="F2132" s="265">
        <v>42408</v>
      </c>
      <c r="G2132" s="265">
        <v>42447</v>
      </c>
      <c r="H2132" s="266">
        <f t="shared" si="178"/>
        <v>613.29</v>
      </c>
      <c r="I2132" s="266">
        <f t="shared" si="179"/>
        <v>0</v>
      </c>
      <c r="J2132" s="266">
        <v>1</v>
      </c>
      <c r="K2132" s="266">
        <f t="shared" si="180"/>
        <v>6.1328999999999994</v>
      </c>
      <c r="L2132" s="312">
        <f t="shared" si="181"/>
        <v>39</v>
      </c>
      <c r="M2132" s="263"/>
      <c r="N2132" s="263"/>
      <c r="O2132" s="263"/>
      <c r="P2132" s="263"/>
      <c r="Q2132" s="263"/>
      <c r="R2132" s="263"/>
      <c r="S2132" s="29">
        <v>613.29</v>
      </c>
      <c r="T2132" s="29">
        <v>0</v>
      </c>
      <c r="U2132" s="292">
        <v>110.39</v>
      </c>
      <c r="V2132" s="29">
        <v>723.68</v>
      </c>
      <c r="W2132" s="29">
        <v>0</v>
      </c>
      <c r="X2132" s="29">
        <v>1</v>
      </c>
      <c r="Y2132" s="29">
        <v>7.2367999999999997</v>
      </c>
    </row>
    <row r="2133" spans="1:25">
      <c r="A2133" s="29">
        <v>45</v>
      </c>
      <c r="B2133" s="111">
        <v>1</v>
      </c>
      <c r="C2133" s="111">
        <v>321541</v>
      </c>
      <c r="D2133" s="111" t="s">
        <v>759</v>
      </c>
      <c r="E2133" s="111" t="s">
        <v>448</v>
      </c>
      <c r="F2133" s="265">
        <v>42409</v>
      </c>
      <c r="G2133" s="265">
        <v>42460</v>
      </c>
      <c r="H2133" s="266">
        <f t="shared" si="178"/>
        <v>310.35000000000002</v>
      </c>
      <c r="I2133" s="266">
        <f t="shared" si="179"/>
        <v>0</v>
      </c>
      <c r="J2133" s="266">
        <v>1</v>
      </c>
      <c r="K2133" s="266">
        <f t="shared" si="180"/>
        <v>3.1035000000000004</v>
      </c>
      <c r="L2133" s="312">
        <f t="shared" si="181"/>
        <v>51</v>
      </c>
      <c r="M2133" s="263"/>
      <c r="N2133" s="263"/>
      <c r="O2133" s="263"/>
      <c r="P2133" s="263"/>
      <c r="Q2133" s="263"/>
      <c r="R2133" s="263"/>
      <c r="S2133" s="29">
        <v>310.35000000000002</v>
      </c>
      <c r="T2133" s="29">
        <v>0</v>
      </c>
      <c r="U2133" s="292">
        <v>55.86</v>
      </c>
      <c r="V2133" s="29">
        <v>366.21</v>
      </c>
      <c r="W2133" s="29">
        <v>0</v>
      </c>
      <c r="X2133" s="29">
        <v>1</v>
      </c>
      <c r="Y2133" s="29">
        <v>3.6621000000000001</v>
      </c>
    </row>
    <row r="2134" spans="1:25">
      <c r="A2134" s="29">
        <v>46</v>
      </c>
      <c r="B2134" s="111">
        <v>1</v>
      </c>
      <c r="C2134" s="111">
        <v>321540</v>
      </c>
      <c r="D2134" s="111" t="s">
        <v>759</v>
      </c>
      <c r="E2134" s="111" t="s">
        <v>448</v>
      </c>
      <c r="F2134" s="265">
        <v>42409</v>
      </c>
      <c r="G2134" s="265">
        <v>42460</v>
      </c>
      <c r="H2134" s="266">
        <f t="shared" si="178"/>
        <v>4071.07</v>
      </c>
      <c r="I2134" s="266">
        <f t="shared" si="179"/>
        <v>0</v>
      </c>
      <c r="J2134" s="266">
        <v>1</v>
      </c>
      <c r="K2134" s="266">
        <f t="shared" si="180"/>
        <v>40.710700000000003</v>
      </c>
      <c r="L2134" s="312">
        <f t="shared" si="181"/>
        <v>51</v>
      </c>
      <c r="M2134" s="263"/>
      <c r="N2134" s="263"/>
      <c r="O2134" s="263"/>
      <c r="P2134" s="263"/>
      <c r="Q2134" s="263"/>
      <c r="R2134" s="263"/>
      <c r="S2134" s="29">
        <v>4071.07</v>
      </c>
      <c r="T2134" s="29">
        <v>0</v>
      </c>
      <c r="U2134" s="292">
        <v>732.79</v>
      </c>
      <c r="V2134" s="29">
        <v>4803.8599999999997</v>
      </c>
      <c r="W2134" s="29">
        <v>0</v>
      </c>
      <c r="X2134" s="29">
        <v>1</v>
      </c>
      <c r="Y2134" s="29">
        <v>48.038600000000002</v>
      </c>
    </row>
    <row r="2135" spans="1:25">
      <c r="A2135" s="29">
        <v>47</v>
      </c>
      <c r="B2135" s="111">
        <v>1</v>
      </c>
      <c r="C2135" s="111">
        <v>321532</v>
      </c>
      <c r="D2135" s="111" t="s">
        <v>759</v>
      </c>
      <c r="E2135" s="111" t="s">
        <v>448</v>
      </c>
      <c r="F2135" s="265">
        <v>42409</v>
      </c>
      <c r="G2135" s="265">
        <v>42460</v>
      </c>
      <c r="H2135" s="266">
        <f t="shared" si="178"/>
        <v>1191.26</v>
      </c>
      <c r="I2135" s="266">
        <f t="shared" si="179"/>
        <v>0</v>
      </c>
      <c r="J2135" s="266">
        <v>1</v>
      </c>
      <c r="K2135" s="266">
        <f t="shared" si="180"/>
        <v>11.912599999999999</v>
      </c>
      <c r="L2135" s="312">
        <f t="shared" si="181"/>
        <v>51</v>
      </c>
      <c r="M2135" s="263"/>
      <c r="N2135" s="263"/>
      <c r="O2135" s="263"/>
      <c r="P2135" s="263"/>
      <c r="Q2135" s="263"/>
      <c r="R2135" s="263"/>
      <c r="S2135" s="29">
        <v>1191.26</v>
      </c>
      <c r="T2135" s="29">
        <v>0</v>
      </c>
      <c r="U2135" s="292">
        <v>214.43</v>
      </c>
      <c r="V2135" s="29">
        <v>1405.69</v>
      </c>
      <c r="W2135" s="29">
        <v>0</v>
      </c>
      <c r="X2135" s="29">
        <v>1</v>
      </c>
      <c r="Y2135" s="29">
        <v>14.056900000000001</v>
      </c>
    </row>
    <row r="2136" spans="1:25">
      <c r="A2136" s="29">
        <v>48</v>
      </c>
      <c r="B2136" s="111">
        <v>1</v>
      </c>
      <c r="C2136" s="111">
        <v>321638</v>
      </c>
      <c r="D2136" s="111" t="s">
        <v>758</v>
      </c>
      <c r="E2136" s="111" t="s">
        <v>448</v>
      </c>
      <c r="F2136" s="265">
        <v>42410</v>
      </c>
      <c r="G2136" s="265">
        <v>42447</v>
      </c>
      <c r="H2136" s="266">
        <f t="shared" si="178"/>
        <v>339.15</v>
      </c>
      <c r="I2136" s="266">
        <f t="shared" si="179"/>
        <v>0</v>
      </c>
      <c r="J2136" s="266">
        <v>1</v>
      </c>
      <c r="K2136" s="266">
        <f t="shared" si="180"/>
        <v>3.3914999999999997</v>
      </c>
      <c r="L2136" s="312">
        <f t="shared" si="181"/>
        <v>37</v>
      </c>
      <c r="M2136" s="263"/>
      <c r="N2136" s="263"/>
      <c r="O2136" s="263"/>
      <c r="P2136" s="263"/>
      <c r="Q2136" s="263"/>
      <c r="R2136" s="263"/>
      <c r="S2136" s="29">
        <v>339.15</v>
      </c>
      <c r="T2136" s="29">
        <v>0</v>
      </c>
      <c r="U2136" s="292">
        <v>61.05</v>
      </c>
      <c r="V2136" s="29">
        <v>400.2</v>
      </c>
      <c r="W2136" s="29">
        <v>0</v>
      </c>
      <c r="X2136" s="29">
        <v>1</v>
      </c>
      <c r="Y2136" s="29">
        <v>4.0019999999999998</v>
      </c>
    </row>
    <row r="2137" spans="1:25">
      <c r="A2137" s="29">
        <v>49</v>
      </c>
      <c r="B2137" s="111">
        <v>1</v>
      </c>
      <c r="C2137" s="111">
        <v>321641</v>
      </c>
      <c r="D2137" s="111" t="s">
        <v>758</v>
      </c>
      <c r="E2137" s="111" t="s">
        <v>448</v>
      </c>
      <c r="F2137" s="265">
        <v>42410</v>
      </c>
      <c r="G2137" s="265">
        <v>42447</v>
      </c>
      <c r="H2137" s="266">
        <f t="shared" si="178"/>
        <v>829.49</v>
      </c>
      <c r="I2137" s="266">
        <f t="shared" si="179"/>
        <v>0</v>
      </c>
      <c r="J2137" s="266">
        <v>1</v>
      </c>
      <c r="K2137" s="266">
        <f t="shared" si="180"/>
        <v>8.2949000000000002</v>
      </c>
      <c r="L2137" s="312">
        <f t="shared" si="181"/>
        <v>37</v>
      </c>
      <c r="M2137" s="263"/>
      <c r="N2137" s="263"/>
      <c r="O2137" s="263"/>
      <c r="P2137" s="263"/>
      <c r="Q2137" s="263"/>
      <c r="R2137" s="263"/>
      <c r="S2137" s="29">
        <v>829.49</v>
      </c>
      <c r="T2137" s="29">
        <v>0</v>
      </c>
      <c r="U2137" s="292">
        <v>149.31</v>
      </c>
      <c r="V2137" s="29">
        <v>978.8</v>
      </c>
      <c r="W2137" s="29">
        <v>0</v>
      </c>
      <c r="X2137" s="29">
        <v>1</v>
      </c>
      <c r="Y2137" s="29">
        <v>9.7880000000000003</v>
      </c>
    </row>
    <row r="2138" spans="1:25">
      <c r="A2138" s="29">
        <v>50</v>
      </c>
      <c r="B2138" s="111">
        <v>1</v>
      </c>
      <c r="C2138" s="111">
        <v>321760</v>
      </c>
      <c r="D2138" s="111" t="s">
        <v>758</v>
      </c>
      <c r="E2138" s="111" t="s">
        <v>448</v>
      </c>
      <c r="F2138" s="265">
        <v>42411</v>
      </c>
      <c r="G2138" s="265">
        <v>42447</v>
      </c>
      <c r="H2138" s="266">
        <f t="shared" si="178"/>
        <v>3790.84</v>
      </c>
      <c r="I2138" s="266">
        <f t="shared" si="179"/>
        <v>0</v>
      </c>
      <c r="J2138" s="266">
        <v>1</v>
      </c>
      <c r="K2138" s="266">
        <f t="shared" si="180"/>
        <v>37.9084</v>
      </c>
      <c r="L2138" s="312">
        <f t="shared" si="181"/>
        <v>36</v>
      </c>
      <c r="M2138" s="263"/>
      <c r="N2138" s="263"/>
      <c r="O2138" s="263"/>
      <c r="P2138" s="263"/>
      <c r="Q2138" s="263"/>
      <c r="R2138" s="263"/>
      <c r="S2138" s="29">
        <v>3790.84</v>
      </c>
      <c r="T2138" s="29">
        <v>0</v>
      </c>
      <c r="U2138" s="292">
        <v>682.35</v>
      </c>
      <c r="V2138" s="29">
        <v>4473.1899999999996</v>
      </c>
      <c r="W2138" s="29">
        <v>0</v>
      </c>
      <c r="X2138" s="29">
        <v>1</v>
      </c>
      <c r="Y2138" s="29">
        <v>44.731900000000003</v>
      </c>
    </row>
    <row r="2139" spans="1:25">
      <c r="A2139" s="29">
        <v>51</v>
      </c>
      <c r="B2139" s="111">
        <v>1</v>
      </c>
      <c r="C2139" s="111">
        <v>321761</v>
      </c>
      <c r="D2139" s="111" t="s">
        <v>758</v>
      </c>
      <c r="E2139" s="111" t="s">
        <v>448</v>
      </c>
      <c r="F2139" s="265">
        <v>42411</v>
      </c>
      <c r="G2139" s="265">
        <v>42447</v>
      </c>
      <c r="H2139" s="266">
        <f t="shared" si="178"/>
        <v>2291.46</v>
      </c>
      <c r="I2139" s="266">
        <f t="shared" si="179"/>
        <v>0</v>
      </c>
      <c r="J2139" s="266">
        <v>1</v>
      </c>
      <c r="K2139" s="266">
        <f t="shared" si="180"/>
        <v>22.9146</v>
      </c>
      <c r="L2139" s="312">
        <f t="shared" si="181"/>
        <v>36</v>
      </c>
      <c r="M2139" s="263"/>
      <c r="N2139" s="263"/>
      <c r="O2139" s="263"/>
      <c r="P2139" s="263"/>
      <c r="Q2139" s="263"/>
      <c r="R2139" s="263"/>
      <c r="S2139" s="29">
        <v>2291.46</v>
      </c>
      <c r="T2139" s="29">
        <v>0</v>
      </c>
      <c r="U2139" s="292">
        <v>412.46</v>
      </c>
      <c r="V2139" s="29">
        <v>2703.92</v>
      </c>
      <c r="W2139" s="29">
        <v>0</v>
      </c>
      <c r="X2139" s="29">
        <v>1</v>
      </c>
      <c r="Y2139" s="29">
        <v>27.039200000000001</v>
      </c>
    </row>
    <row r="2140" spans="1:25">
      <c r="A2140" s="29">
        <v>52</v>
      </c>
      <c r="B2140" s="111">
        <v>6</v>
      </c>
      <c r="C2140" s="111">
        <v>2044</v>
      </c>
      <c r="D2140" s="111" t="s">
        <v>467</v>
      </c>
      <c r="E2140" s="111" t="s">
        <v>448</v>
      </c>
      <c r="F2140" s="265">
        <v>42411</v>
      </c>
      <c r="G2140" s="265">
        <v>42433</v>
      </c>
      <c r="H2140" s="266">
        <f t="shared" si="178"/>
        <v>1483.05</v>
      </c>
      <c r="I2140" s="266">
        <f t="shared" si="179"/>
        <v>0</v>
      </c>
      <c r="J2140" s="266">
        <v>1</v>
      </c>
      <c r="K2140" s="266">
        <f t="shared" si="180"/>
        <v>14.830500000000001</v>
      </c>
      <c r="L2140" s="312">
        <f t="shared" si="181"/>
        <v>22</v>
      </c>
      <c r="M2140" s="263"/>
      <c r="N2140" s="263"/>
      <c r="O2140" s="263"/>
      <c r="P2140" s="263"/>
      <c r="Q2140" s="263"/>
      <c r="R2140" s="263"/>
      <c r="S2140" s="29">
        <v>1483.05</v>
      </c>
      <c r="T2140" s="29">
        <v>0</v>
      </c>
      <c r="U2140" s="292">
        <v>266.95</v>
      </c>
      <c r="V2140" s="29">
        <v>1750</v>
      </c>
      <c r="W2140" s="29">
        <v>0</v>
      </c>
      <c r="X2140" s="29">
        <v>1</v>
      </c>
      <c r="Y2140" s="29">
        <v>17.5</v>
      </c>
    </row>
    <row r="2141" spans="1:25">
      <c r="A2141" s="29">
        <v>53</v>
      </c>
      <c r="B2141" s="111">
        <v>1</v>
      </c>
      <c r="C2141" s="111">
        <v>321836</v>
      </c>
      <c r="D2141" s="111" t="s">
        <v>758</v>
      </c>
      <c r="E2141" s="111" t="s">
        <v>448</v>
      </c>
      <c r="F2141" s="265">
        <v>42412</v>
      </c>
      <c r="G2141" s="265">
        <v>42447</v>
      </c>
      <c r="H2141" s="266">
        <f t="shared" si="178"/>
        <v>2105.12</v>
      </c>
      <c r="I2141" s="266">
        <f t="shared" si="179"/>
        <v>0</v>
      </c>
      <c r="J2141" s="266">
        <v>1</v>
      </c>
      <c r="K2141" s="266">
        <f t="shared" si="180"/>
        <v>21.051199999999998</v>
      </c>
      <c r="L2141" s="312">
        <f t="shared" si="181"/>
        <v>35</v>
      </c>
      <c r="M2141" s="263"/>
      <c r="N2141" s="263"/>
      <c r="O2141" s="263"/>
      <c r="P2141" s="263"/>
      <c r="Q2141" s="263"/>
      <c r="R2141" s="263"/>
      <c r="S2141" s="29">
        <v>2105.12</v>
      </c>
      <c r="T2141" s="29">
        <v>0</v>
      </c>
      <c r="U2141" s="292">
        <v>378.92</v>
      </c>
      <c r="V2141" s="29">
        <v>2484.04</v>
      </c>
      <c r="W2141" s="29">
        <v>0</v>
      </c>
      <c r="X2141" s="29">
        <v>1</v>
      </c>
      <c r="Y2141" s="29">
        <v>24.840399999999999</v>
      </c>
    </row>
    <row r="2142" spans="1:25">
      <c r="A2142" s="29">
        <v>54</v>
      </c>
      <c r="B2142" s="111">
        <v>1</v>
      </c>
      <c r="C2142" s="111">
        <v>321912</v>
      </c>
      <c r="D2142" s="111" t="s">
        <v>758</v>
      </c>
      <c r="E2142" s="111" t="s">
        <v>448</v>
      </c>
      <c r="F2142" s="265">
        <v>42413</v>
      </c>
      <c r="G2142" s="265">
        <v>42447</v>
      </c>
      <c r="H2142" s="266">
        <f t="shared" si="178"/>
        <v>3847.95</v>
      </c>
      <c r="I2142" s="266">
        <f t="shared" si="179"/>
        <v>0</v>
      </c>
      <c r="J2142" s="266">
        <v>1</v>
      </c>
      <c r="K2142" s="266">
        <f t="shared" si="180"/>
        <v>38.479500000000002</v>
      </c>
      <c r="L2142" s="312">
        <f t="shared" si="181"/>
        <v>34</v>
      </c>
      <c r="M2142" s="263"/>
      <c r="N2142" s="263"/>
      <c r="O2142" s="263"/>
      <c r="P2142" s="263"/>
      <c r="Q2142" s="263"/>
      <c r="R2142" s="263"/>
      <c r="S2142" s="29">
        <v>3847.95</v>
      </c>
      <c r="T2142" s="29">
        <v>0</v>
      </c>
      <c r="U2142" s="292">
        <v>692.63</v>
      </c>
      <c r="V2142" s="29">
        <v>4540.58</v>
      </c>
      <c r="W2142" s="29">
        <v>0</v>
      </c>
      <c r="X2142" s="29">
        <v>1</v>
      </c>
      <c r="Y2142" s="29">
        <v>45.405799999999999</v>
      </c>
    </row>
    <row r="2143" spans="1:25">
      <c r="A2143" s="29">
        <v>55</v>
      </c>
      <c r="B2143" s="111">
        <v>1</v>
      </c>
      <c r="C2143" s="111">
        <v>321910</v>
      </c>
      <c r="D2143" s="111" t="s">
        <v>758</v>
      </c>
      <c r="E2143" s="111" t="s">
        <v>448</v>
      </c>
      <c r="F2143" s="265">
        <v>42413</v>
      </c>
      <c r="G2143" s="265">
        <v>42447</v>
      </c>
      <c r="H2143" s="266">
        <f t="shared" si="178"/>
        <v>5313.76</v>
      </c>
      <c r="I2143" s="266">
        <f t="shared" si="179"/>
        <v>0</v>
      </c>
      <c r="J2143" s="266">
        <v>1</v>
      </c>
      <c r="K2143" s="266">
        <f t="shared" si="180"/>
        <v>53.137600000000006</v>
      </c>
      <c r="L2143" s="312">
        <f t="shared" si="181"/>
        <v>34</v>
      </c>
      <c r="M2143" s="263"/>
      <c r="N2143" s="263"/>
      <c r="O2143" s="263"/>
      <c r="P2143" s="263"/>
      <c r="Q2143" s="263"/>
      <c r="R2143" s="263"/>
      <c r="S2143" s="29">
        <v>5313.76</v>
      </c>
      <c r="T2143" s="29">
        <v>0</v>
      </c>
      <c r="U2143" s="292">
        <v>956.48</v>
      </c>
      <c r="V2143" s="29">
        <v>6270.24</v>
      </c>
      <c r="W2143" s="29">
        <v>0</v>
      </c>
      <c r="X2143" s="29">
        <v>1</v>
      </c>
      <c r="Y2143" s="29">
        <v>62.702399999999997</v>
      </c>
    </row>
    <row r="2144" spans="1:25">
      <c r="A2144" s="29">
        <v>56</v>
      </c>
      <c r="B2144" s="111">
        <v>1</v>
      </c>
      <c r="C2144" s="111">
        <v>321911</v>
      </c>
      <c r="D2144" s="111" t="s">
        <v>758</v>
      </c>
      <c r="E2144" s="111" t="s">
        <v>448</v>
      </c>
      <c r="F2144" s="265">
        <v>42413</v>
      </c>
      <c r="G2144" s="265">
        <v>42447</v>
      </c>
      <c r="H2144" s="266">
        <f t="shared" si="178"/>
        <v>1895.42</v>
      </c>
      <c r="I2144" s="266">
        <f t="shared" si="179"/>
        <v>0</v>
      </c>
      <c r="J2144" s="266">
        <v>1</v>
      </c>
      <c r="K2144" s="266">
        <f t="shared" si="180"/>
        <v>18.9542</v>
      </c>
      <c r="L2144" s="312">
        <f t="shared" si="181"/>
        <v>34</v>
      </c>
      <c r="M2144" s="263"/>
      <c r="N2144" s="263"/>
      <c r="O2144" s="263"/>
      <c r="P2144" s="263"/>
      <c r="Q2144" s="263"/>
      <c r="R2144" s="263"/>
      <c r="S2144" s="29">
        <v>1895.42</v>
      </c>
      <c r="T2144" s="29">
        <v>0</v>
      </c>
      <c r="U2144" s="292">
        <v>341.18</v>
      </c>
      <c r="V2144" s="29">
        <v>2236.6</v>
      </c>
      <c r="W2144" s="29">
        <v>0</v>
      </c>
      <c r="X2144" s="29">
        <v>1</v>
      </c>
      <c r="Y2144" s="29">
        <v>22.366</v>
      </c>
    </row>
    <row r="2145" spans="1:25">
      <c r="A2145" s="29">
        <v>57</v>
      </c>
      <c r="B2145" s="111">
        <v>1</v>
      </c>
      <c r="C2145" s="111">
        <v>321913</v>
      </c>
      <c r="D2145" s="111" t="s">
        <v>758</v>
      </c>
      <c r="E2145" s="111" t="s">
        <v>448</v>
      </c>
      <c r="F2145" s="265">
        <v>42413</v>
      </c>
      <c r="G2145" s="265">
        <v>42460</v>
      </c>
      <c r="H2145" s="266">
        <f t="shared" si="178"/>
        <v>149.58000000000001</v>
      </c>
      <c r="I2145" s="266">
        <f t="shared" si="179"/>
        <v>0</v>
      </c>
      <c r="J2145" s="266">
        <v>1</v>
      </c>
      <c r="K2145" s="266">
        <f t="shared" si="180"/>
        <v>1.4958000000000002</v>
      </c>
      <c r="L2145" s="312">
        <f t="shared" si="181"/>
        <v>47</v>
      </c>
      <c r="M2145" s="263"/>
      <c r="N2145" s="263"/>
      <c r="O2145" s="263"/>
      <c r="P2145" s="263"/>
      <c r="Q2145" s="263"/>
      <c r="R2145" s="263"/>
      <c r="S2145" s="29">
        <v>149.58000000000001</v>
      </c>
      <c r="T2145" s="29">
        <v>0</v>
      </c>
      <c r="U2145" s="292">
        <v>26.92</v>
      </c>
      <c r="V2145" s="29">
        <v>176.5</v>
      </c>
      <c r="W2145" s="29">
        <v>0</v>
      </c>
      <c r="X2145" s="29">
        <v>1</v>
      </c>
      <c r="Y2145" s="29">
        <v>1.7649999999999999</v>
      </c>
    </row>
    <row r="2146" spans="1:25">
      <c r="A2146" s="29">
        <v>58</v>
      </c>
      <c r="B2146" s="111">
        <v>1</v>
      </c>
      <c r="C2146" s="111">
        <v>322027</v>
      </c>
      <c r="D2146" s="111" t="s">
        <v>758</v>
      </c>
      <c r="E2146" s="111" t="s">
        <v>448</v>
      </c>
      <c r="F2146" s="265">
        <v>42416</v>
      </c>
      <c r="G2146" s="265">
        <v>42460</v>
      </c>
      <c r="H2146" s="266">
        <f t="shared" si="178"/>
        <v>412.37</v>
      </c>
      <c r="I2146" s="266">
        <f t="shared" si="179"/>
        <v>0</v>
      </c>
      <c r="J2146" s="266">
        <v>1</v>
      </c>
      <c r="K2146" s="266">
        <f t="shared" si="180"/>
        <v>4.1237000000000004</v>
      </c>
      <c r="L2146" s="312">
        <f t="shared" si="181"/>
        <v>44</v>
      </c>
      <c r="M2146" s="263"/>
      <c r="N2146" s="263"/>
      <c r="O2146" s="263"/>
      <c r="P2146" s="263"/>
      <c r="Q2146" s="263"/>
      <c r="R2146" s="263"/>
      <c r="S2146" s="29">
        <v>412.37</v>
      </c>
      <c r="T2146" s="29">
        <v>0</v>
      </c>
      <c r="U2146" s="292">
        <v>74.23</v>
      </c>
      <c r="V2146" s="29">
        <v>486.6</v>
      </c>
      <c r="W2146" s="29">
        <v>0</v>
      </c>
      <c r="X2146" s="29">
        <v>1</v>
      </c>
      <c r="Y2146" s="29">
        <v>4.8659999999999997</v>
      </c>
    </row>
    <row r="2147" spans="1:25">
      <c r="A2147" s="29">
        <v>59</v>
      </c>
      <c r="B2147" s="111">
        <v>1</v>
      </c>
      <c r="C2147" s="111">
        <v>322073</v>
      </c>
      <c r="D2147" s="111" t="s">
        <v>760</v>
      </c>
      <c r="E2147" s="111" t="s">
        <v>448</v>
      </c>
      <c r="F2147" s="265">
        <v>42416</v>
      </c>
      <c r="G2147" s="265">
        <v>42458</v>
      </c>
      <c r="H2147" s="266">
        <f t="shared" si="178"/>
        <v>203.34</v>
      </c>
      <c r="I2147" s="266">
        <f t="shared" si="179"/>
        <v>0</v>
      </c>
      <c r="J2147" s="266">
        <v>1</v>
      </c>
      <c r="K2147" s="266">
        <f t="shared" si="180"/>
        <v>2.0333999999999999</v>
      </c>
      <c r="L2147" s="312">
        <f t="shared" si="181"/>
        <v>42</v>
      </c>
      <c r="M2147" s="263"/>
      <c r="N2147" s="263"/>
      <c r="O2147" s="263"/>
      <c r="P2147" s="263"/>
      <c r="Q2147" s="263"/>
      <c r="R2147" s="263"/>
      <c r="S2147" s="29">
        <v>203.34</v>
      </c>
      <c r="T2147" s="29">
        <v>0</v>
      </c>
      <c r="U2147" s="292">
        <v>36.6</v>
      </c>
      <c r="V2147" s="29">
        <v>239.94</v>
      </c>
      <c r="W2147" s="29">
        <v>0</v>
      </c>
      <c r="X2147" s="29">
        <v>1</v>
      </c>
      <c r="Y2147" s="29">
        <v>2.3994</v>
      </c>
    </row>
    <row r="2148" spans="1:25">
      <c r="A2148" s="29">
        <v>60</v>
      </c>
      <c r="B2148" s="111">
        <v>1</v>
      </c>
      <c r="C2148" s="111">
        <v>322192</v>
      </c>
      <c r="D2148" s="111" t="s">
        <v>758</v>
      </c>
      <c r="E2148" s="111" t="s">
        <v>448</v>
      </c>
      <c r="F2148" s="265">
        <v>42417</v>
      </c>
      <c r="G2148" s="265">
        <v>42460</v>
      </c>
      <c r="H2148" s="266">
        <f t="shared" si="178"/>
        <v>7811.72</v>
      </c>
      <c r="I2148" s="266">
        <f t="shared" si="179"/>
        <v>0</v>
      </c>
      <c r="J2148" s="266">
        <v>1</v>
      </c>
      <c r="K2148" s="266">
        <f t="shared" si="180"/>
        <v>78.117200000000011</v>
      </c>
      <c r="L2148" s="312">
        <f t="shared" si="181"/>
        <v>43</v>
      </c>
      <c r="M2148" s="263"/>
      <c r="N2148" s="263"/>
      <c r="O2148" s="263"/>
      <c r="P2148" s="263"/>
      <c r="Q2148" s="263"/>
      <c r="R2148" s="263"/>
      <c r="S2148" s="29">
        <v>7811.72</v>
      </c>
      <c r="T2148" s="29">
        <v>0</v>
      </c>
      <c r="U2148" s="292">
        <v>1406.11</v>
      </c>
      <c r="V2148" s="29">
        <v>9217.83</v>
      </c>
      <c r="W2148" s="29">
        <v>0</v>
      </c>
      <c r="X2148" s="29">
        <v>1</v>
      </c>
      <c r="Y2148" s="29">
        <v>92.178299999999993</v>
      </c>
    </row>
    <row r="2149" spans="1:25">
      <c r="A2149" s="29">
        <v>61</v>
      </c>
      <c r="B2149" s="111">
        <v>1</v>
      </c>
      <c r="C2149" s="111">
        <v>322280</v>
      </c>
      <c r="D2149" s="111" t="s">
        <v>758</v>
      </c>
      <c r="E2149" s="111" t="s">
        <v>448</v>
      </c>
      <c r="F2149" s="265">
        <v>42418</v>
      </c>
      <c r="G2149" s="265">
        <v>42460</v>
      </c>
      <c r="H2149" s="266">
        <f t="shared" si="178"/>
        <v>4597.78</v>
      </c>
      <c r="I2149" s="266">
        <f t="shared" si="179"/>
        <v>0</v>
      </c>
      <c r="J2149" s="266">
        <v>1</v>
      </c>
      <c r="K2149" s="266">
        <f t="shared" si="180"/>
        <v>45.977799999999995</v>
      </c>
      <c r="L2149" s="312">
        <f t="shared" si="181"/>
        <v>42</v>
      </c>
      <c r="M2149" s="263"/>
      <c r="N2149" s="263"/>
      <c r="O2149" s="263"/>
      <c r="P2149" s="263"/>
      <c r="Q2149" s="263"/>
      <c r="R2149" s="263"/>
      <c r="S2149" s="29">
        <v>4597.78</v>
      </c>
      <c r="T2149" s="29">
        <v>0</v>
      </c>
      <c r="U2149" s="292">
        <v>827.6</v>
      </c>
      <c r="V2149" s="29">
        <v>5425.38</v>
      </c>
      <c r="W2149" s="29">
        <v>0</v>
      </c>
      <c r="X2149" s="29">
        <v>1</v>
      </c>
      <c r="Y2149" s="29">
        <v>54.253799999999998</v>
      </c>
    </row>
    <row r="2150" spans="1:25">
      <c r="A2150" s="29">
        <v>62</v>
      </c>
      <c r="B2150" s="111">
        <v>1</v>
      </c>
      <c r="C2150" s="111">
        <v>322277</v>
      </c>
      <c r="D2150" s="111" t="s">
        <v>758</v>
      </c>
      <c r="E2150" s="111" t="s">
        <v>448</v>
      </c>
      <c r="F2150" s="265">
        <v>42418</v>
      </c>
      <c r="G2150" s="265">
        <v>42460</v>
      </c>
      <c r="H2150" s="266">
        <f t="shared" si="178"/>
        <v>2223.5700000000002</v>
      </c>
      <c r="I2150" s="266">
        <f t="shared" si="179"/>
        <v>0</v>
      </c>
      <c r="J2150" s="266">
        <v>1</v>
      </c>
      <c r="K2150" s="266">
        <f t="shared" si="180"/>
        <v>22.235700000000001</v>
      </c>
      <c r="L2150" s="312">
        <f t="shared" si="181"/>
        <v>42</v>
      </c>
      <c r="M2150" s="263"/>
      <c r="N2150" s="263"/>
      <c r="O2150" s="263"/>
      <c r="P2150" s="263"/>
      <c r="Q2150" s="263"/>
      <c r="R2150" s="263"/>
      <c r="S2150" s="29">
        <v>2223.5700000000002</v>
      </c>
      <c r="T2150" s="29">
        <v>0</v>
      </c>
      <c r="U2150" s="292">
        <v>400.24</v>
      </c>
      <c r="V2150" s="29">
        <v>2623.81</v>
      </c>
      <c r="W2150" s="29">
        <v>0</v>
      </c>
      <c r="X2150" s="29">
        <v>1</v>
      </c>
      <c r="Y2150" s="29">
        <v>26.238099999999999</v>
      </c>
    </row>
    <row r="2151" spans="1:25">
      <c r="A2151" s="29">
        <v>63</v>
      </c>
      <c r="B2151" s="111">
        <v>1</v>
      </c>
      <c r="C2151" s="111">
        <v>322345</v>
      </c>
      <c r="D2151" s="111" t="s">
        <v>758</v>
      </c>
      <c r="E2151" s="111" t="s">
        <v>448</v>
      </c>
      <c r="F2151" s="265">
        <v>42419</v>
      </c>
      <c r="G2151" s="265">
        <v>42460</v>
      </c>
      <c r="H2151" s="266">
        <f t="shared" si="178"/>
        <v>4348.63</v>
      </c>
      <c r="I2151" s="266">
        <f t="shared" si="179"/>
        <v>0</v>
      </c>
      <c r="J2151" s="266">
        <v>1</v>
      </c>
      <c r="K2151" s="266">
        <f t="shared" si="180"/>
        <v>43.4863</v>
      </c>
      <c r="L2151" s="312">
        <f t="shared" si="181"/>
        <v>41</v>
      </c>
      <c r="M2151" s="263"/>
      <c r="N2151" s="263"/>
      <c r="O2151" s="263"/>
      <c r="P2151" s="263"/>
      <c r="Q2151" s="263"/>
      <c r="R2151" s="263"/>
      <c r="S2151" s="29">
        <v>4348.63</v>
      </c>
      <c r="T2151" s="29">
        <v>0</v>
      </c>
      <c r="U2151" s="292">
        <v>782.75</v>
      </c>
      <c r="V2151" s="29">
        <v>5131.38</v>
      </c>
      <c r="W2151" s="29">
        <v>0</v>
      </c>
      <c r="X2151" s="29">
        <v>1</v>
      </c>
      <c r="Y2151" s="29">
        <v>51.313800000000001</v>
      </c>
    </row>
    <row r="2152" spans="1:25">
      <c r="A2152" s="29">
        <v>64</v>
      </c>
      <c r="B2152" s="111">
        <v>1</v>
      </c>
      <c r="C2152" s="111">
        <v>322344</v>
      </c>
      <c r="D2152" s="111" t="s">
        <v>758</v>
      </c>
      <c r="E2152" s="111" t="s">
        <v>448</v>
      </c>
      <c r="F2152" s="265">
        <v>42419</v>
      </c>
      <c r="G2152" s="265">
        <v>42460</v>
      </c>
      <c r="H2152" s="266">
        <f t="shared" si="178"/>
        <v>5169.58</v>
      </c>
      <c r="I2152" s="266">
        <f t="shared" si="179"/>
        <v>0</v>
      </c>
      <c r="J2152" s="266">
        <v>1</v>
      </c>
      <c r="K2152" s="266">
        <f t="shared" si="180"/>
        <v>51.695799999999998</v>
      </c>
      <c r="L2152" s="312">
        <f t="shared" si="181"/>
        <v>41</v>
      </c>
      <c r="M2152" s="263"/>
      <c r="N2152" s="263"/>
      <c r="O2152" s="263"/>
      <c r="P2152" s="263"/>
      <c r="Q2152" s="263"/>
      <c r="R2152" s="263"/>
      <c r="S2152" s="29">
        <v>5169.58</v>
      </c>
      <c r="T2152" s="29">
        <v>0</v>
      </c>
      <c r="U2152" s="292">
        <v>930.52</v>
      </c>
      <c r="V2152" s="29">
        <v>6100.1</v>
      </c>
      <c r="W2152" s="29">
        <v>0</v>
      </c>
      <c r="X2152" s="29">
        <v>1</v>
      </c>
      <c r="Y2152" s="29">
        <v>61.000999999999998</v>
      </c>
    </row>
    <row r="2153" spans="1:25">
      <c r="A2153" s="29">
        <v>65</v>
      </c>
      <c r="B2153" s="111">
        <v>1</v>
      </c>
      <c r="C2153" s="111">
        <v>322372</v>
      </c>
      <c r="D2153" s="111" t="s">
        <v>758</v>
      </c>
      <c r="E2153" s="111" t="s">
        <v>448</v>
      </c>
      <c r="F2153" s="265">
        <v>42419</v>
      </c>
      <c r="G2153" s="265">
        <v>42460</v>
      </c>
      <c r="H2153" s="266">
        <f t="shared" ref="H2153:H2183" si="182">S2153+T2153</f>
        <v>334.71</v>
      </c>
      <c r="I2153" s="266">
        <f t="shared" ref="I2153:I2183" si="183">W2153/1.18</f>
        <v>0</v>
      </c>
      <c r="J2153" s="266">
        <v>1</v>
      </c>
      <c r="K2153" s="266">
        <f t="shared" ref="K2153:K2174" si="184">(H2153-I2153)*J2153%</f>
        <v>3.3470999999999997</v>
      </c>
      <c r="L2153" s="312">
        <f t="shared" ref="L2153:L2183" si="185">G2153-F2153</f>
        <v>41</v>
      </c>
      <c r="M2153" s="263"/>
      <c r="N2153" s="263"/>
      <c r="O2153" s="263"/>
      <c r="P2153" s="263"/>
      <c r="Q2153" s="263"/>
      <c r="R2153" s="263"/>
      <c r="S2153" s="29">
        <v>334.71</v>
      </c>
      <c r="T2153" s="29">
        <v>0</v>
      </c>
      <c r="U2153" s="292">
        <v>60.25</v>
      </c>
      <c r="V2153" s="29">
        <v>394.96</v>
      </c>
      <c r="W2153" s="29">
        <v>0</v>
      </c>
      <c r="X2153" s="29">
        <v>1</v>
      </c>
      <c r="Y2153" s="29">
        <v>3.9496000000000002</v>
      </c>
    </row>
    <row r="2154" spans="1:25">
      <c r="A2154" s="29">
        <v>66</v>
      </c>
      <c r="B2154" s="111">
        <v>1</v>
      </c>
      <c r="C2154" s="111">
        <v>322424</v>
      </c>
      <c r="D2154" s="111" t="s">
        <v>760</v>
      </c>
      <c r="E2154" s="111" t="s">
        <v>448</v>
      </c>
      <c r="F2154" s="265">
        <v>42419</v>
      </c>
      <c r="G2154" s="265">
        <v>42458</v>
      </c>
      <c r="H2154" s="266">
        <f t="shared" si="182"/>
        <v>230.22</v>
      </c>
      <c r="I2154" s="266">
        <f t="shared" si="183"/>
        <v>0</v>
      </c>
      <c r="J2154" s="266">
        <v>1</v>
      </c>
      <c r="K2154" s="266">
        <f t="shared" si="184"/>
        <v>2.3022</v>
      </c>
      <c r="L2154" s="312">
        <f t="shared" si="185"/>
        <v>39</v>
      </c>
      <c r="M2154" s="263"/>
      <c r="N2154" s="263"/>
      <c r="O2154" s="263"/>
      <c r="P2154" s="263"/>
      <c r="Q2154" s="263"/>
      <c r="R2154" s="263"/>
      <c r="S2154" s="29">
        <v>230.22</v>
      </c>
      <c r="T2154" s="29">
        <v>0</v>
      </c>
      <c r="U2154" s="292">
        <v>41.44</v>
      </c>
      <c r="V2154" s="29">
        <v>271.66000000000003</v>
      </c>
      <c r="W2154" s="29">
        <v>0</v>
      </c>
      <c r="X2154" s="29">
        <v>1</v>
      </c>
      <c r="Y2154" s="29">
        <v>2.7166000000000001</v>
      </c>
    </row>
    <row r="2155" spans="1:25">
      <c r="A2155" s="29">
        <v>67</v>
      </c>
      <c r="B2155" s="111">
        <v>1</v>
      </c>
      <c r="C2155" s="111">
        <v>322429</v>
      </c>
      <c r="D2155" s="111" t="s">
        <v>758</v>
      </c>
      <c r="E2155" s="111" t="s">
        <v>448</v>
      </c>
      <c r="F2155" s="265">
        <v>42420</v>
      </c>
      <c r="G2155" s="265">
        <v>42460</v>
      </c>
      <c r="H2155" s="266">
        <f t="shared" si="182"/>
        <v>1561.95</v>
      </c>
      <c r="I2155" s="266">
        <f t="shared" si="183"/>
        <v>0</v>
      </c>
      <c r="J2155" s="266">
        <v>1</v>
      </c>
      <c r="K2155" s="266">
        <f t="shared" si="184"/>
        <v>15.6195</v>
      </c>
      <c r="L2155" s="312">
        <f t="shared" si="185"/>
        <v>40</v>
      </c>
      <c r="M2155" s="263"/>
      <c r="N2155" s="263"/>
      <c r="O2155" s="263"/>
      <c r="P2155" s="263"/>
      <c r="Q2155" s="263"/>
      <c r="R2155" s="263"/>
      <c r="S2155" s="29">
        <v>1561.95</v>
      </c>
      <c r="T2155" s="29">
        <v>0</v>
      </c>
      <c r="U2155" s="292">
        <v>281.14999999999998</v>
      </c>
      <c r="V2155" s="29">
        <v>1843.1</v>
      </c>
      <c r="W2155" s="29">
        <v>0</v>
      </c>
      <c r="X2155" s="29">
        <v>1</v>
      </c>
      <c r="Y2155" s="29">
        <v>18.431000000000001</v>
      </c>
    </row>
    <row r="2156" spans="1:25">
      <c r="A2156" s="29">
        <v>68</v>
      </c>
      <c r="B2156" s="111">
        <v>1</v>
      </c>
      <c r="C2156" s="111">
        <v>322428</v>
      </c>
      <c r="D2156" s="111" t="s">
        <v>758</v>
      </c>
      <c r="E2156" s="111" t="s">
        <v>448</v>
      </c>
      <c r="F2156" s="265">
        <v>42420</v>
      </c>
      <c r="G2156" s="265">
        <v>42460</v>
      </c>
      <c r="H2156" s="266">
        <f t="shared" si="182"/>
        <v>3433.59</v>
      </c>
      <c r="I2156" s="266">
        <f t="shared" si="183"/>
        <v>0</v>
      </c>
      <c r="J2156" s="266">
        <v>1</v>
      </c>
      <c r="K2156" s="266">
        <f t="shared" si="184"/>
        <v>34.335900000000002</v>
      </c>
      <c r="L2156" s="312">
        <f t="shared" si="185"/>
        <v>40</v>
      </c>
      <c r="M2156" s="263"/>
      <c r="N2156" s="263"/>
      <c r="O2156" s="263"/>
      <c r="P2156" s="263"/>
      <c r="Q2156" s="263"/>
      <c r="R2156" s="263"/>
      <c r="S2156" s="29">
        <v>3433.59</v>
      </c>
      <c r="T2156" s="29">
        <v>0</v>
      </c>
      <c r="U2156" s="292">
        <v>618.04999999999995</v>
      </c>
      <c r="V2156" s="29">
        <v>4051.64</v>
      </c>
      <c r="W2156" s="29">
        <v>0</v>
      </c>
      <c r="X2156" s="29">
        <v>1</v>
      </c>
      <c r="Y2156" s="29">
        <v>40.516399999999997</v>
      </c>
    </row>
    <row r="2157" spans="1:25">
      <c r="A2157" s="29">
        <v>69</v>
      </c>
      <c r="B2157" s="111">
        <v>1</v>
      </c>
      <c r="C2157" s="111">
        <v>322526</v>
      </c>
      <c r="D2157" s="111" t="s">
        <v>760</v>
      </c>
      <c r="E2157" s="111" t="s">
        <v>448</v>
      </c>
      <c r="F2157" s="265">
        <v>42422</v>
      </c>
      <c r="G2157" s="265">
        <v>42458</v>
      </c>
      <c r="H2157" s="266">
        <f t="shared" si="182"/>
        <v>725.13</v>
      </c>
      <c r="I2157" s="266">
        <f t="shared" si="183"/>
        <v>0</v>
      </c>
      <c r="J2157" s="266">
        <v>1</v>
      </c>
      <c r="K2157" s="266">
        <f t="shared" si="184"/>
        <v>7.2513000000000005</v>
      </c>
      <c r="L2157" s="312">
        <f t="shared" si="185"/>
        <v>36</v>
      </c>
      <c r="M2157" s="263"/>
      <c r="N2157" s="263"/>
      <c r="O2157" s="263"/>
      <c r="P2157" s="263"/>
      <c r="Q2157" s="263"/>
      <c r="R2157" s="263"/>
      <c r="S2157" s="29">
        <v>725.13</v>
      </c>
      <c r="T2157" s="29">
        <v>0</v>
      </c>
      <c r="U2157" s="292">
        <v>130.52000000000001</v>
      </c>
      <c r="V2157" s="29">
        <v>855.65</v>
      </c>
      <c r="W2157" s="29">
        <v>0</v>
      </c>
      <c r="X2157" s="29">
        <v>1</v>
      </c>
      <c r="Y2157" s="29">
        <v>8.5564999999999998</v>
      </c>
    </row>
    <row r="2158" spans="1:25">
      <c r="A2158" s="29">
        <v>70</v>
      </c>
      <c r="B2158" s="111">
        <v>1</v>
      </c>
      <c r="C2158" s="111">
        <v>322636</v>
      </c>
      <c r="D2158" s="111" t="s">
        <v>758</v>
      </c>
      <c r="E2158" s="111" t="s">
        <v>448</v>
      </c>
      <c r="F2158" s="265">
        <v>42423</v>
      </c>
      <c r="G2158" s="265">
        <v>42460</v>
      </c>
      <c r="H2158" s="266">
        <f t="shared" si="182"/>
        <v>781.12</v>
      </c>
      <c r="I2158" s="266">
        <f t="shared" si="183"/>
        <v>0</v>
      </c>
      <c r="J2158" s="266">
        <v>1</v>
      </c>
      <c r="K2158" s="266">
        <f t="shared" si="184"/>
        <v>7.8112000000000004</v>
      </c>
      <c r="L2158" s="312">
        <f t="shared" si="185"/>
        <v>37</v>
      </c>
      <c r="M2158" s="263"/>
      <c r="N2158" s="263"/>
      <c r="O2158" s="263"/>
      <c r="P2158" s="263"/>
      <c r="Q2158" s="263"/>
      <c r="R2158" s="263"/>
      <c r="S2158" s="29">
        <v>781.12</v>
      </c>
      <c r="T2158" s="29">
        <v>0</v>
      </c>
      <c r="U2158" s="292">
        <v>140.6</v>
      </c>
      <c r="V2158" s="29">
        <v>921.72</v>
      </c>
      <c r="W2158" s="29">
        <v>0</v>
      </c>
      <c r="X2158" s="29">
        <v>1</v>
      </c>
      <c r="Y2158" s="29">
        <v>9.2172000000000001</v>
      </c>
    </row>
    <row r="2159" spans="1:25">
      <c r="A2159" s="29">
        <v>71</v>
      </c>
      <c r="B2159" s="111">
        <v>1</v>
      </c>
      <c r="C2159" s="111">
        <v>322774</v>
      </c>
      <c r="D2159" s="111" t="s">
        <v>758</v>
      </c>
      <c r="E2159" s="111" t="s">
        <v>448</v>
      </c>
      <c r="F2159" s="265">
        <v>42425</v>
      </c>
      <c r="G2159" s="265">
        <v>42460</v>
      </c>
      <c r="H2159" s="266">
        <f t="shared" si="182"/>
        <v>202.5</v>
      </c>
      <c r="I2159" s="266">
        <f t="shared" si="183"/>
        <v>0</v>
      </c>
      <c r="J2159" s="266">
        <v>1</v>
      </c>
      <c r="K2159" s="266">
        <f t="shared" si="184"/>
        <v>2.0249999999999999</v>
      </c>
      <c r="L2159" s="312">
        <f t="shared" si="185"/>
        <v>35</v>
      </c>
      <c r="M2159" s="263"/>
      <c r="N2159" s="263"/>
      <c r="O2159" s="263"/>
      <c r="P2159" s="263"/>
      <c r="Q2159" s="263"/>
      <c r="R2159" s="263"/>
      <c r="S2159" s="29">
        <v>202.5</v>
      </c>
      <c r="T2159" s="29">
        <v>0</v>
      </c>
      <c r="U2159" s="292">
        <v>36.450000000000003</v>
      </c>
      <c r="V2159" s="29">
        <v>238.95</v>
      </c>
      <c r="W2159" s="29">
        <v>0</v>
      </c>
      <c r="X2159" s="29">
        <v>1</v>
      </c>
      <c r="Y2159" s="29">
        <v>2.3895</v>
      </c>
    </row>
    <row r="2160" spans="1:25">
      <c r="A2160" s="29">
        <v>72</v>
      </c>
      <c r="B2160" s="111">
        <v>1</v>
      </c>
      <c r="C2160" s="111">
        <v>322679</v>
      </c>
      <c r="D2160" s="111" t="s">
        <v>758</v>
      </c>
      <c r="E2160" s="111" t="s">
        <v>448</v>
      </c>
      <c r="F2160" s="265">
        <v>42424</v>
      </c>
      <c r="G2160" s="265">
        <v>42460</v>
      </c>
      <c r="H2160" s="266">
        <f t="shared" si="182"/>
        <v>781.12</v>
      </c>
      <c r="I2160" s="266">
        <f t="shared" si="183"/>
        <v>0</v>
      </c>
      <c r="J2160" s="266">
        <v>1</v>
      </c>
      <c r="K2160" s="266">
        <f t="shared" si="184"/>
        <v>7.8112000000000004</v>
      </c>
      <c r="L2160" s="312">
        <f t="shared" si="185"/>
        <v>36</v>
      </c>
      <c r="M2160" s="263"/>
      <c r="N2160" s="263"/>
      <c r="O2160" s="263"/>
      <c r="P2160" s="263"/>
      <c r="Q2160" s="263"/>
      <c r="R2160" s="263"/>
      <c r="S2160" s="29">
        <v>781.12</v>
      </c>
      <c r="T2160" s="29">
        <v>0</v>
      </c>
      <c r="U2160" s="292">
        <v>140.6</v>
      </c>
      <c r="V2160" s="29">
        <v>921.72</v>
      </c>
      <c r="W2160" s="29">
        <v>0</v>
      </c>
      <c r="X2160" s="29">
        <v>1</v>
      </c>
      <c r="Y2160" s="29">
        <v>9.2172000000000001</v>
      </c>
    </row>
    <row r="2161" spans="1:25">
      <c r="A2161" s="29">
        <v>73</v>
      </c>
      <c r="B2161" s="111">
        <v>1</v>
      </c>
      <c r="C2161" s="111">
        <v>322667</v>
      </c>
      <c r="D2161" s="111" t="s">
        <v>758</v>
      </c>
      <c r="E2161" s="111" t="s">
        <v>448</v>
      </c>
      <c r="F2161" s="265">
        <v>42424</v>
      </c>
      <c r="G2161" s="265">
        <v>42460</v>
      </c>
      <c r="H2161" s="266">
        <f t="shared" si="182"/>
        <v>4290.22</v>
      </c>
      <c r="I2161" s="266">
        <f t="shared" si="183"/>
        <v>0</v>
      </c>
      <c r="J2161" s="266">
        <v>1</v>
      </c>
      <c r="K2161" s="266">
        <f t="shared" si="184"/>
        <v>42.902200000000001</v>
      </c>
      <c r="L2161" s="312">
        <f t="shared" si="185"/>
        <v>36</v>
      </c>
      <c r="M2161" s="263"/>
      <c r="N2161" s="263"/>
      <c r="O2161" s="263"/>
      <c r="P2161" s="263"/>
      <c r="Q2161" s="263"/>
      <c r="R2161" s="263"/>
      <c r="S2161" s="29">
        <v>4290.22</v>
      </c>
      <c r="T2161" s="29">
        <v>0</v>
      </c>
      <c r="U2161" s="292">
        <v>772.24</v>
      </c>
      <c r="V2161" s="29">
        <v>5062.46</v>
      </c>
      <c r="W2161" s="29">
        <v>0</v>
      </c>
      <c r="X2161" s="29">
        <v>1</v>
      </c>
      <c r="Y2161" s="29">
        <v>50.624600000000001</v>
      </c>
    </row>
    <row r="2162" spans="1:25">
      <c r="A2162" s="29">
        <v>74</v>
      </c>
      <c r="B2162" s="111">
        <v>1</v>
      </c>
      <c r="C2162" s="111">
        <v>322680</v>
      </c>
      <c r="D2162" s="111" t="s">
        <v>758</v>
      </c>
      <c r="E2162" s="111" t="s">
        <v>448</v>
      </c>
      <c r="F2162" s="265">
        <v>42424</v>
      </c>
      <c r="G2162" s="265">
        <v>42460</v>
      </c>
      <c r="H2162" s="266">
        <f t="shared" si="182"/>
        <v>6362.79</v>
      </c>
      <c r="I2162" s="266">
        <f t="shared" si="183"/>
        <v>0</v>
      </c>
      <c r="J2162" s="266">
        <v>1</v>
      </c>
      <c r="K2162" s="266">
        <f t="shared" si="184"/>
        <v>63.627900000000004</v>
      </c>
      <c r="L2162" s="312">
        <f t="shared" si="185"/>
        <v>36</v>
      </c>
      <c r="M2162" s="263"/>
      <c r="N2162" s="263"/>
      <c r="O2162" s="263"/>
      <c r="P2162" s="263"/>
      <c r="Q2162" s="263"/>
      <c r="R2162" s="263"/>
      <c r="S2162" s="29">
        <v>6362.79</v>
      </c>
      <c r="T2162" s="29">
        <v>0</v>
      </c>
      <c r="U2162" s="292">
        <v>1145.3</v>
      </c>
      <c r="V2162" s="29">
        <v>7508.09</v>
      </c>
      <c r="W2162" s="29">
        <v>0</v>
      </c>
      <c r="X2162" s="29">
        <v>1</v>
      </c>
      <c r="Y2162" s="29">
        <v>75.0809</v>
      </c>
    </row>
    <row r="2163" spans="1:25">
      <c r="A2163" s="29">
        <v>75</v>
      </c>
      <c r="B2163" s="111">
        <v>1</v>
      </c>
      <c r="C2163" s="111">
        <v>322764</v>
      </c>
      <c r="D2163" s="111" t="s">
        <v>758</v>
      </c>
      <c r="E2163" s="111" t="s">
        <v>448</v>
      </c>
      <c r="F2163" s="265">
        <v>42425</v>
      </c>
      <c r="G2163" s="265">
        <v>42460</v>
      </c>
      <c r="H2163" s="266">
        <f t="shared" si="182"/>
        <v>574.44000000000005</v>
      </c>
      <c r="I2163" s="266">
        <f t="shared" si="183"/>
        <v>0</v>
      </c>
      <c r="J2163" s="266">
        <v>1</v>
      </c>
      <c r="K2163" s="266">
        <f t="shared" si="184"/>
        <v>5.7444000000000006</v>
      </c>
      <c r="L2163" s="312">
        <f t="shared" si="185"/>
        <v>35</v>
      </c>
      <c r="M2163" s="263"/>
      <c r="N2163" s="263"/>
      <c r="O2163" s="263"/>
      <c r="P2163" s="263"/>
      <c r="Q2163" s="263"/>
      <c r="R2163" s="263"/>
      <c r="S2163" s="29">
        <v>574.44000000000005</v>
      </c>
      <c r="T2163" s="29">
        <v>0</v>
      </c>
      <c r="U2163" s="292">
        <v>103.4</v>
      </c>
      <c r="V2163" s="29">
        <v>677.84</v>
      </c>
      <c r="W2163" s="29">
        <v>0</v>
      </c>
      <c r="X2163" s="29">
        <v>1</v>
      </c>
      <c r="Y2163" s="29">
        <v>6.7784000000000004</v>
      </c>
    </row>
    <row r="2164" spans="1:25">
      <c r="A2164" s="29">
        <v>76</v>
      </c>
      <c r="B2164" s="111">
        <v>1</v>
      </c>
      <c r="C2164" s="111">
        <v>322847</v>
      </c>
      <c r="D2164" s="111" t="s">
        <v>758</v>
      </c>
      <c r="E2164" s="111" t="s">
        <v>448</v>
      </c>
      <c r="F2164" s="265">
        <v>42426</v>
      </c>
      <c r="G2164" s="265">
        <v>42460</v>
      </c>
      <c r="H2164" s="266">
        <f t="shared" si="182"/>
        <v>2557.9</v>
      </c>
      <c r="I2164" s="266">
        <f t="shared" si="183"/>
        <v>0</v>
      </c>
      <c r="J2164" s="266">
        <v>1</v>
      </c>
      <c r="K2164" s="266">
        <f t="shared" si="184"/>
        <v>25.579000000000001</v>
      </c>
      <c r="L2164" s="312">
        <f t="shared" si="185"/>
        <v>34</v>
      </c>
      <c r="M2164" s="263"/>
      <c r="N2164" s="263"/>
      <c r="O2164" s="263"/>
      <c r="P2164" s="263"/>
      <c r="Q2164" s="263"/>
      <c r="R2164" s="263"/>
      <c r="S2164" s="29">
        <v>2557.9</v>
      </c>
      <c r="T2164" s="29">
        <v>0</v>
      </c>
      <c r="U2164" s="292">
        <v>460.42</v>
      </c>
      <c r="V2164" s="29">
        <v>3018.32</v>
      </c>
      <c r="W2164" s="29">
        <v>0</v>
      </c>
      <c r="X2164" s="29">
        <v>1</v>
      </c>
      <c r="Y2164" s="29">
        <v>30.183199999999999</v>
      </c>
    </row>
    <row r="2165" spans="1:25">
      <c r="A2165" s="29">
        <v>77</v>
      </c>
      <c r="B2165" s="111">
        <v>1</v>
      </c>
      <c r="C2165" s="111">
        <v>322948</v>
      </c>
      <c r="D2165" s="111" t="s">
        <v>758</v>
      </c>
      <c r="E2165" s="111" t="s">
        <v>448</v>
      </c>
      <c r="F2165" s="265">
        <v>42427</v>
      </c>
      <c r="G2165" s="265">
        <v>42460</v>
      </c>
      <c r="H2165" s="266">
        <f t="shared" si="182"/>
        <v>2178.35</v>
      </c>
      <c r="I2165" s="266">
        <f t="shared" si="183"/>
        <v>0</v>
      </c>
      <c r="J2165" s="266">
        <v>1</v>
      </c>
      <c r="K2165" s="266">
        <f t="shared" si="184"/>
        <v>21.7835</v>
      </c>
      <c r="L2165" s="312">
        <f t="shared" si="185"/>
        <v>33</v>
      </c>
      <c r="M2165" s="263"/>
      <c r="N2165" s="263"/>
      <c r="O2165" s="263"/>
      <c r="P2165" s="263"/>
      <c r="Q2165" s="263"/>
      <c r="R2165" s="263"/>
      <c r="S2165" s="29">
        <v>2178.35</v>
      </c>
      <c r="T2165" s="29">
        <v>0</v>
      </c>
      <c r="U2165" s="292">
        <v>392.1</v>
      </c>
      <c r="V2165" s="29">
        <v>2570.4499999999998</v>
      </c>
      <c r="W2165" s="29">
        <v>0</v>
      </c>
      <c r="X2165" s="29">
        <v>1</v>
      </c>
      <c r="Y2165" s="29">
        <v>25.704499999999999</v>
      </c>
    </row>
    <row r="2166" spans="1:25">
      <c r="A2166" s="29">
        <v>78</v>
      </c>
      <c r="B2166" s="111">
        <v>1</v>
      </c>
      <c r="C2166" s="111">
        <v>322888</v>
      </c>
      <c r="D2166" s="111" t="s">
        <v>758</v>
      </c>
      <c r="E2166" s="111" t="s">
        <v>448</v>
      </c>
      <c r="F2166" s="265">
        <v>42426</v>
      </c>
      <c r="G2166" s="265">
        <v>42460</v>
      </c>
      <c r="H2166" s="266">
        <f t="shared" si="182"/>
        <v>1739.45</v>
      </c>
      <c r="I2166" s="266">
        <f t="shared" si="183"/>
        <v>0</v>
      </c>
      <c r="J2166" s="266">
        <v>1</v>
      </c>
      <c r="K2166" s="266">
        <f t="shared" si="184"/>
        <v>17.394500000000001</v>
      </c>
      <c r="L2166" s="312">
        <f t="shared" si="185"/>
        <v>34</v>
      </c>
      <c r="M2166" s="263"/>
      <c r="N2166" s="263"/>
      <c r="O2166" s="263"/>
      <c r="P2166" s="263"/>
      <c r="Q2166" s="263"/>
      <c r="R2166" s="263"/>
      <c r="S2166" s="29">
        <v>1739.45</v>
      </c>
      <c r="T2166" s="29">
        <v>0</v>
      </c>
      <c r="U2166" s="292">
        <v>313.10000000000002</v>
      </c>
      <c r="V2166" s="29">
        <v>2052.5500000000002</v>
      </c>
      <c r="W2166" s="29">
        <v>0</v>
      </c>
      <c r="X2166" s="29">
        <v>1</v>
      </c>
      <c r="Y2166" s="29">
        <v>20.525500000000001</v>
      </c>
    </row>
    <row r="2167" spans="1:25">
      <c r="A2167" s="29">
        <v>79</v>
      </c>
      <c r="B2167" s="111">
        <v>1</v>
      </c>
      <c r="C2167" s="111">
        <v>322905</v>
      </c>
      <c r="D2167" s="111" t="s">
        <v>772</v>
      </c>
      <c r="E2167" s="111" t="s">
        <v>448</v>
      </c>
      <c r="F2167" s="265">
        <v>42426</v>
      </c>
      <c r="G2167" s="265">
        <v>42438</v>
      </c>
      <c r="H2167" s="266">
        <f t="shared" si="182"/>
        <v>4740.92</v>
      </c>
      <c r="I2167" s="266">
        <f t="shared" si="183"/>
        <v>0</v>
      </c>
      <c r="J2167" s="266">
        <v>0.5</v>
      </c>
      <c r="K2167" s="266">
        <f t="shared" si="184"/>
        <v>23.704599999999999</v>
      </c>
      <c r="L2167" s="312">
        <f t="shared" si="185"/>
        <v>12</v>
      </c>
      <c r="M2167" s="263"/>
      <c r="N2167" s="263"/>
      <c r="O2167" s="263"/>
      <c r="P2167" s="263"/>
      <c r="Q2167" s="263"/>
      <c r="R2167" s="263"/>
      <c r="S2167" s="29">
        <v>4740.92</v>
      </c>
      <c r="T2167" s="29">
        <v>0</v>
      </c>
      <c r="U2167" s="292">
        <v>853.37</v>
      </c>
      <c r="V2167" s="29">
        <v>5594.29</v>
      </c>
      <c r="W2167" s="29">
        <v>0</v>
      </c>
      <c r="X2167" s="29">
        <v>1</v>
      </c>
      <c r="Y2167" s="29">
        <v>55.942900000000002</v>
      </c>
    </row>
    <row r="2168" spans="1:25">
      <c r="A2168" s="29">
        <v>80</v>
      </c>
      <c r="B2168" s="111">
        <v>1</v>
      </c>
      <c r="C2168" s="111">
        <v>322914</v>
      </c>
      <c r="D2168" s="111" t="s">
        <v>758</v>
      </c>
      <c r="E2168" s="111" t="s">
        <v>448</v>
      </c>
      <c r="F2168" s="265">
        <v>42426</v>
      </c>
      <c r="G2168" s="265">
        <v>42460</v>
      </c>
      <c r="H2168" s="266">
        <f t="shared" si="182"/>
        <v>3749.78</v>
      </c>
      <c r="I2168" s="266">
        <f t="shared" si="183"/>
        <v>0</v>
      </c>
      <c r="J2168" s="266">
        <v>1</v>
      </c>
      <c r="K2168" s="266">
        <f t="shared" si="184"/>
        <v>37.497800000000005</v>
      </c>
      <c r="L2168" s="312">
        <f t="shared" si="185"/>
        <v>34</v>
      </c>
      <c r="M2168" s="263"/>
      <c r="N2168" s="263"/>
      <c r="O2168" s="263"/>
      <c r="P2168" s="263"/>
      <c r="Q2168" s="263"/>
      <c r="R2168" s="263"/>
      <c r="S2168" s="29">
        <v>3749.78</v>
      </c>
      <c r="T2168" s="29">
        <v>0</v>
      </c>
      <c r="U2168" s="292">
        <v>674.96</v>
      </c>
      <c r="V2168" s="29">
        <v>4424.74</v>
      </c>
      <c r="W2168" s="29">
        <v>0</v>
      </c>
      <c r="X2168" s="29">
        <v>1</v>
      </c>
      <c r="Y2168" s="29">
        <v>44.247399999999999</v>
      </c>
    </row>
    <row r="2169" spans="1:25">
      <c r="A2169" s="29">
        <v>81</v>
      </c>
      <c r="B2169" s="111">
        <v>1</v>
      </c>
      <c r="C2169" s="111">
        <v>322955</v>
      </c>
      <c r="D2169" s="111" t="s">
        <v>758</v>
      </c>
      <c r="E2169" s="111" t="s">
        <v>448</v>
      </c>
      <c r="F2169" s="265">
        <v>42427</v>
      </c>
      <c r="G2169" s="265">
        <v>42460</v>
      </c>
      <c r="H2169" s="266">
        <f t="shared" si="182"/>
        <v>132.43</v>
      </c>
      <c r="I2169" s="266">
        <f t="shared" si="183"/>
        <v>0</v>
      </c>
      <c r="J2169" s="266">
        <v>1</v>
      </c>
      <c r="K2169" s="266">
        <f t="shared" si="184"/>
        <v>1.3243</v>
      </c>
      <c r="L2169" s="312">
        <f t="shared" si="185"/>
        <v>33</v>
      </c>
      <c r="M2169" s="263"/>
      <c r="N2169" s="263"/>
      <c r="O2169" s="263"/>
      <c r="P2169" s="263"/>
      <c r="Q2169" s="263"/>
      <c r="R2169" s="263"/>
      <c r="S2169" s="29">
        <v>132.43</v>
      </c>
      <c r="T2169" s="29">
        <v>0</v>
      </c>
      <c r="U2169" s="292">
        <v>23.84</v>
      </c>
      <c r="V2169" s="29">
        <v>156.27000000000001</v>
      </c>
      <c r="W2169" s="29">
        <v>0</v>
      </c>
      <c r="X2169" s="29">
        <v>1</v>
      </c>
      <c r="Y2169" s="29">
        <v>1.5627</v>
      </c>
    </row>
    <row r="2170" spans="1:25">
      <c r="A2170" s="29">
        <v>82</v>
      </c>
      <c r="B2170" s="111">
        <v>1</v>
      </c>
      <c r="C2170" s="111">
        <v>322949</v>
      </c>
      <c r="D2170" s="111" t="s">
        <v>758</v>
      </c>
      <c r="E2170" s="111" t="s">
        <v>448</v>
      </c>
      <c r="F2170" s="265">
        <v>42427</v>
      </c>
      <c r="G2170" s="265">
        <v>42460</v>
      </c>
      <c r="H2170" s="266">
        <f t="shared" si="182"/>
        <v>4680.88</v>
      </c>
      <c r="I2170" s="266">
        <f t="shared" si="183"/>
        <v>772.64406779661022</v>
      </c>
      <c r="J2170" s="266">
        <v>1</v>
      </c>
      <c r="K2170" s="266">
        <f t="shared" si="184"/>
        <v>39.082359322033902</v>
      </c>
      <c r="L2170" s="312">
        <f t="shared" si="185"/>
        <v>33</v>
      </c>
      <c r="M2170" s="263"/>
      <c r="N2170" s="263"/>
      <c r="O2170" s="263"/>
      <c r="P2170" s="263"/>
      <c r="Q2170" s="263"/>
      <c r="R2170" s="263"/>
      <c r="S2170" s="29">
        <v>4680.88</v>
      </c>
      <c r="T2170" s="29">
        <v>0</v>
      </c>
      <c r="U2170" s="292">
        <v>842.56</v>
      </c>
      <c r="V2170" s="29">
        <v>5523.44</v>
      </c>
      <c r="W2170" s="29">
        <v>911.72</v>
      </c>
      <c r="X2170" s="29">
        <v>1</v>
      </c>
      <c r="Y2170" s="29">
        <v>46.117199999999997</v>
      </c>
    </row>
    <row r="2171" spans="1:25">
      <c r="A2171" s="29">
        <v>83</v>
      </c>
      <c r="B2171" s="111">
        <v>1</v>
      </c>
      <c r="C2171" s="111">
        <v>322950</v>
      </c>
      <c r="D2171" s="111" t="s">
        <v>758</v>
      </c>
      <c r="E2171" s="111" t="s">
        <v>448</v>
      </c>
      <c r="F2171" s="265">
        <v>42427</v>
      </c>
      <c r="G2171" s="265">
        <v>42460</v>
      </c>
      <c r="H2171" s="266">
        <f t="shared" si="182"/>
        <v>467.81</v>
      </c>
      <c r="I2171" s="266">
        <f t="shared" si="183"/>
        <v>0</v>
      </c>
      <c r="J2171" s="266">
        <v>0.5</v>
      </c>
      <c r="K2171" s="266">
        <f t="shared" si="184"/>
        <v>2.3390499999999999</v>
      </c>
      <c r="L2171" s="312">
        <f t="shared" si="185"/>
        <v>33</v>
      </c>
      <c r="M2171" s="263"/>
      <c r="N2171" s="263"/>
      <c r="O2171" s="263"/>
      <c r="P2171" s="263"/>
      <c r="Q2171" s="263"/>
      <c r="R2171" s="263"/>
      <c r="S2171" s="29">
        <v>467.81</v>
      </c>
      <c r="T2171" s="29">
        <v>0</v>
      </c>
      <c r="U2171" s="292">
        <v>84.21</v>
      </c>
      <c r="V2171" s="29">
        <v>552.02</v>
      </c>
      <c r="W2171" s="29">
        <v>0</v>
      </c>
      <c r="X2171" s="29">
        <v>1</v>
      </c>
      <c r="Y2171" s="29">
        <v>5.5202</v>
      </c>
    </row>
    <row r="2172" spans="1:25">
      <c r="A2172" s="29">
        <v>84</v>
      </c>
      <c r="B2172" s="111">
        <v>1</v>
      </c>
      <c r="C2172" s="111">
        <v>322995</v>
      </c>
      <c r="D2172" s="111" t="s">
        <v>758</v>
      </c>
      <c r="E2172" s="111" t="s">
        <v>448</v>
      </c>
      <c r="F2172" s="265">
        <v>42429</v>
      </c>
      <c r="G2172" s="265">
        <v>42460</v>
      </c>
      <c r="H2172" s="266">
        <f t="shared" si="182"/>
        <v>490.63</v>
      </c>
      <c r="I2172" s="266">
        <f t="shared" si="183"/>
        <v>0</v>
      </c>
      <c r="J2172" s="266">
        <v>1</v>
      </c>
      <c r="K2172" s="266">
        <f t="shared" si="184"/>
        <v>4.9062999999999999</v>
      </c>
      <c r="L2172" s="312">
        <f t="shared" si="185"/>
        <v>31</v>
      </c>
      <c r="M2172" s="263"/>
      <c r="N2172" s="263"/>
      <c r="O2172" s="263"/>
      <c r="P2172" s="263"/>
      <c r="Q2172" s="263"/>
      <c r="R2172" s="263"/>
      <c r="S2172" s="29">
        <v>490.63</v>
      </c>
      <c r="T2172" s="29">
        <v>0</v>
      </c>
      <c r="U2172" s="292">
        <v>88.31</v>
      </c>
      <c r="V2172" s="29">
        <v>578.94000000000005</v>
      </c>
      <c r="W2172" s="29">
        <v>0</v>
      </c>
      <c r="X2172" s="29">
        <v>1</v>
      </c>
      <c r="Y2172" s="29">
        <v>5.7893999999999997</v>
      </c>
    </row>
    <row r="2173" spans="1:25">
      <c r="A2173" s="29">
        <v>85</v>
      </c>
      <c r="B2173" s="111">
        <v>1</v>
      </c>
      <c r="C2173" s="111">
        <v>323168</v>
      </c>
      <c r="D2173" s="111" t="s">
        <v>758</v>
      </c>
      <c r="E2173" s="111" t="s">
        <v>448</v>
      </c>
      <c r="F2173" s="265">
        <v>42429</v>
      </c>
      <c r="G2173" s="265">
        <v>42460</v>
      </c>
      <c r="H2173" s="266">
        <f t="shared" si="182"/>
        <v>2187.09</v>
      </c>
      <c r="I2173" s="266">
        <f t="shared" si="183"/>
        <v>0</v>
      </c>
      <c r="J2173" s="266">
        <v>1</v>
      </c>
      <c r="K2173" s="266">
        <f t="shared" si="184"/>
        <v>21.870900000000002</v>
      </c>
      <c r="L2173" s="312">
        <f t="shared" si="185"/>
        <v>31</v>
      </c>
      <c r="M2173" s="263"/>
      <c r="N2173" s="263"/>
      <c r="O2173" s="263"/>
      <c r="P2173" s="263"/>
      <c r="Q2173" s="263"/>
      <c r="R2173" s="263"/>
      <c r="S2173" s="29">
        <v>2187.09</v>
      </c>
      <c r="T2173" s="29">
        <v>0</v>
      </c>
      <c r="U2173" s="292">
        <v>393.68</v>
      </c>
      <c r="V2173" s="29">
        <v>2580.77</v>
      </c>
      <c r="W2173" s="29">
        <v>0</v>
      </c>
      <c r="X2173" s="29">
        <v>1</v>
      </c>
      <c r="Y2173" s="29">
        <v>25.807700000000001</v>
      </c>
    </row>
    <row r="2174" spans="1:25">
      <c r="A2174" s="29">
        <v>86</v>
      </c>
      <c r="B2174" s="111">
        <v>1</v>
      </c>
      <c r="C2174" s="111">
        <v>323127</v>
      </c>
      <c r="D2174" s="111" t="s">
        <v>758</v>
      </c>
      <c r="E2174" s="111" t="s">
        <v>448</v>
      </c>
      <c r="F2174" s="265">
        <v>42429</v>
      </c>
      <c r="G2174" s="265">
        <v>42460</v>
      </c>
      <c r="H2174" s="266">
        <f t="shared" si="182"/>
        <v>2082.67</v>
      </c>
      <c r="I2174" s="266">
        <f t="shared" si="183"/>
        <v>0</v>
      </c>
      <c r="J2174" s="266">
        <v>1</v>
      </c>
      <c r="K2174" s="266">
        <f t="shared" si="184"/>
        <v>20.826700000000002</v>
      </c>
      <c r="L2174" s="312">
        <f t="shared" si="185"/>
        <v>31</v>
      </c>
      <c r="M2174" s="263"/>
      <c r="N2174" s="263"/>
      <c r="O2174" s="263"/>
      <c r="P2174" s="263"/>
      <c r="Q2174" s="263"/>
      <c r="R2174" s="263"/>
      <c r="S2174" s="29">
        <v>2082.67</v>
      </c>
      <c r="T2174" s="29">
        <v>0</v>
      </c>
      <c r="U2174" s="292">
        <v>374.88</v>
      </c>
      <c r="V2174" s="29">
        <v>2457.5500000000002</v>
      </c>
      <c r="W2174" s="29">
        <v>0</v>
      </c>
      <c r="X2174" s="29">
        <v>1</v>
      </c>
      <c r="Y2174" s="29">
        <v>24.575500000000002</v>
      </c>
    </row>
    <row r="2175" spans="1:25">
      <c r="A2175" s="29">
        <v>87</v>
      </c>
      <c r="B2175" s="111">
        <v>1</v>
      </c>
      <c r="C2175" s="111">
        <v>323548</v>
      </c>
      <c r="D2175" s="111" t="s">
        <v>761</v>
      </c>
      <c r="E2175" s="111" t="s">
        <v>448</v>
      </c>
      <c r="F2175" s="265">
        <v>42433</v>
      </c>
      <c r="G2175" s="265">
        <v>42445</v>
      </c>
      <c r="H2175" s="266">
        <f t="shared" si="182"/>
        <v>17059.2</v>
      </c>
      <c r="I2175" s="266">
        <f t="shared" si="183"/>
        <v>0</v>
      </c>
      <c r="J2175" s="266">
        <v>0.5</v>
      </c>
      <c r="K2175" s="266">
        <v>114.98</v>
      </c>
      <c r="L2175" s="312">
        <f t="shared" si="185"/>
        <v>12</v>
      </c>
      <c r="M2175" s="263"/>
      <c r="N2175" s="263"/>
      <c r="O2175" s="263"/>
      <c r="P2175" s="263"/>
      <c r="Q2175" s="263"/>
      <c r="R2175" s="263"/>
      <c r="S2175" s="29">
        <v>17059.2</v>
      </c>
      <c r="T2175" s="29">
        <v>0</v>
      </c>
      <c r="U2175" s="292">
        <v>3070.66</v>
      </c>
      <c r="V2175" s="29">
        <v>20129.86</v>
      </c>
      <c r="W2175" s="29">
        <v>0</v>
      </c>
      <c r="X2175" s="29">
        <v>1</v>
      </c>
      <c r="Y2175" s="29">
        <v>201.29859999999999</v>
      </c>
    </row>
    <row r="2176" spans="1:25">
      <c r="A2176" s="29">
        <v>88</v>
      </c>
      <c r="B2176" s="111">
        <v>1</v>
      </c>
      <c r="C2176" s="111">
        <v>323051</v>
      </c>
      <c r="D2176" s="111" t="s">
        <v>758</v>
      </c>
      <c r="E2176" s="111" t="s">
        <v>448</v>
      </c>
      <c r="F2176" s="265">
        <v>42429</v>
      </c>
      <c r="G2176" s="265">
        <v>42460</v>
      </c>
      <c r="H2176" s="266">
        <f t="shared" si="182"/>
        <v>17365.580000000002</v>
      </c>
      <c r="I2176" s="266">
        <f t="shared" si="183"/>
        <v>0</v>
      </c>
      <c r="J2176" s="266">
        <v>1</v>
      </c>
      <c r="K2176" s="266">
        <f t="shared" ref="K2176:K2183" si="186">(H2176-I2176)*J2176%</f>
        <v>173.65580000000003</v>
      </c>
      <c r="L2176" s="312">
        <f t="shared" si="185"/>
        <v>31</v>
      </c>
      <c r="M2176" s="263"/>
      <c r="N2176" s="263"/>
      <c r="O2176" s="263"/>
      <c r="P2176" s="263"/>
      <c r="Q2176" s="263"/>
      <c r="R2176" s="263"/>
      <c r="S2176" s="29">
        <v>17365.580000000002</v>
      </c>
      <c r="T2176" s="29">
        <v>0</v>
      </c>
      <c r="U2176" s="292">
        <v>3125.8</v>
      </c>
      <c r="V2176" s="29">
        <v>20491.38</v>
      </c>
      <c r="W2176" s="29">
        <v>0</v>
      </c>
      <c r="X2176" s="29">
        <v>1</v>
      </c>
      <c r="Y2176" s="29">
        <v>204.91380000000001</v>
      </c>
    </row>
    <row r="2177" spans="1:26">
      <c r="A2177" s="29">
        <v>89</v>
      </c>
      <c r="B2177" s="111">
        <v>1</v>
      </c>
      <c r="C2177" s="111">
        <v>323786</v>
      </c>
      <c r="D2177" s="111" t="s">
        <v>772</v>
      </c>
      <c r="E2177" s="111" t="s">
        <v>448</v>
      </c>
      <c r="F2177" s="265">
        <v>42437</v>
      </c>
      <c r="G2177" s="265">
        <v>42438</v>
      </c>
      <c r="H2177" s="266">
        <f t="shared" si="182"/>
        <v>1202.92</v>
      </c>
      <c r="I2177" s="266">
        <f t="shared" si="183"/>
        <v>0</v>
      </c>
      <c r="J2177" s="266">
        <v>0.5</v>
      </c>
      <c r="K2177" s="266">
        <f t="shared" si="186"/>
        <v>6.0146000000000006</v>
      </c>
      <c r="L2177" s="312">
        <f t="shared" si="185"/>
        <v>1</v>
      </c>
      <c r="M2177" s="263"/>
      <c r="N2177" s="263"/>
      <c r="O2177" s="263"/>
      <c r="P2177" s="263"/>
      <c r="Q2177" s="263"/>
      <c r="R2177" s="263"/>
      <c r="S2177" s="29">
        <v>1202.92</v>
      </c>
      <c r="T2177" s="29">
        <v>0</v>
      </c>
      <c r="U2177" s="292">
        <v>216.53</v>
      </c>
      <c r="V2177" s="29">
        <v>1419.45</v>
      </c>
      <c r="W2177" s="29">
        <v>0</v>
      </c>
      <c r="X2177" s="29">
        <v>1</v>
      </c>
      <c r="Y2177" s="29">
        <v>14.1945</v>
      </c>
    </row>
    <row r="2178" spans="1:26">
      <c r="A2178" s="29">
        <v>90</v>
      </c>
      <c r="B2178" s="111">
        <v>1</v>
      </c>
      <c r="C2178" s="111">
        <v>324119</v>
      </c>
      <c r="D2178" s="111" t="s">
        <v>805</v>
      </c>
      <c r="E2178" s="111" t="s">
        <v>448</v>
      </c>
      <c r="F2178" s="265">
        <v>42440</v>
      </c>
      <c r="G2178" s="265">
        <v>42460</v>
      </c>
      <c r="H2178" s="266">
        <f t="shared" si="182"/>
        <v>642.89</v>
      </c>
      <c r="I2178" s="266">
        <f t="shared" si="183"/>
        <v>0</v>
      </c>
      <c r="J2178" s="266">
        <v>1</v>
      </c>
      <c r="K2178" s="266">
        <f t="shared" si="186"/>
        <v>6.4288999999999996</v>
      </c>
      <c r="L2178" s="312">
        <f t="shared" si="185"/>
        <v>20</v>
      </c>
      <c r="M2178" s="263"/>
      <c r="N2178" s="263"/>
      <c r="O2178" s="263"/>
      <c r="P2178" s="263"/>
      <c r="Q2178" s="263"/>
      <c r="R2178" s="263"/>
      <c r="S2178" s="29">
        <v>642.89</v>
      </c>
      <c r="T2178" s="29">
        <v>0</v>
      </c>
      <c r="U2178" s="292">
        <v>115.72</v>
      </c>
      <c r="V2178" s="29">
        <v>758.61</v>
      </c>
      <c r="W2178" s="29">
        <v>0</v>
      </c>
      <c r="X2178" s="29">
        <v>1</v>
      </c>
      <c r="Y2178" s="29">
        <v>7.5861000000000001</v>
      </c>
    </row>
    <row r="2179" spans="1:26">
      <c r="A2179" s="29">
        <v>91</v>
      </c>
      <c r="B2179" s="111">
        <v>1</v>
      </c>
      <c r="C2179" s="111">
        <v>324375</v>
      </c>
      <c r="D2179" s="111" t="s">
        <v>761</v>
      </c>
      <c r="E2179" s="111" t="s">
        <v>448</v>
      </c>
      <c r="F2179" s="265">
        <v>42444</v>
      </c>
      <c r="G2179" s="265">
        <v>42445</v>
      </c>
      <c r="H2179" s="266">
        <f t="shared" si="182"/>
        <v>9198.7999999999993</v>
      </c>
      <c r="I2179" s="266">
        <f t="shared" si="183"/>
        <v>0</v>
      </c>
      <c r="J2179" s="266">
        <v>0.5</v>
      </c>
      <c r="K2179" s="266">
        <f t="shared" si="186"/>
        <v>45.994</v>
      </c>
      <c r="L2179" s="312">
        <f t="shared" si="185"/>
        <v>1</v>
      </c>
      <c r="M2179" s="263"/>
      <c r="N2179" s="263"/>
      <c r="O2179" s="263"/>
      <c r="P2179" s="263"/>
      <c r="Q2179" s="263"/>
      <c r="R2179" s="263"/>
      <c r="S2179" s="29">
        <v>9198.7999999999993</v>
      </c>
      <c r="T2179" s="29">
        <v>0</v>
      </c>
      <c r="U2179" s="292">
        <v>1655.78</v>
      </c>
      <c r="V2179" s="29">
        <v>10854.58</v>
      </c>
      <c r="W2179" s="29">
        <v>0</v>
      </c>
      <c r="X2179" s="29">
        <v>1</v>
      </c>
      <c r="Y2179" s="29">
        <v>108.5458</v>
      </c>
    </row>
    <row r="2180" spans="1:26">
      <c r="A2180" s="29">
        <v>92</v>
      </c>
      <c r="B2180" s="111">
        <v>1</v>
      </c>
      <c r="C2180" s="111">
        <v>321319</v>
      </c>
      <c r="D2180" s="111" t="s">
        <v>758</v>
      </c>
      <c r="E2180" s="111" t="s">
        <v>448</v>
      </c>
      <c r="F2180" s="265">
        <v>42405</v>
      </c>
      <c r="G2180" s="265">
        <v>42447</v>
      </c>
      <c r="H2180" s="266">
        <f t="shared" si="182"/>
        <v>6456.27</v>
      </c>
      <c r="I2180" s="266">
        <f t="shared" si="183"/>
        <v>0</v>
      </c>
      <c r="J2180" s="266">
        <v>1</v>
      </c>
      <c r="K2180" s="266">
        <f t="shared" si="186"/>
        <v>64.562700000000007</v>
      </c>
      <c r="L2180" s="312">
        <f t="shared" si="185"/>
        <v>42</v>
      </c>
      <c r="M2180" s="263"/>
      <c r="N2180" s="263"/>
      <c r="O2180" s="263"/>
      <c r="P2180" s="263"/>
      <c r="Q2180" s="263"/>
      <c r="R2180" s="263"/>
      <c r="S2180" s="29">
        <v>6456.27</v>
      </c>
      <c r="T2180" s="29">
        <v>0</v>
      </c>
      <c r="U2180" s="292">
        <v>1162.1300000000001</v>
      </c>
      <c r="V2180" s="29">
        <v>7618.4</v>
      </c>
      <c r="W2180" s="29">
        <v>0</v>
      </c>
      <c r="X2180" s="29">
        <v>1</v>
      </c>
      <c r="Y2180" s="29">
        <v>76.183999999999997</v>
      </c>
    </row>
    <row r="2181" spans="1:26">
      <c r="A2181" s="29">
        <v>93</v>
      </c>
      <c r="B2181" s="111">
        <v>1</v>
      </c>
      <c r="C2181" s="111">
        <v>324925</v>
      </c>
      <c r="D2181" s="111" t="s">
        <v>772</v>
      </c>
      <c r="E2181" s="111" t="s">
        <v>448</v>
      </c>
      <c r="F2181" s="265">
        <v>42451</v>
      </c>
      <c r="G2181" s="265">
        <v>42457</v>
      </c>
      <c r="H2181" s="266">
        <f t="shared" si="182"/>
        <v>11321.6</v>
      </c>
      <c r="I2181" s="266">
        <f t="shared" si="183"/>
        <v>0</v>
      </c>
      <c r="J2181" s="266">
        <v>0.5</v>
      </c>
      <c r="K2181" s="266">
        <f t="shared" si="186"/>
        <v>56.608000000000004</v>
      </c>
      <c r="L2181" s="312">
        <f t="shared" si="185"/>
        <v>6</v>
      </c>
      <c r="M2181" s="263"/>
      <c r="N2181" s="263"/>
      <c r="O2181" s="263"/>
      <c r="P2181" s="263"/>
      <c r="Q2181" s="263"/>
      <c r="R2181" s="263"/>
      <c r="S2181" s="29">
        <v>11321.6</v>
      </c>
      <c r="T2181" s="29">
        <v>0</v>
      </c>
      <c r="U2181" s="292">
        <v>2037.89</v>
      </c>
      <c r="V2181" s="29">
        <v>13359.49</v>
      </c>
      <c r="W2181" s="29">
        <v>0</v>
      </c>
      <c r="X2181" s="29">
        <v>1</v>
      </c>
      <c r="Y2181" s="29">
        <v>133.5949</v>
      </c>
    </row>
    <row r="2182" spans="1:26">
      <c r="A2182" s="29">
        <v>94</v>
      </c>
      <c r="B2182" s="111">
        <v>1</v>
      </c>
      <c r="C2182" s="111">
        <v>325354</v>
      </c>
      <c r="D2182" s="111" t="s">
        <v>772</v>
      </c>
      <c r="E2182" s="111" t="s">
        <v>448</v>
      </c>
      <c r="F2182" s="265">
        <v>42458</v>
      </c>
      <c r="G2182" s="265">
        <v>42458</v>
      </c>
      <c r="H2182" s="266">
        <f t="shared" si="182"/>
        <v>26888.81</v>
      </c>
      <c r="I2182" s="266">
        <f t="shared" si="183"/>
        <v>0</v>
      </c>
      <c r="J2182" s="266">
        <v>0.5</v>
      </c>
      <c r="K2182" s="266">
        <f t="shared" si="186"/>
        <v>134.44405</v>
      </c>
      <c r="L2182" s="312">
        <f t="shared" si="185"/>
        <v>0</v>
      </c>
      <c r="M2182" s="263"/>
      <c r="N2182" s="263"/>
      <c r="O2182" s="263"/>
      <c r="P2182" s="263"/>
      <c r="Q2182" s="263"/>
      <c r="R2182" s="263"/>
      <c r="S2182" s="29">
        <v>26888.81</v>
      </c>
      <c r="T2182" s="29">
        <v>0</v>
      </c>
      <c r="U2182" s="292">
        <v>4839.99</v>
      </c>
      <c r="V2182" s="29">
        <v>31728.799999999999</v>
      </c>
      <c r="W2182" s="29">
        <v>0</v>
      </c>
      <c r="X2182" s="29">
        <v>1</v>
      </c>
      <c r="Y2182" s="29">
        <v>317.28800000000001</v>
      </c>
    </row>
    <row r="2183" spans="1:26">
      <c r="A2183" s="29">
        <v>95</v>
      </c>
      <c r="B2183" s="111">
        <v>1</v>
      </c>
      <c r="C2183" s="111">
        <v>325559</v>
      </c>
      <c r="D2183" s="111" t="s">
        <v>798</v>
      </c>
      <c r="E2183" s="111" t="s">
        <v>448</v>
      </c>
      <c r="F2183" s="265">
        <v>42459</v>
      </c>
      <c r="G2183" s="265">
        <v>42460</v>
      </c>
      <c r="H2183" s="266">
        <f t="shared" si="182"/>
        <v>651.38</v>
      </c>
      <c r="I2183" s="266">
        <f t="shared" si="183"/>
        <v>0</v>
      </c>
      <c r="J2183" s="266">
        <v>1</v>
      </c>
      <c r="K2183" s="266">
        <f t="shared" si="186"/>
        <v>6.5137999999999998</v>
      </c>
      <c r="L2183" s="312">
        <f t="shared" si="185"/>
        <v>1</v>
      </c>
      <c r="M2183" s="263"/>
      <c r="N2183" s="263"/>
      <c r="O2183" s="263"/>
      <c r="P2183" s="263"/>
      <c r="Q2183" s="263"/>
      <c r="R2183" s="263"/>
      <c r="S2183" s="29">
        <v>651.38</v>
      </c>
      <c r="T2183" s="29">
        <v>0</v>
      </c>
      <c r="U2183" s="292">
        <v>117.25</v>
      </c>
      <c r="V2183" s="29">
        <v>768.63</v>
      </c>
      <c r="W2183" s="29">
        <v>0</v>
      </c>
      <c r="X2183" s="29">
        <v>1</v>
      </c>
      <c r="Y2183" s="29">
        <v>7.6863000000000001</v>
      </c>
    </row>
    <row r="2184" spans="1:26">
      <c r="G2184" s="268" t="s">
        <v>765</v>
      </c>
      <c r="H2184" s="269">
        <f>SUM(H2089:H2183)</f>
        <v>255102.85000000006</v>
      </c>
      <c r="I2184" s="59"/>
      <c r="J2184" s="311" t="s">
        <v>383</v>
      </c>
      <c r="K2184" s="269">
        <f>SUM(K2089:K2183)</f>
        <v>2150.2988745762718</v>
      </c>
    </row>
    <row r="2189" spans="1:26" s="29" customFormat="1" ht="9">
      <c r="B2189" s="29">
        <v>1</v>
      </c>
      <c r="C2189" s="33">
        <v>317742</v>
      </c>
      <c r="D2189" s="29" t="s">
        <v>761</v>
      </c>
      <c r="E2189" s="29" t="s">
        <v>448</v>
      </c>
      <c r="F2189" s="263">
        <v>42350</v>
      </c>
      <c r="G2189" s="263">
        <v>42443</v>
      </c>
      <c r="H2189" s="29">
        <v>2830.4</v>
      </c>
      <c r="S2189" s="29">
        <v>0</v>
      </c>
      <c r="T2189" s="292">
        <v>509.47</v>
      </c>
      <c r="U2189" s="29">
        <v>3339.87</v>
      </c>
      <c r="V2189" s="29">
        <v>0</v>
      </c>
      <c r="W2189" s="29">
        <v>1</v>
      </c>
      <c r="X2189" s="29">
        <v>33.398699999999998</v>
      </c>
      <c r="Y2189" s="29">
        <v>12520</v>
      </c>
      <c r="Z2189" s="29">
        <v>990341</v>
      </c>
    </row>
    <row r="2190" spans="1:26" s="29" customFormat="1" ht="9">
      <c r="B2190" s="29">
        <v>1</v>
      </c>
      <c r="C2190" s="33">
        <v>317742</v>
      </c>
      <c r="D2190" s="29" t="s">
        <v>761</v>
      </c>
      <c r="E2190" s="29" t="s">
        <v>448</v>
      </c>
      <c r="F2190" s="263">
        <v>42350</v>
      </c>
      <c r="G2190" s="263">
        <v>42443</v>
      </c>
      <c r="H2190" s="29">
        <v>2830.4</v>
      </c>
      <c r="S2190" s="29">
        <v>0</v>
      </c>
      <c r="T2190" s="292">
        <v>509.47</v>
      </c>
      <c r="U2190" s="29">
        <v>3339.87</v>
      </c>
      <c r="V2190" s="29">
        <v>0</v>
      </c>
      <c r="W2190" s="29">
        <v>1</v>
      </c>
      <c r="X2190" s="29">
        <v>33.398699999999998</v>
      </c>
      <c r="Y2190" s="29">
        <v>12520</v>
      </c>
      <c r="Z2190" s="29">
        <v>990341</v>
      </c>
    </row>
    <row r="2191" spans="1:26" s="29" customFormat="1" ht="9">
      <c r="B2191" s="29">
        <v>1</v>
      </c>
      <c r="C2191" s="29">
        <v>322905</v>
      </c>
      <c r="D2191" s="29" t="s">
        <v>772</v>
      </c>
      <c r="E2191" s="29" t="s">
        <v>448</v>
      </c>
      <c r="F2191" s="263">
        <v>42426</v>
      </c>
      <c r="G2191" s="263">
        <v>42438</v>
      </c>
      <c r="H2191" s="29">
        <v>4740.92</v>
      </c>
      <c r="S2191" s="29">
        <v>0</v>
      </c>
      <c r="T2191" s="292">
        <v>853.37</v>
      </c>
      <c r="U2191" s="29">
        <v>5594.29</v>
      </c>
      <c r="V2191" s="29">
        <v>0</v>
      </c>
      <c r="W2191" s="29">
        <v>1</v>
      </c>
      <c r="X2191" s="29">
        <v>55.942900000000002</v>
      </c>
      <c r="Y2191" s="29">
        <v>12519</v>
      </c>
      <c r="Z2191" s="29">
        <v>998227</v>
      </c>
    </row>
    <row r="2192" spans="1:26">
      <c r="B2192" s="29">
        <v>1</v>
      </c>
      <c r="C2192" s="33">
        <v>323548</v>
      </c>
      <c r="D2192" s="29" t="s">
        <v>761</v>
      </c>
      <c r="E2192" s="29" t="s">
        <v>448</v>
      </c>
      <c r="F2192" s="263">
        <v>42433</v>
      </c>
      <c r="G2192" s="263">
        <v>42445</v>
      </c>
      <c r="H2192" s="29">
        <v>17059.2</v>
      </c>
      <c r="J2192" s="122">
        <v>5935.4</v>
      </c>
      <c r="K2192" s="29">
        <f>J2192*1%</f>
        <v>59.353999999999999</v>
      </c>
      <c r="S2192" s="29">
        <v>0</v>
      </c>
      <c r="T2192" s="292">
        <v>3070.66</v>
      </c>
      <c r="U2192" s="29">
        <v>20129.86</v>
      </c>
      <c r="V2192" s="29">
        <v>0</v>
      </c>
      <c r="W2192" s="29">
        <v>1</v>
      </c>
      <c r="X2192" s="29">
        <v>201.29859999999999</v>
      </c>
      <c r="Y2192" s="29">
        <v>12520</v>
      </c>
      <c r="Z2192" s="29">
        <v>999079</v>
      </c>
    </row>
    <row r="2193" spans="2:26">
      <c r="B2193" s="29">
        <v>1</v>
      </c>
      <c r="C2193" s="33">
        <v>323548</v>
      </c>
      <c r="D2193" s="29" t="s">
        <v>761</v>
      </c>
      <c r="E2193" s="29" t="s">
        <v>448</v>
      </c>
      <c r="F2193" s="263">
        <v>42433</v>
      </c>
      <c r="G2193" s="263">
        <v>42445</v>
      </c>
      <c r="H2193" s="29">
        <v>17059.2</v>
      </c>
      <c r="J2193" s="29">
        <v>17059.2</v>
      </c>
      <c r="K2193" s="29">
        <f>(J2193-J2192)*0.5%</f>
        <v>55.619000000000007</v>
      </c>
      <c r="L2193" s="29">
        <v>114.97</v>
      </c>
      <c r="S2193" s="29">
        <v>0</v>
      </c>
      <c r="T2193" s="292">
        <v>3070.66</v>
      </c>
      <c r="U2193" s="29">
        <v>20129.86</v>
      </c>
      <c r="V2193" s="29">
        <v>0</v>
      </c>
      <c r="W2193" s="29">
        <v>1</v>
      </c>
      <c r="X2193" s="29">
        <v>201.29859999999999</v>
      </c>
      <c r="Y2193" s="29">
        <v>12519</v>
      </c>
      <c r="Z2193" s="29">
        <v>999079</v>
      </c>
    </row>
    <row r="2194" spans="2:26" s="29" customFormat="1" ht="9">
      <c r="B2194" s="29">
        <v>1</v>
      </c>
      <c r="C2194" s="29">
        <v>323786</v>
      </c>
      <c r="D2194" s="29" t="s">
        <v>772</v>
      </c>
      <c r="E2194" s="29" t="s">
        <v>448</v>
      </c>
      <c r="F2194" s="263">
        <v>42437</v>
      </c>
      <c r="G2194" s="263">
        <v>42438</v>
      </c>
      <c r="H2194" s="29">
        <v>1202.92</v>
      </c>
      <c r="S2194" s="29">
        <v>0</v>
      </c>
      <c r="T2194" s="292">
        <v>216.53</v>
      </c>
      <c r="U2194" s="29">
        <v>1419.45</v>
      </c>
      <c r="V2194" s="29">
        <v>0</v>
      </c>
      <c r="W2194" s="29">
        <v>1</v>
      </c>
      <c r="X2194" s="29">
        <v>14.1945</v>
      </c>
      <c r="Y2194" s="29">
        <v>12519</v>
      </c>
      <c r="Z2194" s="29">
        <v>999415</v>
      </c>
    </row>
    <row r="2195" spans="2:26" s="29" customFormat="1" ht="9">
      <c r="B2195" s="29">
        <v>1</v>
      </c>
      <c r="C2195" s="33">
        <v>324375</v>
      </c>
      <c r="D2195" s="29" t="s">
        <v>761</v>
      </c>
      <c r="E2195" s="29" t="s">
        <v>448</v>
      </c>
      <c r="F2195" s="263">
        <v>42444</v>
      </c>
      <c r="G2195" s="263">
        <v>42445</v>
      </c>
      <c r="H2195" s="29">
        <v>9198.7999999999993</v>
      </c>
      <c r="S2195" s="29">
        <v>0</v>
      </c>
      <c r="T2195" s="292">
        <v>1655.78</v>
      </c>
      <c r="U2195" s="29">
        <v>10854.58</v>
      </c>
      <c r="V2195" s="29">
        <v>0</v>
      </c>
      <c r="W2195" s="29">
        <v>1</v>
      </c>
      <c r="X2195" s="29">
        <v>108.5458</v>
      </c>
      <c r="Y2195" s="29">
        <v>12520</v>
      </c>
      <c r="Z2195" s="29">
        <v>1000348</v>
      </c>
    </row>
    <row r="2196" spans="2:26" s="29" customFormat="1" ht="9">
      <c r="B2196" s="29">
        <v>1</v>
      </c>
      <c r="C2196" s="33">
        <v>324375</v>
      </c>
      <c r="D2196" s="29" t="s">
        <v>761</v>
      </c>
      <c r="E2196" s="29" t="s">
        <v>448</v>
      </c>
      <c r="F2196" s="263">
        <v>42444</v>
      </c>
      <c r="G2196" s="263">
        <v>42445</v>
      </c>
      <c r="H2196" s="29">
        <v>9198.7999999999993</v>
      </c>
      <c r="S2196" s="29">
        <v>0</v>
      </c>
      <c r="T2196" s="292">
        <v>1655.78</v>
      </c>
      <c r="U2196" s="29">
        <v>10854.58</v>
      </c>
      <c r="V2196" s="29">
        <v>0</v>
      </c>
      <c r="W2196" s="29">
        <v>1</v>
      </c>
      <c r="X2196" s="29">
        <v>108.5458</v>
      </c>
      <c r="Y2196" s="29">
        <v>12520</v>
      </c>
      <c r="Z2196" s="29">
        <v>1000348</v>
      </c>
    </row>
    <row r="2197" spans="2:26" s="29" customFormat="1" ht="9">
      <c r="B2197" s="29">
        <v>1</v>
      </c>
      <c r="C2197" s="29">
        <v>324925</v>
      </c>
      <c r="D2197" s="29" t="s">
        <v>772</v>
      </c>
      <c r="E2197" s="29" t="s">
        <v>448</v>
      </c>
      <c r="F2197" s="263">
        <v>42451</v>
      </c>
      <c r="G2197" s="263">
        <v>42457</v>
      </c>
      <c r="H2197" s="29">
        <v>11321.6</v>
      </c>
      <c r="S2197" s="29">
        <v>0</v>
      </c>
      <c r="T2197" s="292">
        <v>2037.89</v>
      </c>
      <c r="U2197" s="29">
        <v>13359.49</v>
      </c>
      <c r="V2197" s="29">
        <v>0</v>
      </c>
      <c r="W2197" s="29">
        <v>1</v>
      </c>
      <c r="X2197" s="29">
        <v>133.5949</v>
      </c>
      <c r="Y2197" s="29">
        <v>12520</v>
      </c>
      <c r="Z2197" s="29">
        <v>1001201</v>
      </c>
    </row>
    <row r="2198" spans="2:26" s="29" customFormat="1" ht="9">
      <c r="B2198" s="29">
        <v>1</v>
      </c>
      <c r="C2198" s="29">
        <v>324925</v>
      </c>
      <c r="D2198" s="29" t="s">
        <v>772</v>
      </c>
      <c r="E2198" s="29" t="s">
        <v>448</v>
      </c>
      <c r="F2198" s="263">
        <v>42451</v>
      </c>
      <c r="G2198" s="263">
        <v>42457</v>
      </c>
      <c r="H2198" s="29">
        <v>11321.6</v>
      </c>
      <c r="S2198" s="29">
        <v>0</v>
      </c>
      <c r="T2198" s="292">
        <v>2037.89</v>
      </c>
      <c r="U2198" s="29">
        <v>13359.49</v>
      </c>
      <c r="V2198" s="29">
        <v>0</v>
      </c>
      <c r="W2198" s="29">
        <v>1</v>
      </c>
      <c r="X2198" s="29">
        <v>133.5949</v>
      </c>
      <c r="Y2198" s="29">
        <v>12520</v>
      </c>
      <c r="Z2198" s="29">
        <v>1001201</v>
      </c>
    </row>
    <row r="2199" spans="2:26" s="29" customFormat="1" ht="9">
      <c r="B2199" s="29">
        <v>1</v>
      </c>
      <c r="C2199" s="29">
        <v>324925</v>
      </c>
      <c r="D2199" s="29" t="s">
        <v>772</v>
      </c>
      <c r="E2199" s="29" t="s">
        <v>448</v>
      </c>
      <c r="F2199" s="263">
        <v>42451</v>
      </c>
      <c r="G2199" s="263">
        <v>42457</v>
      </c>
      <c r="H2199" s="29">
        <v>11321.6</v>
      </c>
      <c r="S2199" s="29">
        <v>0</v>
      </c>
      <c r="T2199" s="292">
        <v>2037.89</v>
      </c>
      <c r="U2199" s="29">
        <v>13359.49</v>
      </c>
      <c r="V2199" s="29">
        <v>0</v>
      </c>
      <c r="W2199" s="29">
        <v>1</v>
      </c>
      <c r="X2199" s="29">
        <v>133.5949</v>
      </c>
      <c r="Y2199" s="29">
        <v>12519</v>
      </c>
      <c r="Z2199" s="29">
        <v>1001201</v>
      </c>
    </row>
    <row r="2200" spans="2:26" s="29" customFormat="1" ht="9">
      <c r="B2200" s="29">
        <v>1</v>
      </c>
      <c r="C2200" s="29">
        <v>324925</v>
      </c>
      <c r="D2200" s="29" t="s">
        <v>772</v>
      </c>
      <c r="E2200" s="29" t="s">
        <v>448</v>
      </c>
      <c r="F2200" s="263">
        <v>42451</v>
      </c>
      <c r="G2200" s="263">
        <v>42457</v>
      </c>
      <c r="H2200" s="29">
        <v>11321.6</v>
      </c>
      <c r="S2200" s="29">
        <v>0</v>
      </c>
      <c r="T2200" s="292">
        <v>2037.89</v>
      </c>
      <c r="U2200" s="29">
        <v>13359.49</v>
      </c>
      <c r="V2200" s="29">
        <v>0</v>
      </c>
      <c r="W2200" s="29">
        <v>1</v>
      </c>
      <c r="X2200" s="29">
        <v>133.5949</v>
      </c>
      <c r="Y2200" s="29">
        <v>12519</v>
      </c>
      <c r="Z2200" s="29">
        <v>1001201</v>
      </c>
    </row>
    <row r="2201" spans="2:26" s="29" customFormat="1" ht="9">
      <c r="B2201" s="29">
        <v>1</v>
      </c>
      <c r="C2201" s="33">
        <v>325354</v>
      </c>
      <c r="D2201" s="29" t="s">
        <v>772</v>
      </c>
      <c r="E2201" s="29" t="s">
        <v>448</v>
      </c>
      <c r="F2201" s="263">
        <v>42458</v>
      </c>
      <c r="G2201" s="263">
        <v>42458</v>
      </c>
      <c r="H2201" s="29">
        <v>26888.81</v>
      </c>
      <c r="S2201" s="29">
        <v>0</v>
      </c>
      <c r="T2201" s="292">
        <v>4839.99</v>
      </c>
      <c r="U2201" s="29">
        <v>31728.799999999999</v>
      </c>
      <c r="V2201" s="29">
        <v>0</v>
      </c>
      <c r="W2201" s="29">
        <v>1</v>
      </c>
      <c r="X2201" s="29">
        <v>317.28800000000001</v>
      </c>
      <c r="Y2201" s="29">
        <v>12520</v>
      </c>
      <c r="Z2201" s="29">
        <v>1001897</v>
      </c>
    </row>
    <row r="2202" spans="2:26" s="29" customFormat="1" ht="9">
      <c r="B2202" s="29">
        <v>1</v>
      </c>
      <c r="C2202" s="33">
        <v>325354</v>
      </c>
      <c r="D2202" s="29" t="s">
        <v>772</v>
      </c>
      <c r="E2202" s="29" t="s">
        <v>448</v>
      </c>
      <c r="F2202" s="263">
        <v>42458</v>
      </c>
      <c r="G2202" s="263">
        <v>42458</v>
      </c>
      <c r="H2202" s="29">
        <v>26888.81</v>
      </c>
      <c r="S2202" s="29">
        <v>0</v>
      </c>
      <c r="T2202" s="292">
        <v>4839.99</v>
      </c>
      <c r="U2202" s="29">
        <v>31728.799999999999</v>
      </c>
      <c r="V2202" s="29">
        <v>0</v>
      </c>
      <c r="W2202" s="29">
        <v>1</v>
      </c>
      <c r="X2202" s="29">
        <v>317.28800000000001</v>
      </c>
      <c r="Y2202" s="29">
        <v>12520</v>
      </c>
      <c r="Z2202" s="29">
        <v>1001897</v>
      </c>
    </row>
    <row r="2203" spans="2:26" s="29" customFormat="1" ht="9">
      <c r="B2203" s="29">
        <v>1</v>
      </c>
      <c r="C2203" s="33">
        <v>325354</v>
      </c>
      <c r="D2203" s="29" t="s">
        <v>772</v>
      </c>
      <c r="E2203" s="29" t="s">
        <v>448</v>
      </c>
      <c r="F2203" s="263">
        <v>42458</v>
      </c>
      <c r="G2203" s="263">
        <v>42458</v>
      </c>
      <c r="H2203" s="29">
        <v>26888.81</v>
      </c>
      <c r="S2203" s="29">
        <v>0</v>
      </c>
      <c r="T2203" s="292">
        <v>4839.99</v>
      </c>
      <c r="U2203" s="29">
        <v>31728.799999999999</v>
      </c>
      <c r="V2203" s="29">
        <v>0</v>
      </c>
      <c r="W2203" s="29">
        <v>1</v>
      </c>
      <c r="X2203" s="29">
        <v>317.28800000000001</v>
      </c>
      <c r="Y2203" s="29">
        <v>12520</v>
      </c>
      <c r="Z2203" s="29">
        <v>1001897</v>
      </c>
    </row>
    <row r="2204" spans="2:26" s="29" customFormat="1" ht="9">
      <c r="B2204" s="29">
        <v>1</v>
      </c>
      <c r="C2204" s="33">
        <v>325354</v>
      </c>
      <c r="D2204" s="29" t="s">
        <v>772</v>
      </c>
      <c r="E2204" s="29" t="s">
        <v>448</v>
      </c>
      <c r="F2204" s="263">
        <v>42458</v>
      </c>
      <c r="G2204" s="263">
        <v>42458</v>
      </c>
      <c r="H2204" s="29">
        <v>26888.81</v>
      </c>
      <c r="S2204" s="29">
        <v>0</v>
      </c>
      <c r="T2204" s="292">
        <v>4839.99</v>
      </c>
      <c r="U2204" s="29">
        <v>31728.799999999999</v>
      </c>
      <c r="V2204" s="29">
        <v>0</v>
      </c>
      <c r="W2204" s="29">
        <v>1</v>
      </c>
      <c r="X2204" s="29">
        <v>317.28800000000001</v>
      </c>
      <c r="Y2204" s="29">
        <v>12520</v>
      </c>
      <c r="Z2204" s="29">
        <v>1001897</v>
      </c>
    </row>
    <row r="2205" spans="2:26" s="29" customFormat="1" ht="9">
      <c r="B2205" s="29">
        <v>1</v>
      </c>
      <c r="C2205" s="33">
        <v>325354</v>
      </c>
      <c r="D2205" s="29" t="s">
        <v>772</v>
      </c>
      <c r="E2205" s="29" t="s">
        <v>448</v>
      </c>
      <c r="F2205" s="263">
        <v>42458</v>
      </c>
      <c r="G2205" s="263">
        <v>42458</v>
      </c>
      <c r="H2205" s="29">
        <v>26888.81</v>
      </c>
      <c r="S2205" s="29">
        <v>0</v>
      </c>
      <c r="T2205" s="292">
        <v>4839.99</v>
      </c>
      <c r="U2205" s="29">
        <v>31728.799999999999</v>
      </c>
      <c r="V2205" s="29">
        <v>0</v>
      </c>
      <c r="W2205" s="29">
        <v>1</v>
      </c>
      <c r="X2205" s="29">
        <v>317.28800000000001</v>
      </c>
      <c r="Y2205" s="29">
        <v>12519</v>
      </c>
      <c r="Z2205" s="29">
        <v>1001897</v>
      </c>
    </row>
    <row r="2206" spans="2:26" s="29" customFormat="1" ht="9">
      <c r="B2206" s="29">
        <v>1</v>
      </c>
      <c r="C2206" s="33">
        <v>325354</v>
      </c>
      <c r="D2206" s="29" t="s">
        <v>772</v>
      </c>
      <c r="E2206" s="29" t="s">
        <v>448</v>
      </c>
      <c r="F2206" s="263">
        <v>42458</v>
      </c>
      <c r="G2206" s="263">
        <v>42458</v>
      </c>
      <c r="H2206" s="29">
        <v>26888.81</v>
      </c>
      <c r="S2206" s="29">
        <v>0</v>
      </c>
      <c r="T2206" s="292">
        <v>4839.99</v>
      </c>
      <c r="U2206" s="29">
        <v>31728.799999999999</v>
      </c>
      <c r="V2206" s="29">
        <v>0</v>
      </c>
      <c r="W2206" s="29">
        <v>1</v>
      </c>
      <c r="X2206" s="29">
        <v>317.28800000000001</v>
      </c>
      <c r="Y2206" s="29">
        <v>12519</v>
      </c>
      <c r="Z2206" s="29">
        <v>1001897</v>
      </c>
    </row>
    <row r="2207" spans="2:26" s="29" customFormat="1" ht="9">
      <c r="B2207" s="29">
        <v>1</v>
      </c>
      <c r="C2207" s="33">
        <v>325354</v>
      </c>
      <c r="D2207" s="29" t="s">
        <v>772</v>
      </c>
      <c r="E2207" s="29" t="s">
        <v>448</v>
      </c>
      <c r="F2207" s="263">
        <v>42458</v>
      </c>
      <c r="G2207" s="263">
        <v>42458</v>
      </c>
      <c r="H2207" s="29">
        <v>26888.81</v>
      </c>
      <c r="S2207" s="29">
        <v>0</v>
      </c>
      <c r="T2207" s="292">
        <v>4839.99</v>
      </c>
      <c r="U2207" s="29">
        <v>31728.799999999999</v>
      </c>
      <c r="V2207" s="29">
        <v>0</v>
      </c>
      <c r="W2207" s="29">
        <v>1</v>
      </c>
      <c r="X2207" s="29">
        <v>317.28800000000001</v>
      </c>
      <c r="Y2207" s="29">
        <v>12519</v>
      </c>
      <c r="Z2207" s="29">
        <v>1001897</v>
      </c>
    </row>
    <row r="2210" spans="1:26">
      <c r="C2210" s="59"/>
      <c r="D2210" s="59"/>
      <c r="E2210" s="59" t="s">
        <v>806</v>
      </c>
      <c r="F2210" s="59"/>
      <c r="G2210" s="59"/>
      <c r="H2210" s="59"/>
      <c r="I2210" s="59"/>
      <c r="J2210" s="59"/>
      <c r="K2210" s="293"/>
    </row>
    <row r="2211" spans="1:26">
      <c r="C2211" s="59"/>
      <c r="D2211" s="59"/>
      <c r="E2211" s="59"/>
      <c r="F2211" s="59"/>
      <c r="G2211" s="59"/>
      <c r="H2211" s="59"/>
      <c r="I2211" s="59"/>
      <c r="J2211" s="59"/>
      <c r="K2211" s="293"/>
    </row>
    <row r="2212" spans="1:26">
      <c r="A2212" s="29" t="s">
        <v>45</v>
      </c>
      <c r="B2212" s="264" t="s">
        <v>369</v>
      </c>
      <c r="C2212" s="264" t="s">
        <v>370</v>
      </c>
      <c r="D2212" s="264" t="s">
        <v>371</v>
      </c>
      <c r="E2212" s="264" t="s">
        <v>372</v>
      </c>
      <c r="F2212" s="264" t="s">
        <v>373</v>
      </c>
      <c r="G2212" s="264" t="s">
        <v>393</v>
      </c>
      <c r="H2212" s="264" t="s">
        <v>375</v>
      </c>
      <c r="I2212" s="264" t="s">
        <v>376</v>
      </c>
      <c r="J2212" s="294" t="s">
        <v>377</v>
      </c>
      <c r="K2212" s="264" t="s">
        <v>378</v>
      </c>
      <c r="L2212" s="29" t="s">
        <v>771</v>
      </c>
    </row>
    <row r="2213" spans="1:26">
      <c r="A2213" s="29">
        <v>1</v>
      </c>
      <c r="B2213" s="111">
        <v>1</v>
      </c>
      <c r="C2213" s="111">
        <v>319158</v>
      </c>
      <c r="D2213" s="111" t="s">
        <v>767</v>
      </c>
      <c r="E2213" s="111" t="s">
        <v>448</v>
      </c>
      <c r="F2213" s="265">
        <v>42376</v>
      </c>
      <c r="G2213" s="265">
        <v>42464</v>
      </c>
      <c r="H2213" s="266">
        <v>100.68</v>
      </c>
      <c r="I2213" s="266">
        <f t="shared" ref="I2213:I2244" si="187">X2213/1.18</f>
        <v>0</v>
      </c>
      <c r="J2213" s="266">
        <v>0</v>
      </c>
      <c r="K2213" s="266">
        <f t="shared" ref="K2213:K2244" si="188">(H2213-I2213)*J2213%</f>
        <v>0</v>
      </c>
      <c r="L2213" s="29">
        <f t="shared" ref="L2213:L2244" si="189">G2213-F2213</f>
        <v>88</v>
      </c>
      <c r="U2213" s="29">
        <v>0</v>
      </c>
      <c r="V2213" s="292">
        <v>18.12</v>
      </c>
      <c r="W2213" s="29">
        <v>118.8</v>
      </c>
      <c r="X2213" s="29">
        <v>0</v>
      </c>
      <c r="Y2213" s="29">
        <v>1</v>
      </c>
      <c r="Z2213" s="29">
        <v>1.1879999999999999</v>
      </c>
    </row>
    <row r="2214" spans="1:26">
      <c r="A2214" s="29">
        <v>2</v>
      </c>
      <c r="B2214" s="111">
        <v>1</v>
      </c>
      <c r="C2214" s="111">
        <v>319698</v>
      </c>
      <c r="D2214" s="111" t="s">
        <v>800</v>
      </c>
      <c r="E2214" s="111" t="s">
        <v>448</v>
      </c>
      <c r="F2214" s="265">
        <v>42384</v>
      </c>
      <c r="G2214" s="265">
        <v>42467</v>
      </c>
      <c r="H2214" s="266">
        <v>154.81</v>
      </c>
      <c r="I2214" s="266">
        <f t="shared" si="187"/>
        <v>0</v>
      </c>
      <c r="J2214" s="266">
        <v>0</v>
      </c>
      <c r="K2214" s="266">
        <f t="shared" si="188"/>
        <v>0</v>
      </c>
      <c r="L2214" s="29">
        <f t="shared" si="189"/>
        <v>83</v>
      </c>
      <c r="U2214" s="29">
        <v>0</v>
      </c>
      <c r="V2214" s="292">
        <v>27.87</v>
      </c>
      <c r="W2214" s="29">
        <v>182.68</v>
      </c>
      <c r="X2214" s="29">
        <v>0</v>
      </c>
      <c r="Y2214" s="29">
        <v>1</v>
      </c>
      <c r="Z2214" s="29">
        <v>1.8268</v>
      </c>
    </row>
    <row r="2215" spans="1:26">
      <c r="A2215" s="29">
        <v>3</v>
      </c>
      <c r="B2215" s="111">
        <v>1</v>
      </c>
      <c r="C2215" s="111">
        <v>319752</v>
      </c>
      <c r="D2215" s="111" t="s">
        <v>800</v>
      </c>
      <c r="E2215" s="111" t="s">
        <v>448</v>
      </c>
      <c r="F2215" s="265">
        <v>42385</v>
      </c>
      <c r="G2215" s="265">
        <v>42467</v>
      </c>
      <c r="H2215" s="266">
        <v>119.97</v>
      </c>
      <c r="I2215" s="266">
        <f t="shared" si="187"/>
        <v>0</v>
      </c>
      <c r="J2215" s="266">
        <v>0</v>
      </c>
      <c r="K2215" s="266">
        <f t="shared" si="188"/>
        <v>0</v>
      </c>
      <c r="L2215" s="29">
        <f t="shared" si="189"/>
        <v>82</v>
      </c>
      <c r="U2215" s="29">
        <v>0</v>
      </c>
      <c r="V2215" s="292">
        <v>21.59</v>
      </c>
      <c r="W2215" s="29">
        <v>141.56</v>
      </c>
      <c r="X2215" s="29">
        <v>0</v>
      </c>
      <c r="Y2215" s="29">
        <v>1</v>
      </c>
      <c r="Z2215" s="29">
        <v>1.4156</v>
      </c>
    </row>
    <row r="2216" spans="1:26">
      <c r="A2216" s="29">
        <v>4</v>
      </c>
      <c r="B2216" s="111">
        <v>1</v>
      </c>
      <c r="C2216" s="111">
        <v>319962</v>
      </c>
      <c r="D2216" s="111" t="s">
        <v>800</v>
      </c>
      <c r="E2216" s="111" t="s">
        <v>448</v>
      </c>
      <c r="F2216" s="265">
        <v>42389</v>
      </c>
      <c r="G2216" s="265">
        <v>42467</v>
      </c>
      <c r="H2216" s="266">
        <v>1620.42</v>
      </c>
      <c r="I2216" s="266">
        <f t="shared" si="187"/>
        <v>0</v>
      </c>
      <c r="J2216" s="266">
        <v>0</v>
      </c>
      <c r="K2216" s="266">
        <f t="shared" si="188"/>
        <v>0</v>
      </c>
      <c r="L2216" s="29">
        <f t="shared" si="189"/>
        <v>78</v>
      </c>
      <c r="U2216" s="29">
        <v>0</v>
      </c>
      <c r="V2216" s="292">
        <v>291.68</v>
      </c>
      <c r="W2216" s="29">
        <v>1912.1</v>
      </c>
      <c r="X2216" s="29">
        <v>0</v>
      </c>
      <c r="Y2216" s="29">
        <v>1</v>
      </c>
      <c r="Z2216" s="29">
        <v>19.120999999999999</v>
      </c>
    </row>
    <row r="2217" spans="1:26">
      <c r="A2217" s="29">
        <v>5</v>
      </c>
      <c r="B2217" s="111">
        <v>1</v>
      </c>
      <c r="C2217" s="111">
        <v>320050</v>
      </c>
      <c r="D2217" s="111" t="s">
        <v>800</v>
      </c>
      <c r="E2217" s="111" t="s">
        <v>448</v>
      </c>
      <c r="F2217" s="265">
        <v>42390</v>
      </c>
      <c r="G2217" s="265">
        <v>42467</v>
      </c>
      <c r="H2217" s="266">
        <v>1244.6400000000001</v>
      </c>
      <c r="I2217" s="266">
        <f t="shared" si="187"/>
        <v>0</v>
      </c>
      <c r="J2217" s="266">
        <v>0</v>
      </c>
      <c r="K2217" s="266">
        <f t="shared" si="188"/>
        <v>0</v>
      </c>
      <c r="L2217" s="29">
        <f t="shared" si="189"/>
        <v>77</v>
      </c>
      <c r="U2217" s="29">
        <v>0</v>
      </c>
      <c r="V2217" s="292">
        <v>224.04</v>
      </c>
      <c r="W2217" s="29">
        <v>1468.68</v>
      </c>
      <c r="X2217" s="29">
        <v>0</v>
      </c>
      <c r="Y2217" s="29">
        <v>1</v>
      </c>
      <c r="Z2217" s="29">
        <v>14.6868</v>
      </c>
    </row>
    <row r="2218" spans="1:26">
      <c r="A2218" s="29">
        <v>6</v>
      </c>
      <c r="B2218" s="111">
        <v>1</v>
      </c>
      <c r="C2218" s="111">
        <v>320054</v>
      </c>
      <c r="D2218" s="111" t="s">
        <v>767</v>
      </c>
      <c r="E2218" s="111" t="s">
        <v>448</v>
      </c>
      <c r="F2218" s="265">
        <v>42390</v>
      </c>
      <c r="G2218" s="265">
        <v>42464</v>
      </c>
      <c r="H2218" s="266">
        <v>65.61</v>
      </c>
      <c r="I2218" s="266">
        <f t="shared" si="187"/>
        <v>0</v>
      </c>
      <c r="J2218" s="266">
        <v>1</v>
      </c>
      <c r="K2218" s="266">
        <f t="shared" si="188"/>
        <v>0.65610000000000002</v>
      </c>
      <c r="L2218" s="29">
        <f t="shared" si="189"/>
        <v>74</v>
      </c>
      <c r="U2218" s="29">
        <v>0</v>
      </c>
      <c r="V2218" s="292">
        <v>11.81</v>
      </c>
      <c r="W2218" s="29">
        <v>77.42</v>
      </c>
      <c r="X2218" s="29">
        <v>0</v>
      </c>
      <c r="Y2218" s="29">
        <v>1</v>
      </c>
      <c r="Z2218" s="29">
        <v>0.7742</v>
      </c>
    </row>
    <row r="2219" spans="1:26">
      <c r="A2219" s="29">
        <v>7</v>
      </c>
      <c r="B2219" s="111">
        <v>1</v>
      </c>
      <c r="C2219" s="111">
        <v>320104</v>
      </c>
      <c r="D2219" s="111" t="s">
        <v>772</v>
      </c>
      <c r="E2219" s="111" t="s">
        <v>448</v>
      </c>
      <c r="F2219" s="265">
        <v>42390</v>
      </c>
      <c r="G2219" s="265">
        <v>42486</v>
      </c>
      <c r="H2219" s="266">
        <v>31134.400000000001</v>
      </c>
      <c r="I2219" s="266">
        <f t="shared" si="187"/>
        <v>0</v>
      </c>
      <c r="J2219" s="266">
        <v>0.5</v>
      </c>
      <c r="K2219" s="266">
        <f t="shared" si="188"/>
        <v>155.672</v>
      </c>
      <c r="L2219" s="29">
        <f t="shared" si="189"/>
        <v>96</v>
      </c>
      <c r="U2219" s="29">
        <v>0</v>
      </c>
      <c r="V2219" s="292">
        <v>5604.19</v>
      </c>
      <c r="W2219" s="29">
        <v>36738.589999999997</v>
      </c>
      <c r="X2219" s="29">
        <v>0</v>
      </c>
      <c r="Y2219" s="29">
        <v>1</v>
      </c>
      <c r="Z2219" s="29">
        <v>367.38589999999999</v>
      </c>
    </row>
    <row r="2220" spans="1:26">
      <c r="A2220" s="29">
        <v>8</v>
      </c>
      <c r="B2220" s="111">
        <v>1</v>
      </c>
      <c r="C2220" s="111">
        <v>320289</v>
      </c>
      <c r="D2220" s="111" t="s">
        <v>800</v>
      </c>
      <c r="E2220" s="111" t="s">
        <v>448</v>
      </c>
      <c r="F2220" s="265">
        <v>42394</v>
      </c>
      <c r="G2220" s="265">
        <v>42467</v>
      </c>
      <c r="H2220" s="266">
        <v>305.23</v>
      </c>
      <c r="I2220" s="266">
        <f t="shared" si="187"/>
        <v>0</v>
      </c>
      <c r="J2220" s="266">
        <v>1</v>
      </c>
      <c r="K2220" s="266">
        <f t="shared" si="188"/>
        <v>3.0523000000000002</v>
      </c>
      <c r="L2220" s="29">
        <f t="shared" si="189"/>
        <v>73</v>
      </c>
      <c r="U2220" s="29">
        <v>0</v>
      </c>
      <c r="V2220" s="292">
        <v>54.94</v>
      </c>
      <c r="W2220" s="29">
        <v>360.17</v>
      </c>
      <c r="X2220" s="29">
        <v>0</v>
      </c>
      <c r="Y2220" s="29">
        <v>1</v>
      </c>
      <c r="Z2220" s="29">
        <v>3.6017000000000001</v>
      </c>
    </row>
    <row r="2221" spans="1:26">
      <c r="A2221" s="29">
        <v>9</v>
      </c>
      <c r="B2221" s="111">
        <v>1</v>
      </c>
      <c r="C2221" s="111">
        <v>320530</v>
      </c>
      <c r="D2221" s="111" t="s">
        <v>800</v>
      </c>
      <c r="E2221" s="111" t="s">
        <v>448</v>
      </c>
      <c r="F2221" s="265">
        <v>42397</v>
      </c>
      <c r="G2221" s="265">
        <v>42476</v>
      </c>
      <c r="H2221" s="266">
        <v>225.61</v>
      </c>
      <c r="I2221" s="266">
        <f t="shared" si="187"/>
        <v>0</v>
      </c>
      <c r="J2221" s="266">
        <v>0</v>
      </c>
      <c r="K2221" s="266">
        <f t="shared" si="188"/>
        <v>0</v>
      </c>
      <c r="L2221" s="29">
        <f t="shared" si="189"/>
        <v>79</v>
      </c>
      <c r="U2221" s="29">
        <v>0</v>
      </c>
      <c r="V2221" s="292">
        <v>40.61</v>
      </c>
      <c r="W2221" s="29">
        <v>266.22000000000003</v>
      </c>
      <c r="X2221" s="29">
        <v>0</v>
      </c>
      <c r="Y2221" s="29">
        <v>1</v>
      </c>
      <c r="Z2221" s="29">
        <v>2.6621999999999999</v>
      </c>
    </row>
    <row r="2222" spans="1:26">
      <c r="A2222" s="29">
        <v>10</v>
      </c>
      <c r="B2222" s="111">
        <v>1</v>
      </c>
      <c r="C2222" s="111">
        <v>321138</v>
      </c>
      <c r="D2222" s="111" t="s">
        <v>800</v>
      </c>
      <c r="E2222" s="111" t="s">
        <v>448</v>
      </c>
      <c r="F2222" s="265">
        <v>42403</v>
      </c>
      <c r="G2222" s="265">
        <v>42476</v>
      </c>
      <c r="H2222" s="266">
        <v>102.01</v>
      </c>
      <c r="I2222" s="266">
        <f t="shared" si="187"/>
        <v>0</v>
      </c>
      <c r="J2222" s="266">
        <v>1</v>
      </c>
      <c r="K2222" s="266">
        <f t="shared" si="188"/>
        <v>1.0201</v>
      </c>
      <c r="L2222" s="29">
        <f t="shared" si="189"/>
        <v>73</v>
      </c>
      <c r="U2222" s="29">
        <v>0</v>
      </c>
      <c r="V2222" s="292">
        <v>18.36</v>
      </c>
      <c r="W2222" s="29">
        <v>120.37</v>
      </c>
      <c r="X2222" s="29">
        <v>0</v>
      </c>
      <c r="Y2222" s="29">
        <v>1</v>
      </c>
      <c r="Z2222" s="29">
        <v>1.2037</v>
      </c>
    </row>
    <row r="2223" spans="1:26">
      <c r="A2223" s="29">
        <v>11</v>
      </c>
      <c r="B2223" s="111">
        <v>1</v>
      </c>
      <c r="C2223" s="111">
        <v>321560</v>
      </c>
      <c r="D2223" s="111" t="s">
        <v>759</v>
      </c>
      <c r="E2223" s="111" t="s">
        <v>448</v>
      </c>
      <c r="F2223" s="265">
        <v>42409</v>
      </c>
      <c r="G2223" s="265">
        <v>42469</v>
      </c>
      <c r="H2223" s="266">
        <v>2727.69</v>
      </c>
      <c r="I2223" s="266">
        <f t="shared" si="187"/>
        <v>0</v>
      </c>
      <c r="J2223" s="266">
        <v>1</v>
      </c>
      <c r="K2223" s="266">
        <f t="shared" si="188"/>
        <v>27.276900000000001</v>
      </c>
      <c r="L2223" s="29">
        <f t="shared" si="189"/>
        <v>60</v>
      </c>
      <c r="U2223" s="29">
        <v>0</v>
      </c>
      <c r="V2223" s="292">
        <v>490.98</v>
      </c>
      <c r="W2223" s="29">
        <v>3218.67</v>
      </c>
      <c r="X2223" s="29">
        <v>0</v>
      </c>
      <c r="Y2223" s="29">
        <v>1</v>
      </c>
      <c r="Z2223" s="29">
        <v>32.186700000000002</v>
      </c>
    </row>
    <row r="2224" spans="1:26">
      <c r="A2224" s="29">
        <v>12</v>
      </c>
      <c r="B2224" s="111">
        <v>1</v>
      </c>
      <c r="C2224" s="111">
        <v>321616</v>
      </c>
      <c r="D2224" s="111" t="s">
        <v>759</v>
      </c>
      <c r="E2224" s="111" t="s">
        <v>448</v>
      </c>
      <c r="F2224" s="265">
        <v>42410</v>
      </c>
      <c r="G2224" s="265">
        <v>42469</v>
      </c>
      <c r="H2224" s="266">
        <v>2021.21</v>
      </c>
      <c r="I2224" s="266">
        <f t="shared" si="187"/>
        <v>0</v>
      </c>
      <c r="J2224" s="266">
        <v>1</v>
      </c>
      <c r="K2224" s="266">
        <f t="shared" si="188"/>
        <v>20.2121</v>
      </c>
      <c r="L2224" s="29">
        <f t="shared" si="189"/>
        <v>59</v>
      </c>
      <c r="U2224" s="29">
        <v>0</v>
      </c>
      <c r="V2224" s="292">
        <v>363.82</v>
      </c>
      <c r="W2224" s="29">
        <v>2385.0300000000002</v>
      </c>
      <c r="X2224" s="29">
        <v>0</v>
      </c>
      <c r="Y2224" s="29">
        <v>1</v>
      </c>
      <c r="Z2224" s="29">
        <v>23.850300000000001</v>
      </c>
    </row>
    <row r="2225" spans="1:26">
      <c r="A2225" s="29">
        <v>13</v>
      </c>
      <c r="B2225" s="111">
        <v>1</v>
      </c>
      <c r="C2225" s="111">
        <v>321781</v>
      </c>
      <c r="D2225" s="111" t="s">
        <v>759</v>
      </c>
      <c r="E2225" s="111" t="s">
        <v>448</v>
      </c>
      <c r="F2225" s="265">
        <v>42411</v>
      </c>
      <c r="G2225" s="265">
        <v>42469</v>
      </c>
      <c r="H2225" s="266">
        <v>1436.75</v>
      </c>
      <c r="I2225" s="266">
        <f t="shared" si="187"/>
        <v>0</v>
      </c>
      <c r="J2225" s="266">
        <v>1</v>
      </c>
      <c r="K2225" s="266">
        <f t="shared" si="188"/>
        <v>14.3675</v>
      </c>
      <c r="L2225" s="29">
        <f t="shared" si="189"/>
        <v>58</v>
      </c>
      <c r="U2225" s="29">
        <v>0</v>
      </c>
      <c r="V2225" s="292">
        <v>258.62</v>
      </c>
      <c r="W2225" s="29">
        <v>1695.37</v>
      </c>
      <c r="X2225" s="29">
        <v>0</v>
      </c>
      <c r="Y2225" s="29">
        <v>1</v>
      </c>
      <c r="Z2225" s="29">
        <v>16.953700000000001</v>
      </c>
    </row>
    <row r="2226" spans="1:26">
      <c r="A2226" s="29">
        <v>14</v>
      </c>
      <c r="B2226" s="111">
        <v>1</v>
      </c>
      <c r="C2226" s="111">
        <v>321817</v>
      </c>
      <c r="D2226" s="111" t="s">
        <v>759</v>
      </c>
      <c r="E2226" s="111" t="s">
        <v>448</v>
      </c>
      <c r="F2226" s="265">
        <v>42412</v>
      </c>
      <c r="G2226" s="265">
        <v>42469</v>
      </c>
      <c r="H2226" s="266">
        <v>8061.66</v>
      </c>
      <c r="I2226" s="266">
        <f t="shared" si="187"/>
        <v>0</v>
      </c>
      <c r="J2226" s="266">
        <v>1</v>
      </c>
      <c r="K2226" s="266">
        <f t="shared" si="188"/>
        <v>80.616600000000005</v>
      </c>
      <c r="L2226" s="29">
        <f t="shared" si="189"/>
        <v>57</v>
      </c>
      <c r="U2226" s="29">
        <v>0</v>
      </c>
      <c r="V2226" s="292">
        <v>1451.1</v>
      </c>
      <c r="W2226" s="29">
        <v>9512.76</v>
      </c>
      <c r="X2226" s="29">
        <v>0</v>
      </c>
      <c r="Y2226" s="29">
        <v>1</v>
      </c>
      <c r="Z2226" s="29">
        <v>95.127600000000001</v>
      </c>
    </row>
    <row r="2227" spans="1:26">
      <c r="A2227" s="29">
        <v>15</v>
      </c>
      <c r="B2227" s="111">
        <v>1</v>
      </c>
      <c r="C2227" s="111">
        <v>321831</v>
      </c>
      <c r="D2227" s="111" t="s">
        <v>759</v>
      </c>
      <c r="E2227" s="111" t="s">
        <v>448</v>
      </c>
      <c r="F2227" s="265">
        <v>42412</v>
      </c>
      <c r="G2227" s="265">
        <v>42469</v>
      </c>
      <c r="H2227" s="266">
        <v>989.04</v>
      </c>
      <c r="I2227" s="266">
        <f t="shared" si="187"/>
        <v>0</v>
      </c>
      <c r="J2227" s="266">
        <v>1</v>
      </c>
      <c r="K2227" s="266">
        <f t="shared" si="188"/>
        <v>9.8903999999999996</v>
      </c>
      <c r="L2227" s="29">
        <f t="shared" si="189"/>
        <v>57</v>
      </c>
      <c r="U2227" s="29">
        <v>0</v>
      </c>
      <c r="V2227" s="292">
        <v>178.03</v>
      </c>
      <c r="W2227" s="29">
        <v>1167.07</v>
      </c>
      <c r="X2227" s="29">
        <v>0</v>
      </c>
      <c r="Y2227" s="29">
        <v>1</v>
      </c>
      <c r="Z2227" s="29">
        <v>11.6707</v>
      </c>
    </row>
    <row r="2228" spans="1:26">
      <c r="A2228" s="29">
        <v>16</v>
      </c>
      <c r="B2228" s="111">
        <v>1</v>
      </c>
      <c r="C2228" s="111">
        <v>321914</v>
      </c>
      <c r="D2228" s="111" t="s">
        <v>759</v>
      </c>
      <c r="E2228" s="111" t="s">
        <v>448</v>
      </c>
      <c r="F2228" s="265">
        <v>42413</v>
      </c>
      <c r="G2228" s="265">
        <v>42469</v>
      </c>
      <c r="H2228" s="266">
        <v>2900.69</v>
      </c>
      <c r="I2228" s="266">
        <f t="shared" si="187"/>
        <v>0</v>
      </c>
      <c r="J2228" s="266">
        <v>1</v>
      </c>
      <c r="K2228" s="266">
        <f t="shared" si="188"/>
        <v>29.006900000000002</v>
      </c>
      <c r="L2228" s="29">
        <f t="shared" si="189"/>
        <v>56</v>
      </c>
      <c r="U2228" s="29">
        <v>0</v>
      </c>
      <c r="V2228" s="292">
        <v>522.12</v>
      </c>
      <c r="W2228" s="29">
        <v>3422.81</v>
      </c>
      <c r="X2228" s="29">
        <v>0</v>
      </c>
      <c r="Y2228" s="29">
        <v>1</v>
      </c>
      <c r="Z2228" s="29">
        <v>34.228099999999998</v>
      </c>
    </row>
    <row r="2229" spans="1:26">
      <c r="A2229" s="29">
        <v>17</v>
      </c>
      <c r="B2229" s="111">
        <v>1</v>
      </c>
      <c r="C2229" s="111">
        <v>322194</v>
      </c>
      <c r="D2229" s="111" t="s">
        <v>759</v>
      </c>
      <c r="E2229" s="111" t="s">
        <v>448</v>
      </c>
      <c r="F2229" s="265">
        <v>42417</v>
      </c>
      <c r="G2229" s="265">
        <v>42475</v>
      </c>
      <c r="H2229" s="266">
        <v>4421.53</v>
      </c>
      <c r="I2229" s="266">
        <f t="shared" si="187"/>
        <v>0</v>
      </c>
      <c r="J2229" s="266">
        <v>1</v>
      </c>
      <c r="K2229" s="266">
        <f t="shared" si="188"/>
        <v>44.215299999999999</v>
      </c>
      <c r="L2229" s="29">
        <f t="shared" si="189"/>
        <v>58</v>
      </c>
      <c r="U2229" s="29">
        <v>0</v>
      </c>
      <c r="V2229" s="292">
        <v>795.88</v>
      </c>
      <c r="W2229" s="29">
        <v>5217.41</v>
      </c>
      <c r="X2229" s="29">
        <v>0</v>
      </c>
      <c r="Y2229" s="29">
        <v>1</v>
      </c>
      <c r="Z2229" s="29">
        <v>52.174100000000003</v>
      </c>
    </row>
    <row r="2230" spans="1:26">
      <c r="A2230" s="29">
        <v>18</v>
      </c>
      <c r="B2230" s="111">
        <v>1</v>
      </c>
      <c r="C2230" s="111">
        <v>322445</v>
      </c>
      <c r="D2230" s="111" t="s">
        <v>759</v>
      </c>
      <c r="E2230" s="111" t="s">
        <v>448</v>
      </c>
      <c r="F2230" s="265">
        <v>42420</v>
      </c>
      <c r="G2230" s="265">
        <v>42485</v>
      </c>
      <c r="H2230" s="266">
        <v>2326.38</v>
      </c>
      <c r="I2230" s="266">
        <f t="shared" si="187"/>
        <v>0</v>
      </c>
      <c r="J2230" s="266">
        <v>1</v>
      </c>
      <c r="K2230" s="266">
        <f t="shared" si="188"/>
        <v>23.2638</v>
      </c>
      <c r="L2230" s="29">
        <f t="shared" si="189"/>
        <v>65</v>
      </c>
      <c r="U2230" s="29">
        <v>0</v>
      </c>
      <c r="V2230" s="292">
        <v>418.75</v>
      </c>
      <c r="W2230" s="29">
        <v>2745.13</v>
      </c>
      <c r="X2230" s="29">
        <v>0</v>
      </c>
      <c r="Y2230" s="29">
        <v>1</v>
      </c>
      <c r="Z2230" s="29">
        <v>27.4513</v>
      </c>
    </row>
    <row r="2231" spans="1:26">
      <c r="A2231" s="29">
        <v>19</v>
      </c>
      <c r="B2231" s="111">
        <v>1</v>
      </c>
      <c r="C2231" s="111">
        <v>322487</v>
      </c>
      <c r="D2231" s="111" t="s">
        <v>759</v>
      </c>
      <c r="E2231" s="111" t="s">
        <v>448</v>
      </c>
      <c r="F2231" s="265">
        <v>42422</v>
      </c>
      <c r="G2231" s="265">
        <v>42475</v>
      </c>
      <c r="H2231" s="266">
        <v>3569.09</v>
      </c>
      <c r="I2231" s="266">
        <f t="shared" si="187"/>
        <v>0</v>
      </c>
      <c r="J2231" s="266">
        <v>1</v>
      </c>
      <c r="K2231" s="266">
        <f t="shared" si="188"/>
        <v>35.690899999999999</v>
      </c>
      <c r="L2231" s="29">
        <f t="shared" si="189"/>
        <v>53</v>
      </c>
      <c r="U2231" s="29">
        <v>0</v>
      </c>
      <c r="V2231" s="292">
        <v>642.44000000000005</v>
      </c>
      <c r="W2231" s="29">
        <v>4211.53</v>
      </c>
      <c r="X2231" s="29">
        <v>0</v>
      </c>
      <c r="Y2231" s="29">
        <v>1</v>
      </c>
      <c r="Z2231" s="29">
        <v>42.115299999999998</v>
      </c>
    </row>
    <row r="2232" spans="1:26">
      <c r="A2232" s="29">
        <v>20</v>
      </c>
      <c r="B2232" s="111">
        <v>1</v>
      </c>
      <c r="C2232" s="111">
        <v>322560</v>
      </c>
      <c r="D2232" s="111" t="s">
        <v>759</v>
      </c>
      <c r="E2232" s="111" t="s">
        <v>448</v>
      </c>
      <c r="F2232" s="265">
        <v>42423</v>
      </c>
      <c r="G2232" s="265">
        <v>42475</v>
      </c>
      <c r="H2232" s="266">
        <v>176.24</v>
      </c>
      <c r="I2232" s="266">
        <f t="shared" si="187"/>
        <v>0</v>
      </c>
      <c r="J2232" s="266">
        <v>1</v>
      </c>
      <c r="K2232" s="266">
        <f t="shared" si="188"/>
        <v>1.7624000000000002</v>
      </c>
      <c r="L2232" s="29">
        <f t="shared" si="189"/>
        <v>52</v>
      </c>
      <c r="U2232" s="29">
        <v>0</v>
      </c>
      <c r="V2232" s="292">
        <v>31.72</v>
      </c>
      <c r="W2232" s="29">
        <v>207.96</v>
      </c>
      <c r="X2232" s="29">
        <v>0</v>
      </c>
      <c r="Y2232" s="29">
        <v>1</v>
      </c>
      <c r="Z2232" s="29">
        <v>2.0796000000000001</v>
      </c>
    </row>
    <row r="2233" spans="1:26">
      <c r="A2233" s="29">
        <v>21</v>
      </c>
      <c r="B2233" s="111">
        <v>1</v>
      </c>
      <c r="C2233" s="111">
        <v>322753</v>
      </c>
      <c r="D2233" s="111" t="s">
        <v>759</v>
      </c>
      <c r="E2233" s="111" t="s">
        <v>448</v>
      </c>
      <c r="F2233" s="265">
        <v>42425</v>
      </c>
      <c r="G2233" s="265">
        <v>42475</v>
      </c>
      <c r="H2233" s="266">
        <v>885.07</v>
      </c>
      <c r="I2233" s="266">
        <f t="shared" si="187"/>
        <v>0</v>
      </c>
      <c r="J2233" s="266">
        <v>1</v>
      </c>
      <c r="K2233" s="266">
        <f t="shared" si="188"/>
        <v>8.8507000000000016</v>
      </c>
      <c r="L2233" s="29">
        <f t="shared" si="189"/>
        <v>50</v>
      </c>
      <c r="U2233" s="29">
        <v>0</v>
      </c>
      <c r="V2233" s="292">
        <v>159.31</v>
      </c>
      <c r="W2233" s="29">
        <v>1044.3800000000001</v>
      </c>
      <c r="X2233" s="29">
        <v>0</v>
      </c>
      <c r="Y2233" s="29">
        <v>1</v>
      </c>
      <c r="Z2233" s="29">
        <v>10.4438</v>
      </c>
    </row>
    <row r="2234" spans="1:26">
      <c r="A2234" s="29">
        <v>22</v>
      </c>
      <c r="B2234" s="111">
        <v>1</v>
      </c>
      <c r="C2234" s="111">
        <v>322698</v>
      </c>
      <c r="D2234" s="111" t="s">
        <v>759</v>
      </c>
      <c r="E2234" s="111" t="s">
        <v>448</v>
      </c>
      <c r="F2234" s="265">
        <v>42424</v>
      </c>
      <c r="G2234" s="265">
        <v>42475</v>
      </c>
      <c r="H2234" s="266">
        <v>909.23</v>
      </c>
      <c r="I2234" s="266">
        <f t="shared" si="187"/>
        <v>0</v>
      </c>
      <c r="J2234" s="266">
        <v>1</v>
      </c>
      <c r="K2234" s="266">
        <f t="shared" si="188"/>
        <v>9.0922999999999998</v>
      </c>
      <c r="L2234" s="29">
        <f t="shared" si="189"/>
        <v>51</v>
      </c>
      <c r="U2234" s="29">
        <v>0</v>
      </c>
      <c r="V2234" s="292">
        <v>163.66</v>
      </c>
      <c r="W2234" s="29">
        <v>1072.8900000000001</v>
      </c>
      <c r="X2234" s="29">
        <v>0</v>
      </c>
      <c r="Y2234" s="29">
        <v>1</v>
      </c>
      <c r="Z2234" s="29">
        <v>10.728899999999999</v>
      </c>
    </row>
    <row r="2235" spans="1:26">
      <c r="A2235" s="29">
        <v>23</v>
      </c>
      <c r="B2235" s="111">
        <v>1</v>
      </c>
      <c r="C2235" s="111">
        <v>322962</v>
      </c>
      <c r="D2235" s="111" t="s">
        <v>759</v>
      </c>
      <c r="E2235" s="111" t="s">
        <v>448</v>
      </c>
      <c r="F2235" s="265">
        <v>42427</v>
      </c>
      <c r="G2235" s="265">
        <v>42475</v>
      </c>
      <c r="H2235" s="266">
        <v>406.45</v>
      </c>
      <c r="I2235" s="266">
        <f t="shared" si="187"/>
        <v>0</v>
      </c>
      <c r="J2235" s="266">
        <v>1</v>
      </c>
      <c r="K2235" s="266">
        <f t="shared" si="188"/>
        <v>4.0644999999999998</v>
      </c>
      <c r="L2235" s="29">
        <f t="shared" si="189"/>
        <v>48</v>
      </c>
      <c r="U2235" s="29">
        <v>0</v>
      </c>
      <c r="V2235" s="292">
        <v>73.16</v>
      </c>
      <c r="W2235" s="29">
        <v>479.61</v>
      </c>
      <c r="X2235" s="29">
        <v>0</v>
      </c>
      <c r="Y2235" s="29">
        <v>1</v>
      </c>
      <c r="Z2235" s="29">
        <v>4.7961</v>
      </c>
    </row>
    <row r="2236" spans="1:26">
      <c r="A2236" s="29">
        <v>24</v>
      </c>
      <c r="B2236" s="111">
        <v>1</v>
      </c>
      <c r="C2236" s="111">
        <v>323291</v>
      </c>
      <c r="D2236" s="111" t="s">
        <v>759</v>
      </c>
      <c r="E2236" s="111" t="s">
        <v>448</v>
      </c>
      <c r="F2236" s="265">
        <v>42430</v>
      </c>
      <c r="G2236" s="265">
        <v>42475</v>
      </c>
      <c r="H2236" s="266">
        <v>1644.65</v>
      </c>
      <c r="I2236" s="266">
        <f t="shared" si="187"/>
        <v>0</v>
      </c>
      <c r="J2236" s="266">
        <v>1</v>
      </c>
      <c r="K2236" s="266">
        <f t="shared" si="188"/>
        <v>16.4465</v>
      </c>
      <c r="L2236" s="29">
        <f t="shared" si="189"/>
        <v>45</v>
      </c>
      <c r="U2236" s="29">
        <v>0</v>
      </c>
      <c r="V2236" s="292">
        <v>296.04000000000002</v>
      </c>
      <c r="W2236" s="29">
        <v>1940.69</v>
      </c>
      <c r="X2236" s="29">
        <v>0</v>
      </c>
      <c r="Y2236" s="29">
        <v>1</v>
      </c>
      <c r="Z2236" s="29">
        <v>19.4069</v>
      </c>
    </row>
    <row r="2237" spans="1:26">
      <c r="A2237" s="29">
        <v>25</v>
      </c>
      <c r="B2237" s="111">
        <v>1</v>
      </c>
      <c r="C2237" s="111">
        <v>323289</v>
      </c>
      <c r="D2237" s="111" t="s">
        <v>767</v>
      </c>
      <c r="E2237" s="111" t="s">
        <v>448</v>
      </c>
      <c r="F2237" s="265">
        <v>42430</v>
      </c>
      <c r="G2237" s="265">
        <v>42464</v>
      </c>
      <c r="H2237" s="266">
        <v>232.76</v>
      </c>
      <c r="I2237" s="266">
        <f t="shared" si="187"/>
        <v>0</v>
      </c>
      <c r="J2237" s="266">
        <v>1</v>
      </c>
      <c r="K2237" s="266">
        <f t="shared" si="188"/>
        <v>2.3275999999999999</v>
      </c>
      <c r="L2237" s="29">
        <f t="shared" si="189"/>
        <v>34</v>
      </c>
      <c r="U2237" s="29">
        <v>0</v>
      </c>
      <c r="V2237" s="292">
        <v>41.9</v>
      </c>
      <c r="W2237" s="29">
        <v>274.66000000000003</v>
      </c>
      <c r="X2237" s="29">
        <v>0</v>
      </c>
      <c r="Y2237" s="29">
        <v>1</v>
      </c>
      <c r="Z2237" s="29">
        <v>2.7465999999999999</v>
      </c>
    </row>
    <row r="2238" spans="1:26">
      <c r="A2238" s="29">
        <v>26</v>
      </c>
      <c r="B2238" s="111">
        <v>1</v>
      </c>
      <c r="C2238" s="111">
        <v>323288</v>
      </c>
      <c r="D2238" s="111" t="s">
        <v>759</v>
      </c>
      <c r="E2238" s="111" t="s">
        <v>448</v>
      </c>
      <c r="F2238" s="265">
        <v>42430</v>
      </c>
      <c r="G2238" s="265">
        <v>42475</v>
      </c>
      <c r="H2238" s="266">
        <v>1225.0999999999999</v>
      </c>
      <c r="I2238" s="266">
        <f t="shared" si="187"/>
        <v>0</v>
      </c>
      <c r="J2238" s="266">
        <v>1</v>
      </c>
      <c r="K2238" s="266">
        <f t="shared" si="188"/>
        <v>12.250999999999999</v>
      </c>
      <c r="L2238" s="29">
        <f t="shared" si="189"/>
        <v>45</v>
      </c>
      <c r="U2238" s="29">
        <v>0</v>
      </c>
      <c r="V2238" s="292">
        <v>220.52</v>
      </c>
      <c r="W2238" s="29">
        <v>1445.62</v>
      </c>
      <c r="X2238" s="29">
        <v>0</v>
      </c>
      <c r="Y2238" s="29">
        <v>1</v>
      </c>
      <c r="Z2238" s="29">
        <v>14.456200000000001</v>
      </c>
    </row>
    <row r="2239" spans="1:26">
      <c r="A2239" s="29">
        <v>27</v>
      </c>
      <c r="B2239" s="111">
        <v>1</v>
      </c>
      <c r="C2239" s="111">
        <v>323290</v>
      </c>
      <c r="D2239" s="111" t="s">
        <v>760</v>
      </c>
      <c r="E2239" s="111" t="s">
        <v>448</v>
      </c>
      <c r="F2239" s="265">
        <v>42430</v>
      </c>
      <c r="G2239" s="265">
        <v>42485</v>
      </c>
      <c r="H2239" s="266">
        <v>397.96</v>
      </c>
      <c r="I2239" s="266">
        <f t="shared" si="187"/>
        <v>0</v>
      </c>
      <c r="J2239" s="266">
        <v>1</v>
      </c>
      <c r="K2239" s="266">
        <f t="shared" si="188"/>
        <v>3.9796</v>
      </c>
      <c r="L2239" s="29">
        <f t="shared" si="189"/>
        <v>55</v>
      </c>
      <c r="U2239" s="29">
        <v>0</v>
      </c>
      <c r="V2239" s="292">
        <v>71.63</v>
      </c>
      <c r="W2239" s="29">
        <v>469.59</v>
      </c>
      <c r="X2239" s="29">
        <v>0</v>
      </c>
      <c r="Y2239" s="29">
        <v>1</v>
      </c>
      <c r="Z2239" s="29">
        <v>4.6959</v>
      </c>
    </row>
    <row r="2240" spans="1:26">
      <c r="A2240" s="29">
        <v>28</v>
      </c>
      <c r="B2240" s="111">
        <v>1</v>
      </c>
      <c r="C2240" s="111">
        <v>323292</v>
      </c>
      <c r="D2240" s="111" t="s">
        <v>759</v>
      </c>
      <c r="E2240" s="111" t="s">
        <v>448</v>
      </c>
      <c r="F2240" s="265">
        <v>42430</v>
      </c>
      <c r="G2240" s="265">
        <v>42485</v>
      </c>
      <c r="H2240" s="266">
        <v>775.46</v>
      </c>
      <c r="I2240" s="266">
        <f t="shared" si="187"/>
        <v>0</v>
      </c>
      <c r="J2240" s="266">
        <v>1</v>
      </c>
      <c r="K2240" s="266">
        <f t="shared" si="188"/>
        <v>7.7546000000000008</v>
      </c>
      <c r="L2240" s="29">
        <f t="shared" si="189"/>
        <v>55</v>
      </c>
      <c r="U2240" s="29">
        <v>0</v>
      </c>
      <c r="V2240" s="292">
        <v>139.58000000000001</v>
      </c>
      <c r="W2240" s="29">
        <v>915.04</v>
      </c>
      <c r="X2240" s="29">
        <v>0</v>
      </c>
      <c r="Y2240" s="29">
        <v>1</v>
      </c>
      <c r="Z2240" s="29">
        <v>9.1503999999999994</v>
      </c>
    </row>
    <row r="2241" spans="1:26">
      <c r="A2241" s="29">
        <v>29</v>
      </c>
      <c r="B2241" s="111">
        <v>1</v>
      </c>
      <c r="C2241" s="111">
        <v>323355</v>
      </c>
      <c r="D2241" s="111" t="s">
        <v>758</v>
      </c>
      <c r="E2241" s="111" t="s">
        <v>448</v>
      </c>
      <c r="F2241" s="265">
        <v>42430</v>
      </c>
      <c r="G2241" s="265">
        <v>42475</v>
      </c>
      <c r="H2241" s="266">
        <v>451.9</v>
      </c>
      <c r="I2241" s="266">
        <f t="shared" si="187"/>
        <v>0</v>
      </c>
      <c r="J2241" s="266">
        <v>1</v>
      </c>
      <c r="K2241" s="266">
        <f t="shared" si="188"/>
        <v>4.5190000000000001</v>
      </c>
      <c r="L2241" s="29">
        <f t="shared" si="189"/>
        <v>45</v>
      </c>
      <c r="U2241" s="29">
        <v>0</v>
      </c>
      <c r="V2241" s="292">
        <v>81.34</v>
      </c>
      <c r="W2241" s="29">
        <v>533.24</v>
      </c>
      <c r="X2241" s="29">
        <v>0</v>
      </c>
      <c r="Y2241" s="29">
        <v>1</v>
      </c>
      <c r="Z2241" s="29">
        <v>5.3323999999999998</v>
      </c>
    </row>
    <row r="2242" spans="1:26">
      <c r="A2242" s="29">
        <v>30</v>
      </c>
      <c r="B2242" s="111">
        <v>1</v>
      </c>
      <c r="C2242" s="111">
        <v>323533</v>
      </c>
      <c r="D2242" s="111" t="s">
        <v>759</v>
      </c>
      <c r="E2242" s="111" t="s">
        <v>448</v>
      </c>
      <c r="F2242" s="265">
        <v>42433</v>
      </c>
      <c r="G2242" s="265">
        <v>42485</v>
      </c>
      <c r="H2242" s="266">
        <v>1818.46</v>
      </c>
      <c r="I2242" s="266">
        <f t="shared" si="187"/>
        <v>0</v>
      </c>
      <c r="J2242" s="266">
        <v>1</v>
      </c>
      <c r="K2242" s="266">
        <f t="shared" si="188"/>
        <v>18.1846</v>
      </c>
      <c r="L2242" s="29">
        <f t="shared" si="189"/>
        <v>52</v>
      </c>
      <c r="U2242" s="29">
        <v>0</v>
      </c>
      <c r="V2242" s="292">
        <v>327.32</v>
      </c>
      <c r="W2242" s="29">
        <v>2145.7800000000002</v>
      </c>
      <c r="X2242" s="29">
        <v>0</v>
      </c>
      <c r="Y2242" s="29">
        <v>1</v>
      </c>
      <c r="Z2242" s="29">
        <v>21.457799999999999</v>
      </c>
    </row>
    <row r="2243" spans="1:26">
      <c r="A2243" s="29">
        <v>31</v>
      </c>
      <c r="B2243" s="111">
        <v>1</v>
      </c>
      <c r="C2243" s="111">
        <v>323407</v>
      </c>
      <c r="D2243" s="111" t="s">
        <v>757</v>
      </c>
      <c r="E2243" s="111" t="s">
        <v>448</v>
      </c>
      <c r="F2243" s="265">
        <v>42431</v>
      </c>
      <c r="G2243" s="265">
        <v>42482</v>
      </c>
      <c r="H2243" s="266">
        <v>527.05999999999995</v>
      </c>
      <c r="I2243" s="266">
        <f t="shared" si="187"/>
        <v>0</v>
      </c>
      <c r="J2243" s="266">
        <v>1</v>
      </c>
      <c r="K2243" s="266">
        <f t="shared" si="188"/>
        <v>5.2706</v>
      </c>
      <c r="L2243" s="29">
        <f t="shared" si="189"/>
        <v>51</v>
      </c>
      <c r="U2243" s="29">
        <v>0</v>
      </c>
      <c r="V2243" s="292">
        <v>94.87</v>
      </c>
      <c r="W2243" s="29">
        <v>621.92999999999995</v>
      </c>
      <c r="X2243" s="29">
        <v>0</v>
      </c>
      <c r="Y2243" s="29">
        <v>1</v>
      </c>
      <c r="Z2243" s="29">
        <v>6.2192999999999996</v>
      </c>
    </row>
    <row r="2244" spans="1:26">
      <c r="A2244" s="29">
        <v>32</v>
      </c>
      <c r="B2244" s="111">
        <v>1</v>
      </c>
      <c r="C2244" s="111">
        <v>323455</v>
      </c>
      <c r="D2244" s="111" t="s">
        <v>758</v>
      </c>
      <c r="E2244" s="111" t="s">
        <v>448</v>
      </c>
      <c r="F2244" s="265">
        <v>42432</v>
      </c>
      <c r="G2244" s="265">
        <v>42475</v>
      </c>
      <c r="H2244" s="266">
        <v>506.63</v>
      </c>
      <c r="I2244" s="266">
        <f t="shared" si="187"/>
        <v>0</v>
      </c>
      <c r="J2244" s="266">
        <v>1</v>
      </c>
      <c r="K2244" s="266">
        <f t="shared" si="188"/>
        <v>5.0663</v>
      </c>
      <c r="L2244" s="29">
        <f t="shared" si="189"/>
        <v>43</v>
      </c>
      <c r="U2244" s="29">
        <v>0</v>
      </c>
      <c r="V2244" s="292">
        <v>91.19</v>
      </c>
      <c r="W2244" s="29">
        <v>597.82000000000005</v>
      </c>
      <c r="X2244" s="29">
        <v>0</v>
      </c>
      <c r="Y2244" s="29">
        <v>1</v>
      </c>
      <c r="Z2244" s="29">
        <v>5.9782000000000002</v>
      </c>
    </row>
    <row r="2245" spans="1:26">
      <c r="A2245" s="29">
        <v>33</v>
      </c>
      <c r="B2245" s="111">
        <v>1</v>
      </c>
      <c r="C2245" s="111">
        <v>323417</v>
      </c>
      <c r="D2245" s="111" t="s">
        <v>757</v>
      </c>
      <c r="E2245" s="111" t="s">
        <v>448</v>
      </c>
      <c r="F2245" s="265">
        <v>42431</v>
      </c>
      <c r="G2245" s="265">
        <v>42482</v>
      </c>
      <c r="H2245" s="266">
        <v>513.99</v>
      </c>
      <c r="I2245" s="266">
        <f t="shared" ref="I2245:I2276" si="190">X2245/1.18</f>
        <v>0</v>
      </c>
      <c r="J2245" s="266">
        <v>1</v>
      </c>
      <c r="K2245" s="266">
        <f t="shared" ref="K2245:K2276" si="191">(H2245-I2245)*J2245%</f>
        <v>5.1398999999999999</v>
      </c>
      <c r="L2245" s="29">
        <f t="shared" ref="L2245:L2276" si="192">G2245-F2245</f>
        <v>51</v>
      </c>
      <c r="U2245" s="29">
        <v>0</v>
      </c>
      <c r="V2245" s="292">
        <v>92.52</v>
      </c>
      <c r="W2245" s="29">
        <v>606.51</v>
      </c>
      <c r="X2245" s="29">
        <v>0</v>
      </c>
      <c r="Y2245" s="29">
        <v>1</v>
      </c>
      <c r="Z2245" s="29">
        <v>6.0651000000000002</v>
      </c>
    </row>
    <row r="2246" spans="1:26">
      <c r="A2246" s="29">
        <v>34</v>
      </c>
      <c r="B2246" s="111">
        <v>1</v>
      </c>
      <c r="C2246" s="111">
        <v>323447</v>
      </c>
      <c r="D2246" s="111" t="s">
        <v>758</v>
      </c>
      <c r="E2246" s="111" t="s">
        <v>448</v>
      </c>
      <c r="F2246" s="265">
        <v>42432</v>
      </c>
      <c r="G2246" s="265">
        <v>42475</v>
      </c>
      <c r="H2246" s="266">
        <v>185.19</v>
      </c>
      <c r="I2246" s="266">
        <f t="shared" si="190"/>
        <v>0</v>
      </c>
      <c r="J2246" s="266">
        <v>1</v>
      </c>
      <c r="K2246" s="266">
        <f t="shared" si="191"/>
        <v>1.8519000000000001</v>
      </c>
      <c r="L2246" s="29">
        <f t="shared" si="192"/>
        <v>43</v>
      </c>
      <c r="U2246" s="29">
        <v>0</v>
      </c>
      <c r="V2246" s="292">
        <v>33.33</v>
      </c>
      <c r="W2246" s="29">
        <v>218.52</v>
      </c>
      <c r="X2246" s="29">
        <v>0</v>
      </c>
      <c r="Y2246" s="29">
        <v>1</v>
      </c>
      <c r="Z2246" s="29">
        <v>2.1852</v>
      </c>
    </row>
    <row r="2247" spans="1:26">
      <c r="A2247" s="29">
        <v>35</v>
      </c>
      <c r="B2247" s="111">
        <v>1</v>
      </c>
      <c r="C2247" s="111">
        <v>323555</v>
      </c>
      <c r="D2247" s="111" t="s">
        <v>758</v>
      </c>
      <c r="E2247" s="111" t="s">
        <v>448</v>
      </c>
      <c r="F2247" s="265">
        <v>42433</v>
      </c>
      <c r="G2247" s="265">
        <v>42475</v>
      </c>
      <c r="H2247" s="266">
        <v>2341.25</v>
      </c>
      <c r="I2247" s="266">
        <f t="shared" si="190"/>
        <v>0</v>
      </c>
      <c r="J2247" s="266">
        <v>1</v>
      </c>
      <c r="K2247" s="266">
        <f t="shared" si="191"/>
        <v>23.412500000000001</v>
      </c>
      <c r="L2247" s="29">
        <f t="shared" si="192"/>
        <v>42</v>
      </c>
      <c r="U2247" s="29">
        <v>0</v>
      </c>
      <c r="V2247" s="292">
        <v>421.43</v>
      </c>
      <c r="W2247" s="29">
        <v>2762.68</v>
      </c>
      <c r="X2247" s="29">
        <v>0</v>
      </c>
      <c r="Y2247" s="29">
        <v>1</v>
      </c>
      <c r="Z2247" s="29">
        <v>27.626799999999999</v>
      </c>
    </row>
    <row r="2248" spans="1:26">
      <c r="A2248" s="29">
        <v>36</v>
      </c>
      <c r="B2248" s="111">
        <v>1</v>
      </c>
      <c r="C2248" s="111">
        <v>323613</v>
      </c>
      <c r="D2248" s="111" t="s">
        <v>759</v>
      </c>
      <c r="E2248" s="111" t="s">
        <v>448</v>
      </c>
      <c r="F2248" s="265">
        <v>42434</v>
      </c>
      <c r="G2248" s="265">
        <v>42485</v>
      </c>
      <c r="H2248" s="266">
        <v>2021.2</v>
      </c>
      <c r="I2248" s="266">
        <f t="shared" si="190"/>
        <v>0</v>
      </c>
      <c r="J2248" s="266">
        <v>1</v>
      </c>
      <c r="K2248" s="266">
        <f t="shared" si="191"/>
        <v>20.212</v>
      </c>
      <c r="L2248" s="29">
        <f t="shared" si="192"/>
        <v>51</v>
      </c>
      <c r="U2248" s="29">
        <v>0</v>
      </c>
      <c r="V2248" s="292">
        <v>363.82</v>
      </c>
      <c r="W2248" s="29">
        <v>2385.02</v>
      </c>
      <c r="X2248" s="29">
        <v>0</v>
      </c>
      <c r="Y2248" s="29">
        <v>1</v>
      </c>
      <c r="Z2248" s="29">
        <v>23.850200000000001</v>
      </c>
    </row>
    <row r="2249" spans="1:26">
      <c r="A2249" s="29">
        <v>37</v>
      </c>
      <c r="B2249" s="111">
        <v>1</v>
      </c>
      <c r="C2249" s="111">
        <v>323716</v>
      </c>
      <c r="D2249" s="111" t="s">
        <v>759</v>
      </c>
      <c r="E2249" s="111" t="s">
        <v>448</v>
      </c>
      <c r="F2249" s="265">
        <v>42436</v>
      </c>
      <c r="G2249" s="265">
        <v>42485</v>
      </c>
      <c r="H2249" s="266">
        <v>1550.92</v>
      </c>
      <c r="I2249" s="266">
        <f t="shared" si="190"/>
        <v>0</v>
      </c>
      <c r="J2249" s="266">
        <v>1</v>
      </c>
      <c r="K2249" s="266">
        <f t="shared" si="191"/>
        <v>15.509200000000002</v>
      </c>
      <c r="L2249" s="29">
        <f t="shared" si="192"/>
        <v>49</v>
      </c>
      <c r="U2249" s="29">
        <v>0</v>
      </c>
      <c r="V2249" s="292">
        <v>279.17</v>
      </c>
      <c r="W2249" s="29">
        <v>1830.09</v>
      </c>
      <c r="X2249" s="29">
        <v>0</v>
      </c>
      <c r="Y2249" s="29">
        <v>1</v>
      </c>
      <c r="Z2249" s="29">
        <v>18.300899999999999</v>
      </c>
    </row>
    <row r="2250" spans="1:26">
      <c r="A2250" s="29">
        <v>38</v>
      </c>
      <c r="B2250" s="111">
        <v>1</v>
      </c>
      <c r="C2250" s="111">
        <v>323649</v>
      </c>
      <c r="D2250" s="111" t="s">
        <v>758</v>
      </c>
      <c r="E2250" s="111" t="s">
        <v>448</v>
      </c>
      <c r="F2250" s="265">
        <v>42434</v>
      </c>
      <c r="G2250" s="265">
        <v>42475</v>
      </c>
      <c r="H2250" s="266">
        <v>6615.82</v>
      </c>
      <c r="I2250" s="266">
        <f t="shared" si="190"/>
        <v>0</v>
      </c>
      <c r="J2250" s="266">
        <v>1</v>
      </c>
      <c r="K2250" s="266">
        <f t="shared" si="191"/>
        <v>66.158199999999994</v>
      </c>
      <c r="L2250" s="29">
        <f t="shared" si="192"/>
        <v>41</v>
      </c>
      <c r="U2250" s="29">
        <v>0</v>
      </c>
      <c r="V2250" s="292">
        <v>1190.8499999999999</v>
      </c>
      <c r="W2250" s="29">
        <v>7806.67</v>
      </c>
      <c r="X2250" s="29">
        <v>0</v>
      </c>
      <c r="Y2250" s="29">
        <v>1</v>
      </c>
      <c r="Z2250" s="29">
        <v>78.066699999999997</v>
      </c>
    </row>
    <row r="2251" spans="1:26">
      <c r="A2251" s="29">
        <v>39</v>
      </c>
      <c r="B2251" s="111">
        <v>1</v>
      </c>
      <c r="C2251" s="111">
        <v>323650</v>
      </c>
      <c r="D2251" s="111" t="s">
        <v>758</v>
      </c>
      <c r="E2251" s="111" t="s">
        <v>448</v>
      </c>
      <c r="F2251" s="265">
        <v>42434</v>
      </c>
      <c r="G2251" s="265">
        <v>42475</v>
      </c>
      <c r="H2251" s="266">
        <v>467.81</v>
      </c>
      <c r="I2251" s="266">
        <f t="shared" si="190"/>
        <v>0</v>
      </c>
      <c r="J2251" s="266">
        <v>1</v>
      </c>
      <c r="K2251" s="266">
        <f t="shared" si="191"/>
        <v>4.6780999999999997</v>
      </c>
      <c r="L2251" s="29">
        <f t="shared" si="192"/>
        <v>41</v>
      </c>
      <c r="U2251" s="29">
        <v>0</v>
      </c>
      <c r="V2251" s="292">
        <v>84.21</v>
      </c>
      <c r="W2251" s="29">
        <v>552.02</v>
      </c>
      <c r="X2251" s="29">
        <v>0</v>
      </c>
      <c r="Y2251" s="29">
        <v>1</v>
      </c>
      <c r="Z2251" s="29">
        <v>5.5202</v>
      </c>
    </row>
    <row r="2252" spans="1:26">
      <c r="A2252" s="29">
        <v>40</v>
      </c>
      <c r="B2252" s="111">
        <v>1</v>
      </c>
      <c r="C2252" s="111">
        <v>323648</v>
      </c>
      <c r="D2252" s="111" t="s">
        <v>758</v>
      </c>
      <c r="E2252" s="111" t="s">
        <v>448</v>
      </c>
      <c r="F2252" s="265">
        <v>42434</v>
      </c>
      <c r="G2252" s="265">
        <v>42475</v>
      </c>
      <c r="H2252" s="266">
        <v>4422.29</v>
      </c>
      <c r="I2252" s="266">
        <f t="shared" si="190"/>
        <v>0</v>
      </c>
      <c r="J2252" s="266">
        <v>1</v>
      </c>
      <c r="K2252" s="266">
        <f t="shared" si="191"/>
        <v>44.222900000000003</v>
      </c>
      <c r="L2252" s="29">
        <f t="shared" si="192"/>
        <v>41</v>
      </c>
      <c r="U2252" s="29">
        <v>0</v>
      </c>
      <c r="V2252" s="292">
        <v>796.01</v>
      </c>
      <c r="W2252" s="29">
        <v>5218.3</v>
      </c>
      <c r="X2252" s="29">
        <v>0</v>
      </c>
      <c r="Y2252" s="29">
        <v>1</v>
      </c>
      <c r="Z2252" s="29">
        <v>52.183</v>
      </c>
    </row>
    <row r="2253" spans="1:26">
      <c r="A2253" s="29">
        <v>41</v>
      </c>
      <c r="B2253" s="111">
        <v>1</v>
      </c>
      <c r="C2253" s="111">
        <v>323651</v>
      </c>
      <c r="D2253" s="111" t="s">
        <v>757</v>
      </c>
      <c r="E2253" s="111" t="s">
        <v>448</v>
      </c>
      <c r="F2253" s="265">
        <v>42434</v>
      </c>
      <c r="G2253" s="265">
        <v>42482</v>
      </c>
      <c r="H2253" s="266">
        <v>404.21</v>
      </c>
      <c r="I2253" s="266">
        <f t="shared" si="190"/>
        <v>0</v>
      </c>
      <c r="J2253" s="266">
        <v>1</v>
      </c>
      <c r="K2253" s="266">
        <f t="shared" si="191"/>
        <v>4.0420999999999996</v>
      </c>
      <c r="L2253" s="29">
        <f t="shared" si="192"/>
        <v>48</v>
      </c>
      <c r="U2253" s="29">
        <v>0</v>
      </c>
      <c r="V2253" s="292">
        <v>72.760000000000005</v>
      </c>
      <c r="W2253" s="29">
        <v>476.97</v>
      </c>
      <c r="X2253" s="29">
        <v>0</v>
      </c>
      <c r="Y2253" s="29">
        <v>1</v>
      </c>
      <c r="Z2253" s="29">
        <v>4.7697000000000003</v>
      </c>
    </row>
    <row r="2254" spans="1:26">
      <c r="A2254" s="29">
        <v>42</v>
      </c>
      <c r="B2254" s="111">
        <v>1</v>
      </c>
      <c r="C2254" s="111">
        <v>323699</v>
      </c>
      <c r="D2254" s="111" t="s">
        <v>758</v>
      </c>
      <c r="E2254" s="111" t="s">
        <v>448</v>
      </c>
      <c r="F2254" s="265">
        <v>42436</v>
      </c>
      <c r="G2254" s="265">
        <v>42475</v>
      </c>
      <c r="H2254" s="266">
        <v>374.26</v>
      </c>
      <c r="I2254" s="266">
        <f t="shared" si="190"/>
        <v>0</v>
      </c>
      <c r="J2254" s="266">
        <v>1</v>
      </c>
      <c r="K2254" s="266">
        <f t="shared" si="191"/>
        <v>3.7425999999999999</v>
      </c>
      <c r="L2254" s="29">
        <f t="shared" si="192"/>
        <v>39</v>
      </c>
      <c r="U2254" s="29">
        <v>0</v>
      </c>
      <c r="V2254" s="292">
        <v>67.37</v>
      </c>
      <c r="W2254" s="29">
        <v>441.63</v>
      </c>
      <c r="X2254" s="29">
        <v>0</v>
      </c>
      <c r="Y2254" s="29">
        <v>1</v>
      </c>
      <c r="Z2254" s="29">
        <v>4.4162999999999997</v>
      </c>
    </row>
    <row r="2255" spans="1:26">
      <c r="A2255" s="29">
        <v>43</v>
      </c>
      <c r="B2255" s="111">
        <v>1</v>
      </c>
      <c r="C2255" s="111">
        <v>323713</v>
      </c>
      <c r="D2255" s="111" t="s">
        <v>758</v>
      </c>
      <c r="E2255" s="111" t="s">
        <v>448</v>
      </c>
      <c r="F2255" s="265">
        <v>42436</v>
      </c>
      <c r="G2255" s="265">
        <v>42475</v>
      </c>
      <c r="H2255" s="266">
        <v>5133.92</v>
      </c>
      <c r="I2255" s="266">
        <f t="shared" si="190"/>
        <v>0</v>
      </c>
      <c r="J2255" s="266">
        <v>1</v>
      </c>
      <c r="K2255" s="266">
        <f t="shared" si="191"/>
        <v>51.339200000000005</v>
      </c>
      <c r="L2255" s="29">
        <f t="shared" si="192"/>
        <v>39</v>
      </c>
      <c r="U2255" s="29">
        <v>0</v>
      </c>
      <c r="V2255" s="292">
        <v>924.11</v>
      </c>
      <c r="W2255" s="29">
        <v>6058.03</v>
      </c>
      <c r="X2255" s="29">
        <v>0</v>
      </c>
      <c r="Y2255" s="29">
        <v>1</v>
      </c>
      <c r="Z2255" s="29">
        <v>60.580300000000001</v>
      </c>
    </row>
    <row r="2256" spans="1:26">
      <c r="A2256" s="29">
        <v>44</v>
      </c>
      <c r="B2256" s="111">
        <v>1</v>
      </c>
      <c r="C2256" s="111">
        <v>323772</v>
      </c>
      <c r="D2256" s="111" t="s">
        <v>767</v>
      </c>
      <c r="E2256" s="111" t="s">
        <v>448</v>
      </c>
      <c r="F2256" s="265">
        <v>42436</v>
      </c>
      <c r="G2256" s="265">
        <v>42464</v>
      </c>
      <c r="H2256" s="266">
        <v>94.74</v>
      </c>
      <c r="I2256" s="266">
        <f t="shared" si="190"/>
        <v>0</v>
      </c>
      <c r="J2256" s="266">
        <v>1</v>
      </c>
      <c r="K2256" s="266">
        <f t="shared" si="191"/>
        <v>0.94740000000000002</v>
      </c>
      <c r="L2256" s="29">
        <f t="shared" si="192"/>
        <v>28</v>
      </c>
      <c r="U2256" s="29">
        <v>0</v>
      </c>
      <c r="V2256" s="292">
        <v>17.05</v>
      </c>
      <c r="W2256" s="29">
        <v>111.79</v>
      </c>
      <c r="X2256" s="29">
        <v>0</v>
      </c>
      <c r="Y2256" s="29">
        <v>1</v>
      </c>
      <c r="Z2256" s="29">
        <v>1.1178999999999999</v>
      </c>
    </row>
    <row r="2257" spans="1:26">
      <c r="A2257" s="29">
        <v>45</v>
      </c>
      <c r="B2257" s="111">
        <v>1</v>
      </c>
      <c r="C2257" s="111">
        <v>323771</v>
      </c>
      <c r="D2257" s="111" t="s">
        <v>766</v>
      </c>
      <c r="E2257" s="111" t="s">
        <v>448</v>
      </c>
      <c r="F2257" s="265">
        <v>42436</v>
      </c>
      <c r="G2257" s="265">
        <v>42479</v>
      </c>
      <c r="H2257" s="266">
        <v>134.72999999999999</v>
      </c>
      <c r="I2257" s="266">
        <f t="shared" si="190"/>
        <v>0</v>
      </c>
      <c r="J2257" s="266">
        <v>1</v>
      </c>
      <c r="K2257" s="266">
        <f t="shared" si="191"/>
        <v>1.3472999999999999</v>
      </c>
      <c r="L2257" s="29">
        <f t="shared" si="192"/>
        <v>43</v>
      </c>
      <c r="U2257" s="29">
        <v>0</v>
      </c>
      <c r="V2257" s="292">
        <v>24.25</v>
      </c>
      <c r="W2257" s="29">
        <v>158.97999999999999</v>
      </c>
      <c r="X2257" s="29">
        <v>0</v>
      </c>
      <c r="Y2257" s="29">
        <v>1</v>
      </c>
      <c r="Z2257" s="29">
        <v>1.5898000000000001</v>
      </c>
    </row>
    <row r="2258" spans="1:26">
      <c r="A2258" s="29">
        <v>46</v>
      </c>
      <c r="B2258" s="111">
        <v>1</v>
      </c>
      <c r="C2258" s="111">
        <v>323789</v>
      </c>
      <c r="D2258" s="111" t="s">
        <v>759</v>
      </c>
      <c r="E2258" s="111" t="s">
        <v>448</v>
      </c>
      <c r="F2258" s="265">
        <v>42437</v>
      </c>
      <c r="G2258" s="265">
        <v>42485</v>
      </c>
      <c r="H2258" s="266">
        <v>3720.74</v>
      </c>
      <c r="I2258" s="266">
        <f t="shared" si="190"/>
        <v>494.14406779661022</v>
      </c>
      <c r="J2258" s="266">
        <v>1</v>
      </c>
      <c r="K2258" s="266">
        <f t="shared" si="191"/>
        <v>32.265959322033893</v>
      </c>
      <c r="L2258" s="29">
        <f t="shared" si="192"/>
        <v>48</v>
      </c>
      <c r="U2258" s="29">
        <v>0</v>
      </c>
      <c r="V2258" s="292">
        <v>669.73</v>
      </c>
      <c r="W2258" s="29">
        <v>4390.47</v>
      </c>
      <c r="X2258" s="29">
        <v>583.09</v>
      </c>
      <c r="Y2258" s="29">
        <v>1</v>
      </c>
      <c r="Z2258" s="29">
        <v>38.073799999999999</v>
      </c>
    </row>
    <row r="2259" spans="1:26">
      <c r="A2259" s="29">
        <v>47</v>
      </c>
      <c r="B2259" s="111">
        <v>1</v>
      </c>
      <c r="C2259" s="111">
        <v>323996</v>
      </c>
      <c r="D2259" s="111" t="s">
        <v>758</v>
      </c>
      <c r="E2259" s="111" t="s">
        <v>448</v>
      </c>
      <c r="F2259" s="265">
        <v>42439</v>
      </c>
      <c r="G2259" s="265">
        <v>42475</v>
      </c>
      <c r="H2259" s="266">
        <v>1677.51</v>
      </c>
      <c r="I2259" s="266">
        <f t="shared" si="190"/>
        <v>0</v>
      </c>
      <c r="J2259" s="266">
        <v>1</v>
      </c>
      <c r="K2259" s="266">
        <f t="shared" si="191"/>
        <v>16.775100000000002</v>
      </c>
      <c r="L2259" s="29">
        <f t="shared" si="192"/>
        <v>36</v>
      </c>
      <c r="U2259" s="29">
        <v>0</v>
      </c>
      <c r="V2259" s="292">
        <v>301.95</v>
      </c>
      <c r="W2259" s="29">
        <v>1979.46</v>
      </c>
      <c r="X2259" s="29">
        <v>0</v>
      </c>
      <c r="Y2259" s="29">
        <v>1</v>
      </c>
      <c r="Z2259" s="29">
        <v>19.794599999999999</v>
      </c>
    </row>
    <row r="2260" spans="1:26">
      <c r="A2260" s="29">
        <v>48</v>
      </c>
      <c r="B2260" s="111">
        <v>1</v>
      </c>
      <c r="C2260" s="111">
        <v>323847</v>
      </c>
      <c r="D2260" s="111" t="s">
        <v>760</v>
      </c>
      <c r="E2260" s="111" t="s">
        <v>448</v>
      </c>
      <c r="F2260" s="265">
        <v>42437</v>
      </c>
      <c r="G2260" s="265">
        <v>42485</v>
      </c>
      <c r="H2260" s="266">
        <v>111.13</v>
      </c>
      <c r="I2260" s="266">
        <f t="shared" si="190"/>
        <v>0</v>
      </c>
      <c r="J2260" s="266">
        <v>1</v>
      </c>
      <c r="K2260" s="266">
        <f t="shared" si="191"/>
        <v>1.1113</v>
      </c>
      <c r="L2260" s="29">
        <f t="shared" si="192"/>
        <v>48</v>
      </c>
      <c r="U2260" s="29">
        <v>0</v>
      </c>
      <c r="V2260" s="292">
        <v>20</v>
      </c>
      <c r="W2260" s="29">
        <v>131.13</v>
      </c>
      <c r="X2260" s="29">
        <v>0</v>
      </c>
      <c r="Y2260" s="29">
        <v>1</v>
      </c>
      <c r="Z2260" s="29">
        <v>1.3112999999999999</v>
      </c>
    </row>
    <row r="2261" spans="1:26">
      <c r="A2261" s="29">
        <v>49</v>
      </c>
      <c r="B2261" s="111">
        <v>1</v>
      </c>
      <c r="C2261" s="111">
        <v>323949</v>
      </c>
      <c r="D2261" s="111" t="s">
        <v>758</v>
      </c>
      <c r="E2261" s="111" t="s">
        <v>448</v>
      </c>
      <c r="F2261" s="265">
        <v>42438</v>
      </c>
      <c r="G2261" s="265">
        <v>42475</v>
      </c>
      <c r="H2261" s="266">
        <v>6419.87</v>
      </c>
      <c r="I2261" s="266">
        <f t="shared" si="190"/>
        <v>0</v>
      </c>
      <c r="J2261" s="266">
        <v>1</v>
      </c>
      <c r="K2261" s="266">
        <f t="shared" si="191"/>
        <v>64.198700000000002</v>
      </c>
      <c r="L2261" s="29">
        <f t="shared" si="192"/>
        <v>37</v>
      </c>
      <c r="U2261" s="29">
        <v>0</v>
      </c>
      <c r="V2261" s="292">
        <v>1155.58</v>
      </c>
      <c r="W2261" s="29">
        <v>7575.45</v>
      </c>
      <c r="X2261" s="29">
        <v>0</v>
      </c>
      <c r="Y2261" s="29">
        <v>1</v>
      </c>
      <c r="Z2261" s="29">
        <v>75.754499999999993</v>
      </c>
    </row>
    <row r="2262" spans="1:26">
      <c r="A2262" s="29">
        <v>50</v>
      </c>
      <c r="B2262" s="111">
        <v>1</v>
      </c>
      <c r="C2262" s="111">
        <v>323934</v>
      </c>
      <c r="D2262" s="111" t="s">
        <v>757</v>
      </c>
      <c r="E2262" s="111" t="s">
        <v>448</v>
      </c>
      <c r="F2262" s="265">
        <v>42438</v>
      </c>
      <c r="G2262" s="265">
        <v>42482</v>
      </c>
      <c r="H2262" s="266">
        <v>286.69</v>
      </c>
      <c r="I2262" s="266">
        <f t="shared" si="190"/>
        <v>0</v>
      </c>
      <c r="J2262" s="266">
        <v>1</v>
      </c>
      <c r="K2262" s="266">
        <f t="shared" si="191"/>
        <v>2.8669000000000002</v>
      </c>
      <c r="L2262" s="29">
        <f t="shared" si="192"/>
        <v>44</v>
      </c>
      <c r="U2262" s="29">
        <v>0</v>
      </c>
      <c r="V2262" s="292">
        <v>51.6</v>
      </c>
      <c r="W2262" s="29">
        <v>338.29</v>
      </c>
      <c r="X2262" s="29">
        <v>0</v>
      </c>
      <c r="Y2262" s="29">
        <v>1</v>
      </c>
      <c r="Z2262" s="29">
        <v>3.3828999999999998</v>
      </c>
    </row>
    <row r="2263" spans="1:26">
      <c r="A2263" s="29">
        <v>51</v>
      </c>
      <c r="B2263" s="111">
        <v>1</v>
      </c>
      <c r="C2263" s="111">
        <v>323910</v>
      </c>
      <c r="D2263" s="111" t="s">
        <v>759</v>
      </c>
      <c r="E2263" s="111" t="s">
        <v>448</v>
      </c>
      <c r="F2263" s="265">
        <v>42438</v>
      </c>
      <c r="G2263" s="265">
        <v>42485</v>
      </c>
      <c r="H2263" s="266">
        <v>588.61</v>
      </c>
      <c r="I2263" s="266">
        <f t="shared" si="190"/>
        <v>0</v>
      </c>
      <c r="J2263" s="266">
        <v>1</v>
      </c>
      <c r="K2263" s="266">
        <f t="shared" si="191"/>
        <v>5.8860999999999999</v>
      </c>
      <c r="L2263" s="29">
        <f t="shared" si="192"/>
        <v>47</v>
      </c>
      <c r="U2263" s="29">
        <v>0</v>
      </c>
      <c r="V2263" s="292">
        <v>105.95</v>
      </c>
      <c r="W2263" s="29">
        <v>694.56</v>
      </c>
      <c r="X2263" s="29">
        <v>0</v>
      </c>
      <c r="Y2263" s="29">
        <v>1</v>
      </c>
      <c r="Z2263" s="29">
        <v>6.9455999999999998</v>
      </c>
    </row>
    <row r="2264" spans="1:26">
      <c r="A2264" s="29">
        <v>52</v>
      </c>
      <c r="B2264" s="111">
        <v>1</v>
      </c>
      <c r="C2264" s="111">
        <v>324041</v>
      </c>
      <c r="D2264" s="111" t="s">
        <v>759</v>
      </c>
      <c r="E2264" s="111" t="s">
        <v>448</v>
      </c>
      <c r="F2264" s="265">
        <v>42439</v>
      </c>
      <c r="G2264" s="265">
        <v>42485</v>
      </c>
      <c r="H2264" s="266">
        <v>3044.52</v>
      </c>
      <c r="I2264" s="266">
        <f t="shared" si="190"/>
        <v>0</v>
      </c>
      <c r="J2264" s="266">
        <v>1</v>
      </c>
      <c r="K2264" s="266">
        <f t="shared" si="191"/>
        <v>30.4452</v>
      </c>
      <c r="L2264" s="29">
        <f t="shared" si="192"/>
        <v>46</v>
      </c>
      <c r="U2264" s="29">
        <v>0</v>
      </c>
      <c r="V2264" s="292">
        <v>548.01</v>
      </c>
      <c r="W2264" s="29">
        <v>3592.53</v>
      </c>
      <c r="X2264" s="29">
        <v>0</v>
      </c>
      <c r="Y2264" s="29">
        <v>1</v>
      </c>
      <c r="Z2264" s="29">
        <v>35.9253</v>
      </c>
    </row>
    <row r="2265" spans="1:26">
      <c r="A2265" s="29">
        <v>53</v>
      </c>
      <c r="B2265" s="111">
        <v>1</v>
      </c>
      <c r="C2265" s="111">
        <v>324011</v>
      </c>
      <c r="D2265" s="111" t="s">
        <v>759</v>
      </c>
      <c r="E2265" s="111" t="s">
        <v>448</v>
      </c>
      <c r="F2265" s="265">
        <v>42439</v>
      </c>
      <c r="G2265" s="265">
        <v>42485</v>
      </c>
      <c r="H2265" s="266">
        <v>795.52</v>
      </c>
      <c r="I2265" s="266">
        <f t="shared" si="190"/>
        <v>0</v>
      </c>
      <c r="J2265" s="266">
        <v>1</v>
      </c>
      <c r="K2265" s="266">
        <f t="shared" si="191"/>
        <v>7.9551999999999996</v>
      </c>
      <c r="L2265" s="29">
        <f t="shared" si="192"/>
        <v>46</v>
      </c>
      <c r="U2265" s="29">
        <v>0</v>
      </c>
      <c r="V2265" s="292">
        <v>143.19</v>
      </c>
      <c r="W2265" s="29">
        <v>938.71</v>
      </c>
      <c r="X2265" s="29">
        <v>0</v>
      </c>
      <c r="Y2265" s="29">
        <v>1</v>
      </c>
      <c r="Z2265" s="29">
        <v>9.3871000000000002</v>
      </c>
    </row>
    <row r="2266" spans="1:26">
      <c r="A2266" s="29">
        <v>54</v>
      </c>
      <c r="B2266" s="111">
        <v>1</v>
      </c>
      <c r="C2266" s="111">
        <v>324052</v>
      </c>
      <c r="D2266" s="111" t="s">
        <v>758</v>
      </c>
      <c r="E2266" s="111" t="s">
        <v>448</v>
      </c>
      <c r="F2266" s="265">
        <v>42439</v>
      </c>
      <c r="G2266" s="265">
        <v>42475</v>
      </c>
      <c r="H2266" s="266">
        <v>6263.06</v>
      </c>
      <c r="I2266" s="266">
        <f t="shared" si="190"/>
        <v>0</v>
      </c>
      <c r="J2266" s="266">
        <v>1</v>
      </c>
      <c r="K2266" s="266">
        <f t="shared" si="191"/>
        <v>62.630600000000008</v>
      </c>
      <c r="L2266" s="29">
        <f t="shared" si="192"/>
        <v>36</v>
      </c>
      <c r="U2266" s="29">
        <v>0</v>
      </c>
      <c r="V2266" s="292">
        <v>1127.3499999999999</v>
      </c>
      <c r="W2266" s="29">
        <v>7390.41</v>
      </c>
      <c r="X2266" s="29">
        <v>0</v>
      </c>
      <c r="Y2266" s="29">
        <v>1</v>
      </c>
      <c r="Z2266" s="29">
        <v>73.9041</v>
      </c>
    </row>
    <row r="2267" spans="1:26">
      <c r="A2267" s="29">
        <v>55</v>
      </c>
      <c r="B2267" s="111">
        <v>1</v>
      </c>
      <c r="C2267" s="111">
        <v>324059</v>
      </c>
      <c r="D2267" s="111" t="s">
        <v>759</v>
      </c>
      <c r="E2267" s="111" t="s">
        <v>448</v>
      </c>
      <c r="F2267" s="265">
        <v>42439</v>
      </c>
      <c r="G2267" s="265">
        <v>42485</v>
      </c>
      <c r="H2267" s="266">
        <v>491.44</v>
      </c>
      <c r="I2267" s="266">
        <f t="shared" si="190"/>
        <v>0</v>
      </c>
      <c r="J2267" s="266">
        <v>1</v>
      </c>
      <c r="K2267" s="266">
        <f t="shared" si="191"/>
        <v>4.9143999999999997</v>
      </c>
      <c r="L2267" s="29">
        <f t="shared" si="192"/>
        <v>46</v>
      </c>
      <c r="U2267" s="29">
        <v>0</v>
      </c>
      <c r="V2267" s="292">
        <v>88.46</v>
      </c>
      <c r="W2267" s="29">
        <v>579.9</v>
      </c>
      <c r="X2267" s="29">
        <v>0</v>
      </c>
      <c r="Y2267" s="29">
        <v>1</v>
      </c>
      <c r="Z2267" s="29">
        <v>5.7990000000000004</v>
      </c>
    </row>
    <row r="2268" spans="1:26">
      <c r="A2268" s="29">
        <v>56</v>
      </c>
      <c r="B2268" s="111">
        <v>1</v>
      </c>
      <c r="C2268" s="111">
        <v>324118</v>
      </c>
      <c r="D2268" s="111" t="s">
        <v>758</v>
      </c>
      <c r="E2268" s="111" t="s">
        <v>448</v>
      </c>
      <c r="F2268" s="265">
        <v>42440</v>
      </c>
      <c r="G2268" s="265">
        <v>42475</v>
      </c>
      <c r="H2268" s="266">
        <v>749.96</v>
      </c>
      <c r="I2268" s="266">
        <f t="shared" si="190"/>
        <v>0</v>
      </c>
      <c r="J2268" s="266">
        <v>1</v>
      </c>
      <c r="K2268" s="266">
        <f t="shared" si="191"/>
        <v>7.4996000000000009</v>
      </c>
      <c r="L2268" s="29">
        <f t="shared" si="192"/>
        <v>35</v>
      </c>
      <c r="U2268" s="29">
        <v>0</v>
      </c>
      <c r="V2268" s="292">
        <v>134.99</v>
      </c>
      <c r="W2268" s="29">
        <v>884.95</v>
      </c>
      <c r="X2268" s="29">
        <v>0</v>
      </c>
      <c r="Y2268" s="29">
        <v>1</v>
      </c>
      <c r="Z2268" s="29">
        <v>8.8495000000000008</v>
      </c>
    </row>
    <row r="2269" spans="1:26">
      <c r="A2269" s="29">
        <v>57</v>
      </c>
      <c r="B2269" s="111">
        <v>1</v>
      </c>
      <c r="C2269" s="111">
        <v>324132</v>
      </c>
      <c r="D2269" s="111" t="s">
        <v>758</v>
      </c>
      <c r="E2269" s="111" t="s">
        <v>448</v>
      </c>
      <c r="F2269" s="265">
        <v>42440</v>
      </c>
      <c r="G2269" s="265">
        <v>42475</v>
      </c>
      <c r="H2269" s="266">
        <v>233.38</v>
      </c>
      <c r="I2269" s="266">
        <f t="shared" si="190"/>
        <v>0</v>
      </c>
      <c r="J2269" s="266">
        <v>1</v>
      </c>
      <c r="K2269" s="266">
        <f t="shared" si="191"/>
        <v>2.3338000000000001</v>
      </c>
      <c r="L2269" s="29">
        <f t="shared" si="192"/>
        <v>35</v>
      </c>
      <c r="U2269" s="29">
        <v>0</v>
      </c>
      <c r="V2269" s="292">
        <v>42.01</v>
      </c>
      <c r="W2269" s="29">
        <v>275.39</v>
      </c>
      <c r="X2269" s="29">
        <v>0</v>
      </c>
      <c r="Y2269" s="29">
        <v>1</v>
      </c>
      <c r="Z2269" s="29">
        <v>2.7538999999999998</v>
      </c>
    </row>
    <row r="2270" spans="1:26">
      <c r="A2270" s="29">
        <v>58</v>
      </c>
      <c r="B2270" s="111">
        <v>1</v>
      </c>
      <c r="C2270" s="111">
        <v>324219</v>
      </c>
      <c r="D2270" s="111" t="s">
        <v>757</v>
      </c>
      <c r="E2270" s="111" t="s">
        <v>448</v>
      </c>
      <c r="F2270" s="265">
        <v>42441</v>
      </c>
      <c r="G2270" s="265">
        <v>42482</v>
      </c>
      <c r="H2270" s="266">
        <v>218.51</v>
      </c>
      <c r="I2270" s="266">
        <f t="shared" si="190"/>
        <v>0</v>
      </c>
      <c r="J2270" s="266">
        <v>1</v>
      </c>
      <c r="K2270" s="266">
        <f t="shared" si="191"/>
        <v>2.1850999999999998</v>
      </c>
      <c r="L2270" s="29">
        <f t="shared" si="192"/>
        <v>41</v>
      </c>
      <c r="U2270" s="29">
        <v>0</v>
      </c>
      <c r="V2270" s="292">
        <v>39.33</v>
      </c>
      <c r="W2270" s="29">
        <v>257.83999999999997</v>
      </c>
      <c r="X2270" s="29">
        <v>0</v>
      </c>
      <c r="Y2270" s="29">
        <v>1</v>
      </c>
      <c r="Z2270" s="29">
        <v>2.5783999999999998</v>
      </c>
    </row>
    <row r="2271" spans="1:26">
      <c r="A2271" s="29">
        <v>59</v>
      </c>
      <c r="B2271" s="111">
        <v>1</v>
      </c>
      <c r="C2271" s="111">
        <v>324231</v>
      </c>
      <c r="D2271" s="111" t="s">
        <v>758</v>
      </c>
      <c r="E2271" s="111" t="s">
        <v>448</v>
      </c>
      <c r="F2271" s="265">
        <v>42441</v>
      </c>
      <c r="G2271" s="265">
        <v>42475</v>
      </c>
      <c r="H2271" s="266">
        <v>3263.04</v>
      </c>
      <c r="I2271" s="266">
        <f t="shared" si="190"/>
        <v>0</v>
      </c>
      <c r="J2271" s="266">
        <v>1</v>
      </c>
      <c r="K2271" s="266">
        <f t="shared" si="191"/>
        <v>32.630400000000002</v>
      </c>
      <c r="L2271" s="29">
        <f t="shared" si="192"/>
        <v>34</v>
      </c>
      <c r="U2271" s="29">
        <v>0</v>
      </c>
      <c r="V2271" s="292">
        <v>587.35</v>
      </c>
      <c r="W2271" s="29">
        <v>3850.39</v>
      </c>
      <c r="X2271" s="29">
        <v>0</v>
      </c>
      <c r="Y2271" s="29">
        <v>1</v>
      </c>
      <c r="Z2271" s="29">
        <v>38.503900000000002</v>
      </c>
    </row>
    <row r="2272" spans="1:26">
      <c r="A2272" s="29">
        <v>60</v>
      </c>
      <c r="B2272" s="111">
        <v>1</v>
      </c>
      <c r="C2272" s="111">
        <v>324232</v>
      </c>
      <c r="D2272" s="111" t="s">
        <v>758</v>
      </c>
      <c r="E2272" s="111" t="s">
        <v>448</v>
      </c>
      <c r="F2272" s="265">
        <v>42441</v>
      </c>
      <c r="G2272" s="265">
        <v>42475</v>
      </c>
      <c r="H2272" s="266">
        <v>6419.92</v>
      </c>
      <c r="I2272" s="266">
        <f t="shared" si="190"/>
        <v>0</v>
      </c>
      <c r="J2272" s="266">
        <v>1</v>
      </c>
      <c r="K2272" s="266">
        <f t="shared" si="191"/>
        <v>64.199200000000005</v>
      </c>
      <c r="L2272" s="29">
        <f t="shared" si="192"/>
        <v>34</v>
      </c>
      <c r="U2272" s="29">
        <v>0</v>
      </c>
      <c r="V2272" s="292">
        <v>1155.5899999999999</v>
      </c>
      <c r="W2272" s="29">
        <v>7575.51</v>
      </c>
      <c r="X2272" s="29">
        <v>0</v>
      </c>
      <c r="Y2272" s="29">
        <v>1</v>
      </c>
      <c r="Z2272" s="29">
        <v>75.755099999999999</v>
      </c>
    </row>
    <row r="2273" spans="1:26">
      <c r="A2273" s="29">
        <v>61</v>
      </c>
      <c r="B2273" s="111">
        <v>1</v>
      </c>
      <c r="C2273" s="111">
        <v>324230</v>
      </c>
      <c r="D2273" s="111" t="s">
        <v>758</v>
      </c>
      <c r="E2273" s="111" t="s">
        <v>448</v>
      </c>
      <c r="F2273" s="265">
        <v>42441</v>
      </c>
      <c r="G2273" s="265">
        <v>42475</v>
      </c>
      <c r="H2273" s="266">
        <v>4363.2700000000004</v>
      </c>
      <c r="I2273" s="266">
        <f t="shared" si="190"/>
        <v>0</v>
      </c>
      <c r="J2273" s="266">
        <v>1</v>
      </c>
      <c r="K2273" s="266">
        <f t="shared" si="191"/>
        <v>43.632700000000007</v>
      </c>
      <c r="L2273" s="29">
        <f t="shared" si="192"/>
        <v>34</v>
      </c>
      <c r="U2273" s="29">
        <v>0</v>
      </c>
      <c r="V2273" s="292">
        <v>785.39</v>
      </c>
      <c r="W2273" s="29">
        <v>5148.66</v>
      </c>
      <c r="X2273" s="29">
        <v>0</v>
      </c>
      <c r="Y2273" s="29">
        <v>1</v>
      </c>
      <c r="Z2273" s="29">
        <v>51.486600000000003</v>
      </c>
    </row>
    <row r="2274" spans="1:26">
      <c r="A2274" s="29">
        <v>62</v>
      </c>
      <c r="B2274" s="111">
        <v>1</v>
      </c>
      <c r="C2274" s="111">
        <v>324315</v>
      </c>
      <c r="D2274" s="111" t="s">
        <v>759</v>
      </c>
      <c r="E2274" s="111" t="s">
        <v>448</v>
      </c>
      <c r="F2274" s="265">
        <v>42443</v>
      </c>
      <c r="G2274" s="265">
        <v>42485</v>
      </c>
      <c r="H2274" s="266">
        <v>2253.56</v>
      </c>
      <c r="I2274" s="266">
        <f t="shared" si="190"/>
        <v>0</v>
      </c>
      <c r="J2274" s="266">
        <v>1</v>
      </c>
      <c r="K2274" s="266">
        <f t="shared" si="191"/>
        <v>22.535599999999999</v>
      </c>
      <c r="L2274" s="29">
        <f t="shared" si="192"/>
        <v>42</v>
      </c>
      <c r="U2274" s="29">
        <v>0</v>
      </c>
      <c r="V2274" s="292">
        <v>405.64</v>
      </c>
      <c r="W2274" s="29">
        <v>2659.2</v>
      </c>
      <c r="X2274" s="29">
        <v>0</v>
      </c>
      <c r="Y2274" s="29">
        <v>1</v>
      </c>
      <c r="Z2274" s="29">
        <v>26.591999999999999</v>
      </c>
    </row>
    <row r="2275" spans="1:26">
      <c r="A2275" s="29">
        <v>63</v>
      </c>
      <c r="B2275" s="111">
        <v>1</v>
      </c>
      <c r="C2275" s="111">
        <v>324314</v>
      </c>
      <c r="D2275" s="111" t="s">
        <v>759</v>
      </c>
      <c r="E2275" s="111" t="s">
        <v>448</v>
      </c>
      <c r="F2275" s="265">
        <v>42443</v>
      </c>
      <c r="G2275" s="265">
        <v>42485</v>
      </c>
      <c r="H2275" s="266">
        <v>305.83999999999997</v>
      </c>
      <c r="I2275" s="266">
        <f t="shared" si="190"/>
        <v>0</v>
      </c>
      <c r="J2275" s="266">
        <v>1</v>
      </c>
      <c r="K2275" s="266">
        <f t="shared" si="191"/>
        <v>3.0583999999999998</v>
      </c>
      <c r="L2275" s="29">
        <f t="shared" si="192"/>
        <v>42</v>
      </c>
      <c r="U2275" s="29">
        <v>0</v>
      </c>
      <c r="V2275" s="292">
        <v>55.05</v>
      </c>
      <c r="W2275" s="29">
        <v>360.89</v>
      </c>
      <c r="X2275" s="29">
        <v>0</v>
      </c>
      <c r="Y2275" s="29">
        <v>1</v>
      </c>
      <c r="Z2275" s="29">
        <v>3.6089000000000002</v>
      </c>
    </row>
    <row r="2276" spans="1:26">
      <c r="A2276" s="29">
        <v>64</v>
      </c>
      <c r="B2276" s="111">
        <v>1</v>
      </c>
      <c r="C2276" s="111">
        <v>324374</v>
      </c>
      <c r="D2276" s="111" t="s">
        <v>760</v>
      </c>
      <c r="E2276" s="111" t="s">
        <v>448</v>
      </c>
      <c r="F2276" s="265">
        <v>42444</v>
      </c>
      <c r="G2276" s="265">
        <v>42485</v>
      </c>
      <c r="H2276" s="266">
        <v>789.92</v>
      </c>
      <c r="I2276" s="266">
        <f t="shared" si="190"/>
        <v>0</v>
      </c>
      <c r="J2276" s="266">
        <v>1</v>
      </c>
      <c r="K2276" s="266">
        <f t="shared" si="191"/>
        <v>7.8991999999999996</v>
      </c>
      <c r="L2276" s="29">
        <f t="shared" si="192"/>
        <v>41</v>
      </c>
      <c r="U2276" s="29">
        <v>0</v>
      </c>
      <c r="V2276" s="292">
        <v>142.19</v>
      </c>
      <c r="W2276" s="29">
        <v>932.11</v>
      </c>
      <c r="X2276" s="29">
        <v>0</v>
      </c>
      <c r="Y2276" s="29">
        <v>1</v>
      </c>
      <c r="Z2276" s="29">
        <v>9.3210999999999995</v>
      </c>
    </row>
    <row r="2277" spans="1:26">
      <c r="A2277" s="29">
        <v>65</v>
      </c>
      <c r="B2277" s="111">
        <v>1</v>
      </c>
      <c r="C2277" s="111">
        <v>324353</v>
      </c>
      <c r="D2277" s="111" t="s">
        <v>758</v>
      </c>
      <c r="E2277" s="111" t="s">
        <v>448</v>
      </c>
      <c r="F2277" s="265">
        <v>42444</v>
      </c>
      <c r="G2277" s="265">
        <v>42475</v>
      </c>
      <c r="H2277" s="266">
        <v>3083.76</v>
      </c>
      <c r="I2277" s="266">
        <f t="shared" ref="I2277:I2308" si="193">X2277/1.18</f>
        <v>0</v>
      </c>
      <c r="J2277" s="266">
        <v>1</v>
      </c>
      <c r="K2277" s="266">
        <f t="shared" ref="K2277:K2308" si="194">(H2277-I2277)*J2277%</f>
        <v>30.837600000000002</v>
      </c>
      <c r="L2277" s="29">
        <f t="shared" ref="L2277:L2308" si="195">G2277-F2277</f>
        <v>31</v>
      </c>
      <c r="U2277" s="29">
        <v>0</v>
      </c>
      <c r="V2277" s="292">
        <v>555.08000000000004</v>
      </c>
      <c r="W2277" s="29">
        <v>3638.84</v>
      </c>
      <c r="X2277" s="29">
        <v>0</v>
      </c>
      <c r="Y2277" s="29">
        <v>1</v>
      </c>
      <c r="Z2277" s="29">
        <v>36.388399999999997</v>
      </c>
    </row>
    <row r="2278" spans="1:26">
      <c r="A2278" s="29">
        <v>66</v>
      </c>
      <c r="B2278" s="111">
        <v>1</v>
      </c>
      <c r="C2278" s="111">
        <v>324501</v>
      </c>
      <c r="D2278" s="111" t="s">
        <v>758</v>
      </c>
      <c r="E2278" s="111" t="s">
        <v>448</v>
      </c>
      <c r="F2278" s="265">
        <v>42445</v>
      </c>
      <c r="G2278" s="265">
        <v>42490</v>
      </c>
      <c r="H2278" s="266">
        <v>652.59</v>
      </c>
      <c r="I2278" s="266">
        <f t="shared" si="193"/>
        <v>0</v>
      </c>
      <c r="J2278" s="266">
        <v>1</v>
      </c>
      <c r="K2278" s="266">
        <f t="shared" si="194"/>
        <v>6.5259</v>
      </c>
      <c r="L2278" s="29">
        <f t="shared" si="195"/>
        <v>45</v>
      </c>
      <c r="U2278" s="29">
        <v>0</v>
      </c>
      <c r="V2278" s="292">
        <v>117.47</v>
      </c>
      <c r="W2278" s="29">
        <v>770.06</v>
      </c>
      <c r="X2278" s="29">
        <v>0</v>
      </c>
      <c r="Y2278" s="29">
        <v>1</v>
      </c>
      <c r="Z2278" s="29">
        <v>7.7005999999999997</v>
      </c>
    </row>
    <row r="2279" spans="1:26">
      <c r="A2279" s="29">
        <v>67</v>
      </c>
      <c r="B2279" s="111">
        <v>1</v>
      </c>
      <c r="C2279" s="111">
        <v>324581</v>
      </c>
      <c r="D2279" s="111" t="s">
        <v>758</v>
      </c>
      <c r="E2279" s="111" t="s">
        <v>448</v>
      </c>
      <c r="F2279" s="265">
        <v>42446</v>
      </c>
      <c r="G2279" s="265">
        <v>42490</v>
      </c>
      <c r="H2279" s="266">
        <v>1254.94</v>
      </c>
      <c r="I2279" s="266">
        <f t="shared" si="193"/>
        <v>0</v>
      </c>
      <c r="J2279" s="266">
        <v>1</v>
      </c>
      <c r="K2279" s="266">
        <f t="shared" si="194"/>
        <v>12.5494</v>
      </c>
      <c r="L2279" s="29">
        <f t="shared" si="195"/>
        <v>44</v>
      </c>
      <c r="U2279" s="29">
        <v>0</v>
      </c>
      <c r="V2279" s="292">
        <v>225.89</v>
      </c>
      <c r="W2279" s="29">
        <v>1480.83</v>
      </c>
      <c r="X2279" s="29">
        <v>0</v>
      </c>
      <c r="Y2279" s="29">
        <v>1</v>
      </c>
      <c r="Z2279" s="29">
        <v>14.808299999999999</v>
      </c>
    </row>
    <row r="2280" spans="1:26">
      <c r="A2280" s="29">
        <v>68</v>
      </c>
      <c r="B2280" s="111">
        <v>1</v>
      </c>
      <c r="C2280" s="111">
        <v>324681</v>
      </c>
      <c r="D2280" s="111" t="s">
        <v>758</v>
      </c>
      <c r="E2280" s="111" t="s">
        <v>448</v>
      </c>
      <c r="F2280" s="265">
        <v>42447</v>
      </c>
      <c r="G2280" s="265">
        <v>42490</v>
      </c>
      <c r="H2280" s="266">
        <v>4799.1899999999996</v>
      </c>
      <c r="I2280" s="266">
        <f t="shared" si="193"/>
        <v>0</v>
      </c>
      <c r="J2280" s="266">
        <v>1</v>
      </c>
      <c r="K2280" s="266">
        <f t="shared" si="194"/>
        <v>47.991899999999994</v>
      </c>
      <c r="L2280" s="29">
        <f t="shared" si="195"/>
        <v>43</v>
      </c>
      <c r="U2280" s="29">
        <v>0</v>
      </c>
      <c r="V2280" s="292">
        <v>863.85</v>
      </c>
      <c r="W2280" s="29">
        <v>5663.04</v>
      </c>
      <c r="X2280" s="29">
        <v>0</v>
      </c>
      <c r="Y2280" s="29">
        <v>1</v>
      </c>
      <c r="Z2280" s="29">
        <v>56.630400000000002</v>
      </c>
    </row>
    <row r="2281" spans="1:26">
      <c r="A2281" s="29">
        <v>69</v>
      </c>
      <c r="B2281" s="111">
        <v>1</v>
      </c>
      <c r="C2281" s="111">
        <v>324682</v>
      </c>
      <c r="D2281" s="111" t="s">
        <v>758</v>
      </c>
      <c r="E2281" s="111" t="s">
        <v>448</v>
      </c>
      <c r="F2281" s="265">
        <v>42447</v>
      </c>
      <c r="G2281" s="265">
        <v>42490</v>
      </c>
      <c r="H2281" s="266">
        <v>2964.18</v>
      </c>
      <c r="I2281" s="266">
        <f t="shared" si="193"/>
        <v>0</v>
      </c>
      <c r="J2281" s="266">
        <v>1</v>
      </c>
      <c r="K2281" s="266">
        <f t="shared" si="194"/>
        <v>29.6418</v>
      </c>
      <c r="L2281" s="29">
        <f t="shared" si="195"/>
        <v>43</v>
      </c>
      <c r="U2281" s="29">
        <v>0</v>
      </c>
      <c r="V2281" s="292">
        <v>533.54999999999995</v>
      </c>
      <c r="W2281" s="29">
        <v>3497.73</v>
      </c>
      <c r="X2281" s="29">
        <v>0</v>
      </c>
      <c r="Y2281" s="29">
        <v>1</v>
      </c>
      <c r="Z2281" s="29">
        <v>34.9773</v>
      </c>
    </row>
    <row r="2282" spans="1:26">
      <c r="A2282" s="29">
        <v>70</v>
      </c>
      <c r="B2282" s="111">
        <v>1</v>
      </c>
      <c r="C2282" s="111">
        <v>324680</v>
      </c>
      <c r="D2282" s="111" t="s">
        <v>758</v>
      </c>
      <c r="E2282" s="111" t="s">
        <v>448</v>
      </c>
      <c r="F2282" s="265">
        <v>42447</v>
      </c>
      <c r="G2282" s="265">
        <v>42490</v>
      </c>
      <c r="H2282" s="266">
        <v>4433.5600000000004</v>
      </c>
      <c r="I2282" s="266">
        <f t="shared" si="193"/>
        <v>0</v>
      </c>
      <c r="J2282" s="266">
        <v>1</v>
      </c>
      <c r="K2282" s="266">
        <f t="shared" si="194"/>
        <v>44.335600000000007</v>
      </c>
      <c r="L2282" s="29">
        <f t="shared" si="195"/>
        <v>43</v>
      </c>
      <c r="U2282" s="29">
        <v>0</v>
      </c>
      <c r="V2282" s="292">
        <v>798.04</v>
      </c>
      <c r="W2282" s="29">
        <v>5231.6000000000004</v>
      </c>
      <c r="X2282" s="29">
        <v>0</v>
      </c>
      <c r="Y2282" s="29">
        <v>1</v>
      </c>
      <c r="Z2282" s="29">
        <v>52.316000000000003</v>
      </c>
    </row>
    <row r="2283" spans="1:26">
      <c r="A2283" s="29">
        <v>71</v>
      </c>
      <c r="B2283" s="111">
        <v>1</v>
      </c>
      <c r="C2283" s="111">
        <v>324787</v>
      </c>
      <c r="D2283" s="111" t="s">
        <v>758</v>
      </c>
      <c r="E2283" s="111" t="s">
        <v>448</v>
      </c>
      <c r="F2283" s="265">
        <v>42448</v>
      </c>
      <c r="G2283" s="265">
        <v>42490</v>
      </c>
      <c r="H2283" s="266">
        <v>274.33</v>
      </c>
      <c r="I2283" s="266">
        <f t="shared" si="193"/>
        <v>0</v>
      </c>
      <c r="J2283" s="266">
        <v>1</v>
      </c>
      <c r="K2283" s="266">
        <f t="shared" si="194"/>
        <v>2.7433000000000001</v>
      </c>
      <c r="L2283" s="29">
        <f t="shared" si="195"/>
        <v>42</v>
      </c>
      <c r="U2283" s="29">
        <v>0</v>
      </c>
      <c r="V2283" s="292">
        <v>49.38</v>
      </c>
      <c r="W2283" s="29">
        <v>323.70999999999998</v>
      </c>
      <c r="X2283" s="29">
        <v>0</v>
      </c>
      <c r="Y2283" s="29">
        <v>1</v>
      </c>
      <c r="Z2283" s="29">
        <v>3.2370999999999999</v>
      </c>
    </row>
    <row r="2284" spans="1:26">
      <c r="A2284" s="29">
        <v>72</v>
      </c>
      <c r="B2284" s="111">
        <v>1</v>
      </c>
      <c r="C2284" s="111">
        <v>324777</v>
      </c>
      <c r="D2284" s="111" t="s">
        <v>758</v>
      </c>
      <c r="E2284" s="111" t="s">
        <v>448</v>
      </c>
      <c r="F2284" s="265">
        <v>42448</v>
      </c>
      <c r="G2284" s="265">
        <v>42490</v>
      </c>
      <c r="H2284" s="266">
        <v>1621.6</v>
      </c>
      <c r="I2284" s="266">
        <f t="shared" si="193"/>
        <v>0</v>
      </c>
      <c r="J2284" s="266">
        <v>1</v>
      </c>
      <c r="K2284" s="266">
        <f t="shared" si="194"/>
        <v>16.216000000000001</v>
      </c>
      <c r="L2284" s="29">
        <f t="shared" si="195"/>
        <v>42</v>
      </c>
      <c r="U2284" s="29">
        <v>0</v>
      </c>
      <c r="V2284" s="292">
        <v>291.89</v>
      </c>
      <c r="W2284" s="29">
        <v>1913.49</v>
      </c>
      <c r="X2284" s="29">
        <v>0</v>
      </c>
      <c r="Y2284" s="29">
        <v>1</v>
      </c>
      <c r="Z2284" s="29">
        <v>19.134899999999998</v>
      </c>
    </row>
    <row r="2285" spans="1:26">
      <c r="A2285" s="29">
        <v>73</v>
      </c>
      <c r="B2285" s="111">
        <v>1</v>
      </c>
      <c r="C2285" s="111">
        <v>324835</v>
      </c>
      <c r="D2285" s="111" t="s">
        <v>758</v>
      </c>
      <c r="E2285" s="111" t="s">
        <v>448</v>
      </c>
      <c r="F2285" s="265">
        <v>42450</v>
      </c>
      <c r="G2285" s="265">
        <v>42490</v>
      </c>
      <c r="H2285" s="266">
        <v>7415.36</v>
      </c>
      <c r="I2285" s="266">
        <f t="shared" si="193"/>
        <v>0</v>
      </c>
      <c r="J2285" s="266">
        <v>1</v>
      </c>
      <c r="K2285" s="266">
        <f t="shared" si="194"/>
        <v>74.153599999999997</v>
      </c>
      <c r="L2285" s="29">
        <f t="shared" si="195"/>
        <v>40</v>
      </c>
      <c r="U2285" s="29">
        <v>0</v>
      </c>
      <c r="V2285" s="292">
        <v>1334.76</v>
      </c>
      <c r="W2285" s="29">
        <v>8750.1200000000008</v>
      </c>
      <c r="X2285" s="29">
        <v>0</v>
      </c>
      <c r="Y2285" s="29">
        <v>1</v>
      </c>
      <c r="Z2285" s="29">
        <v>87.501199999999997</v>
      </c>
    </row>
    <row r="2286" spans="1:26">
      <c r="A2286" s="29">
        <v>74</v>
      </c>
      <c r="B2286" s="111">
        <v>1</v>
      </c>
      <c r="C2286" s="111">
        <v>324899</v>
      </c>
      <c r="D2286" s="111" t="s">
        <v>758</v>
      </c>
      <c r="E2286" s="111" t="s">
        <v>448</v>
      </c>
      <c r="F2286" s="265">
        <v>42451</v>
      </c>
      <c r="G2286" s="265">
        <v>42490</v>
      </c>
      <c r="H2286" s="266">
        <v>429.03</v>
      </c>
      <c r="I2286" s="266">
        <f t="shared" si="193"/>
        <v>0</v>
      </c>
      <c r="J2286" s="266">
        <v>1</v>
      </c>
      <c r="K2286" s="266">
        <f t="shared" si="194"/>
        <v>4.2903000000000002</v>
      </c>
      <c r="L2286" s="29">
        <f t="shared" si="195"/>
        <v>39</v>
      </c>
      <c r="U2286" s="29">
        <v>0</v>
      </c>
      <c r="V2286" s="292">
        <v>77.23</v>
      </c>
      <c r="W2286" s="29">
        <v>506.26</v>
      </c>
      <c r="X2286" s="29">
        <v>0</v>
      </c>
      <c r="Y2286" s="29">
        <v>1</v>
      </c>
      <c r="Z2286" s="29">
        <v>5.0625999999999998</v>
      </c>
    </row>
    <row r="2287" spans="1:26">
      <c r="A2287" s="29">
        <v>75</v>
      </c>
      <c r="B2287" s="111">
        <v>1</v>
      </c>
      <c r="C2287" s="111">
        <v>324916</v>
      </c>
      <c r="D2287" s="111" t="s">
        <v>758</v>
      </c>
      <c r="E2287" s="111" t="s">
        <v>448</v>
      </c>
      <c r="F2287" s="265">
        <v>42451</v>
      </c>
      <c r="G2287" s="265">
        <v>42490</v>
      </c>
      <c r="H2287" s="266">
        <v>6633.96</v>
      </c>
      <c r="I2287" s="266">
        <f t="shared" si="193"/>
        <v>0</v>
      </c>
      <c r="J2287" s="266">
        <v>1</v>
      </c>
      <c r="K2287" s="266">
        <f t="shared" si="194"/>
        <v>66.339600000000004</v>
      </c>
      <c r="L2287" s="29">
        <f t="shared" si="195"/>
        <v>39</v>
      </c>
      <c r="U2287" s="29">
        <v>0</v>
      </c>
      <c r="V2287" s="292">
        <v>1194.1099999999999</v>
      </c>
      <c r="W2287" s="29">
        <v>7828.07</v>
      </c>
      <c r="X2287" s="29">
        <v>0</v>
      </c>
      <c r="Y2287" s="29">
        <v>1</v>
      </c>
      <c r="Z2287" s="29">
        <v>78.280699999999996</v>
      </c>
    </row>
    <row r="2288" spans="1:26">
      <c r="A2288" s="29">
        <v>76</v>
      </c>
      <c r="B2288" s="111">
        <v>1</v>
      </c>
      <c r="C2288" s="111">
        <v>325174</v>
      </c>
      <c r="D2288" s="111" t="s">
        <v>758</v>
      </c>
      <c r="E2288" s="111" t="s">
        <v>448</v>
      </c>
      <c r="F2288" s="265">
        <v>42452</v>
      </c>
      <c r="G2288" s="265">
        <v>42490</v>
      </c>
      <c r="H2288" s="266">
        <v>3949.88</v>
      </c>
      <c r="I2288" s="266">
        <f t="shared" si="193"/>
        <v>1075.457627118644</v>
      </c>
      <c r="J2288" s="266">
        <v>1</v>
      </c>
      <c r="K2288" s="266">
        <f t="shared" si="194"/>
        <v>28.744223728813559</v>
      </c>
      <c r="L2288" s="29">
        <f t="shared" si="195"/>
        <v>38</v>
      </c>
      <c r="U2288" s="29">
        <v>0</v>
      </c>
      <c r="V2288" s="292">
        <v>710.98</v>
      </c>
      <c r="W2288" s="29">
        <v>4660.8599999999997</v>
      </c>
      <c r="X2288" s="29">
        <v>1269.04</v>
      </c>
      <c r="Y2288" s="29">
        <v>1</v>
      </c>
      <c r="Z2288" s="29">
        <v>33.918199999999999</v>
      </c>
    </row>
    <row r="2289" spans="1:26">
      <c r="A2289" s="29">
        <v>77</v>
      </c>
      <c r="B2289" s="111">
        <v>1</v>
      </c>
      <c r="C2289" s="111">
        <v>325202</v>
      </c>
      <c r="D2289" s="111" t="s">
        <v>758</v>
      </c>
      <c r="E2289" s="111" t="s">
        <v>448</v>
      </c>
      <c r="F2289" s="265">
        <v>42455</v>
      </c>
      <c r="G2289" s="265">
        <v>42490</v>
      </c>
      <c r="H2289" s="266">
        <v>8018.66</v>
      </c>
      <c r="I2289" s="266">
        <f t="shared" si="193"/>
        <v>0</v>
      </c>
      <c r="J2289" s="266">
        <v>1</v>
      </c>
      <c r="K2289" s="266">
        <f t="shared" si="194"/>
        <v>80.186599999999999</v>
      </c>
      <c r="L2289" s="29">
        <f t="shared" si="195"/>
        <v>35</v>
      </c>
      <c r="U2289" s="29">
        <v>0</v>
      </c>
      <c r="V2289" s="292">
        <v>1443.36</v>
      </c>
      <c r="W2289" s="29">
        <v>9462.02</v>
      </c>
      <c r="X2289" s="29">
        <v>0</v>
      </c>
      <c r="Y2289" s="29">
        <v>1</v>
      </c>
      <c r="Z2289" s="29">
        <v>94.620199999999997</v>
      </c>
    </row>
    <row r="2290" spans="1:26">
      <c r="A2290" s="29">
        <v>78</v>
      </c>
      <c r="B2290" s="111">
        <v>1</v>
      </c>
      <c r="C2290" s="111">
        <v>325203</v>
      </c>
      <c r="D2290" s="111" t="s">
        <v>758</v>
      </c>
      <c r="E2290" s="111" t="s">
        <v>448</v>
      </c>
      <c r="F2290" s="265">
        <v>42455</v>
      </c>
      <c r="G2290" s="265">
        <v>42490</v>
      </c>
      <c r="H2290" s="266">
        <v>4765.95</v>
      </c>
      <c r="I2290" s="266">
        <f t="shared" si="193"/>
        <v>0</v>
      </c>
      <c r="J2290" s="266">
        <v>1</v>
      </c>
      <c r="K2290" s="266">
        <f t="shared" si="194"/>
        <v>47.659500000000001</v>
      </c>
      <c r="L2290" s="29">
        <f t="shared" si="195"/>
        <v>35</v>
      </c>
      <c r="U2290" s="29">
        <v>0</v>
      </c>
      <c r="V2290" s="292">
        <v>857.87</v>
      </c>
      <c r="W2290" s="29">
        <v>5623.82</v>
      </c>
      <c r="X2290" s="29">
        <v>0</v>
      </c>
      <c r="Y2290" s="29">
        <v>1</v>
      </c>
      <c r="Z2290" s="29">
        <v>56.238199999999999</v>
      </c>
    </row>
    <row r="2291" spans="1:26">
      <c r="A2291" s="29">
        <v>79</v>
      </c>
      <c r="B2291" s="111">
        <v>1</v>
      </c>
      <c r="C2291" s="111">
        <v>325204</v>
      </c>
      <c r="D2291" s="111" t="s">
        <v>758</v>
      </c>
      <c r="E2291" s="111" t="s">
        <v>448</v>
      </c>
      <c r="F2291" s="265">
        <v>42455</v>
      </c>
      <c r="G2291" s="265">
        <v>42490</v>
      </c>
      <c r="H2291" s="266">
        <v>654.92999999999995</v>
      </c>
      <c r="I2291" s="266">
        <f t="shared" si="193"/>
        <v>0</v>
      </c>
      <c r="J2291" s="266">
        <v>1</v>
      </c>
      <c r="K2291" s="266">
        <f t="shared" si="194"/>
        <v>6.5492999999999997</v>
      </c>
      <c r="L2291" s="29">
        <f t="shared" si="195"/>
        <v>35</v>
      </c>
      <c r="U2291" s="29">
        <v>0</v>
      </c>
      <c r="V2291" s="292">
        <v>117.89</v>
      </c>
      <c r="W2291" s="29">
        <v>772.82</v>
      </c>
      <c r="X2291" s="29">
        <v>0</v>
      </c>
      <c r="Y2291" s="29">
        <v>1</v>
      </c>
      <c r="Z2291" s="29">
        <v>7.7282000000000002</v>
      </c>
    </row>
    <row r="2292" spans="1:26">
      <c r="A2292" s="29">
        <v>80</v>
      </c>
      <c r="B2292" s="111">
        <v>1</v>
      </c>
      <c r="C2292" s="111">
        <v>325293</v>
      </c>
      <c r="D2292" s="111" t="s">
        <v>758</v>
      </c>
      <c r="E2292" s="111" t="s">
        <v>448</v>
      </c>
      <c r="F2292" s="265">
        <v>42457</v>
      </c>
      <c r="G2292" s="265">
        <v>42490</v>
      </c>
      <c r="H2292" s="266">
        <v>1377</v>
      </c>
      <c r="I2292" s="266">
        <f t="shared" si="193"/>
        <v>0</v>
      </c>
      <c r="J2292" s="266">
        <v>1</v>
      </c>
      <c r="K2292" s="266">
        <f t="shared" si="194"/>
        <v>13.77</v>
      </c>
      <c r="L2292" s="29">
        <f t="shared" si="195"/>
        <v>33</v>
      </c>
      <c r="U2292" s="29">
        <v>0</v>
      </c>
      <c r="V2292" s="292">
        <v>247.86</v>
      </c>
      <c r="W2292" s="29">
        <v>1624.86</v>
      </c>
      <c r="X2292" s="29">
        <v>0</v>
      </c>
      <c r="Y2292" s="29">
        <v>1</v>
      </c>
      <c r="Z2292" s="29">
        <v>16.2486</v>
      </c>
    </row>
    <row r="2293" spans="1:26">
      <c r="A2293" s="29">
        <v>81</v>
      </c>
      <c r="B2293" s="111">
        <v>1</v>
      </c>
      <c r="C2293" s="111">
        <v>325357</v>
      </c>
      <c r="D2293" s="111" t="s">
        <v>767</v>
      </c>
      <c r="E2293" s="111" t="s">
        <v>448</v>
      </c>
      <c r="F2293" s="265">
        <v>42458</v>
      </c>
      <c r="G2293" s="265">
        <v>42464</v>
      </c>
      <c r="H2293" s="266">
        <v>137.41999999999999</v>
      </c>
      <c r="I2293" s="266">
        <f t="shared" si="193"/>
        <v>0</v>
      </c>
      <c r="J2293" s="266">
        <v>1</v>
      </c>
      <c r="K2293" s="266">
        <f t="shared" si="194"/>
        <v>1.3741999999999999</v>
      </c>
      <c r="L2293" s="29">
        <f t="shared" si="195"/>
        <v>6</v>
      </c>
      <c r="U2293" s="29">
        <v>0</v>
      </c>
      <c r="V2293" s="292">
        <v>24.74</v>
      </c>
      <c r="W2293" s="29">
        <v>162.16</v>
      </c>
      <c r="X2293" s="29">
        <v>0</v>
      </c>
      <c r="Y2293" s="29">
        <v>1</v>
      </c>
      <c r="Z2293" s="29">
        <v>1.6215999999999999</v>
      </c>
    </row>
    <row r="2294" spans="1:26">
      <c r="A2294" s="29">
        <v>82</v>
      </c>
      <c r="B2294" s="111">
        <v>1</v>
      </c>
      <c r="C2294" s="111">
        <v>325436</v>
      </c>
      <c r="D2294" s="111" t="s">
        <v>758</v>
      </c>
      <c r="E2294" s="111" t="s">
        <v>448</v>
      </c>
      <c r="F2294" s="265">
        <v>42458</v>
      </c>
      <c r="G2294" s="265">
        <v>42490</v>
      </c>
      <c r="H2294" s="266">
        <v>3124</v>
      </c>
      <c r="I2294" s="266">
        <f t="shared" si="193"/>
        <v>0</v>
      </c>
      <c r="J2294" s="266">
        <v>1</v>
      </c>
      <c r="K2294" s="266">
        <f t="shared" si="194"/>
        <v>31.240000000000002</v>
      </c>
      <c r="L2294" s="29">
        <f t="shared" si="195"/>
        <v>32</v>
      </c>
      <c r="U2294" s="29">
        <v>0</v>
      </c>
      <c r="V2294" s="292">
        <v>562.32000000000005</v>
      </c>
      <c r="W2294" s="29">
        <v>3686.32</v>
      </c>
      <c r="X2294" s="29">
        <v>0</v>
      </c>
      <c r="Y2294" s="29">
        <v>1</v>
      </c>
      <c r="Z2294" s="29">
        <v>36.863199999999999</v>
      </c>
    </row>
    <row r="2295" spans="1:26">
      <c r="A2295" s="29">
        <v>83</v>
      </c>
      <c r="B2295" s="111">
        <v>1</v>
      </c>
      <c r="C2295" s="111">
        <v>325462</v>
      </c>
      <c r="D2295" s="111" t="s">
        <v>758</v>
      </c>
      <c r="E2295" s="111" t="s">
        <v>448</v>
      </c>
      <c r="F2295" s="265">
        <v>42458</v>
      </c>
      <c r="G2295" s="265">
        <v>42490</v>
      </c>
      <c r="H2295" s="266">
        <v>599.96</v>
      </c>
      <c r="I2295" s="266">
        <f t="shared" si="193"/>
        <v>0</v>
      </c>
      <c r="J2295" s="266">
        <v>1</v>
      </c>
      <c r="K2295" s="266">
        <f t="shared" si="194"/>
        <v>5.9996000000000009</v>
      </c>
      <c r="L2295" s="29">
        <f t="shared" si="195"/>
        <v>32</v>
      </c>
      <c r="U2295" s="29">
        <v>0</v>
      </c>
      <c r="V2295" s="292">
        <v>107.99</v>
      </c>
      <c r="W2295" s="29">
        <v>707.95</v>
      </c>
      <c r="X2295" s="29">
        <v>0</v>
      </c>
      <c r="Y2295" s="29">
        <v>1</v>
      </c>
      <c r="Z2295" s="29">
        <v>7.0795000000000003</v>
      </c>
    </row>
    <row r="2296" spans="1:26">
      <c r="A2296" s="29">
        <v>84</v>
      </c>
      <c r="B2296" s="111">
        <v>1</v>
      </c>
      <c r="C2296" s="111">
        <v>325644</v>
      </c>
      <c r="D2296" s="111" t="s">
        <v>758</v>
      </c>
      <c r="E2296" s="111" t="s">
        <v>448</v>
      </c>
      <c r="F2296" s="265">
        <v>42460</v>
      </c>
      <c r="G2296" s="265">
        <v>42490</v>
      </c>
      <c r="H2296" s="266">
        <v>7524.7</v>
      </c>
      <c r="I2296" s="266">
        <f t="shared" si="193"/>
        <v>0</v>
      </c>
      <c r="J2296" s="266">
        <v>1</v>
      </c>
      <c r="K2296" s="266">
        <f t="shared" si="194"/>
        <v>75.247</v>
      </c>
      <c r="L2296" s="29">
        <f t="shared" si="195"/>
        <v>30</v>
      </c>
      <c r="U2296" s="29">
        <v>0</v>
      </c>
      <c r="V2296" s="292">
        <v>1354.45</v>
      </c>
      <c r="W2296" s="29">
        <v>8879.15</v>
      </c>
      <c r="X2296" s="29">
        <v>0</v>
      </c>
      <c r="Y2296" s="29">
        <v>1</v>
      </c>
      <c r="Z2296" s="29">
        <v>88.791499999999999</v>
      </c>
    </row>
    <row r="2297" spans="1:26">
      <c r="A2297" s="29">
        <v>85</v>
      </c>
      <c r="B2297" s="111">
        <v>1</v>
      </c>
      <c r="C2297" s="111">
        <v>325675</v>
      </c>
      <c r="D2297" s="111" t="s">
        <v>758</v>
      </c>
      <c r="E2297" s="111" t="s">
        <v>448</v>
      </c>
      <c r="F2297" s="265">
        <v>42460</v>
      </c>
      <c r="G2297" s="265">
        <v>42490</v>
      </c>
      <c r="H2297" s="266">
        <v>6804.24</v>
      </c>
      <c r="I2297" s="266">
        <f t="shared" si="193"/>
        <v>0</v>
      </c>
      <c r="J2297" s="266">
        <v>1</v>
      </c>
      <c r="K2297" s="266">
        <f t="shared" si="194"/>
        <v>68.042400000000001</v>
      </c>
      <c r="L2297" s="29">
        <f t="shared" si="195"/>
        <v>30</v>
      </c>
      <c r="U2297" s="29">
        <v>0</v>
      </c>
      <c r="V2297" s="292">
        <v>1224.76</v>
      </c>
      <c r="W2297" s="29">
        <v>8029</v>
      </c>
      <c r="X2297" s="29">
        <v>0</v>
      </c>
      <c r="Y2297" s="29">
        <v>1</v>
      </c>
      <c r="Z2297" s="29">
        <v>80.290000000000006</v>
      </c>
    </row>
    <row r="2298" spans="1:26">
      <c r="A2298" s="29">
        <v>86</v>
      </c>
      <c r="B2298" s="111">
        <v>1</v>
      </c>
      <c r="C2298" s="111">
        <v>325674</v>
      </c>
      <c r="D2298" s="111" t="s">
        <v>758</v>
      </c>
      <c r="E2298" s="111" t="s">
        <v>448</v>
      </c>
      <c r="F2298" s="265">
        <v>42460</v>
      </c>
      <c r="G2298" s="265">
        <v>42490</v>
      </c>
      <c r="H2298" s="266">
        <v>5194.8100000000004</v>
      </c>
      <c r="I2298" s="266">
        <f t="shared" si="193"/>
        <v>0</v>
      </c>
      <c r="J2298" s="266">
        <v>1</v>
      </c>
      <c r="K2298" s="266">
        <f t="shared" si="194"/>
        <v>51.948100000000004</v>
      </c>
      <c r="L2298" s="29">
        <f t="shared" si="195"/>
        <v>30</v>
      </c>
      <c r="U2298" s="29">
        <v>0</v>
      </c>
      <c r="V2298" s="292">
        <v>935.07</v>
      </c>
      <c r="W2298" s="29">
        <v>6129.88</v>
      </c>
      <c r="X2298" s="29">
        <v>0</v>
      </c>
      <c r="Y2298" s="29">
        <v>1</v>
      </c>
      <c r="Z2298" s="29">
        <v>61.2988</v>
      </c>
    </row>
    <row r="2299" spans="1:26">
      <c r="A2299" s="29">
        <v>87</v>
      </c>
      <c r="B2299" s="111">
        <v>1</v>
      </c>
      <c r="C2299" s="111">
        <v>325741</v>
      </c>
      <c r="D2299" s="111" t="s">
        <v>758</v>
      </c>
      <c r="E2299" s="111" t="s">
        <v>448</v>
      </c>
      <c r="F2299" s="265">
        <v>42460</v>
      </c>
      <c r="G2299" s="265">
        <v>42490</v>
      </c>
      <c r="H2299" s="266">
        <v>4166.38</v>
      </c>
      <c r="I2299" s="266">
        <f t="shared" si="193"/>
        <v>0</v>
      </c>
      <c r="J2299" s="266">
        <v>1</v>
      </c>
      <c r="K2299" s="266">
        <f t="shared" si="194"/>
        <v>41.663800000000002</v>
      </c>
      <c r="L2299" s="29">
        <f t="shared" si="195"/>
        <v>30</v>
      </c>
      <c r="U2299" s="29">
        <v>0</v>
      </c>
      <c r="V2299" s="292">
        <v>749.95</v>
      </c>
      <c r="W2299" s="29">
        <v>4916.33</v>
      </c>
      <c r="X2299" s="29">
        <v>0</v>
      </c>
      <c r="Y2299" s="29">
        <v>1</v>
      </c>
      <c r="Z2299" s="29">
        <v>49.1633</v>
      </c>
    </row>
    <row r="2300" spans="1:26">
      <c r="A2300" s="29">
        <v>88</v>
      </c>
      <c r="B2300" s="111">
        <v>1</v>
      </c>
      <c r="C2300" s="111">
        <v>325834</v>
      </c>
      <c r="D2300" s="111" t="s">
        <v>758</v>
      </c>
      <c r="E2300" s="111" t="s">
        <v>448</v>
      </c>
      <c r="F2300" s="265">
        <v>42460</v>
      </c>
      <c r="G2300" s="265">
        <v>42490</v>
      </c>
      <c r="H2300" s="266">
        <v>14671.95</v>
      </c>
      <c r="I2300" s="266">
        <f t="shared" si="193"/>
        <v>0</v>
      </c>
      <c r="J2300" s="266">
        <v>1</v>
      </c>
      <c r="K2300" s="266">
        <f t="shared" si="194"/>
        <v>146.71950000000001</v>
      </c>
      <c r="L2300" s="29">
        <f t="shared" si="195"/>
        <v>30</v>
      </c>
      <c r="U2300" s="29">
        <v>0</v>
      </c>
      <c r="V2300" s="292">
        <v>2640.95</v>
      </c>
      <c r="W2300" s="29">
        <v>17312.900000000001</v>
      </c>
      <c r="X2300" s="29">
        <v>0</v>
      </c>
      <c r="Y2300" s="29">
        <v>1</v>
      </c>
      <c r="Z2300" s="29">
        <v>173.12899999999999</v>
      </c>
    </row>
    <row r="2301" spans="1:26">
      <c r="A2301" s="29">
        <v>89</v>
      </c>
      <c r="B2301" s="111">
        <v>1</v>
      </c>
      <c r="C2301" s="111">
        <v>325869</v>
      </c>
      <c r="D2301" s="111" t="s">
        <v>805</v>
      </c>
      <c r="E2301" s="111" t="s">
        <v>448</v>
      </c>
      <c r="F2301" s="265">
        <v>42460</v>
      </c>
      <c r="G2301" s="265">
        <v>42465</v>
      </c>
      <c r="H2301" s="266">
        <v>264.93</v>
      </c>
      <c r="I2301" s="266">
        <f t="shared" si="193"/>
        <v>0</v>
      </c>
      <c r="J2301" s="266">
        <v>1</v>
      </c>
      <c r="K2301" s="266">
        <f t="shared" si="194"/>
        <v>2.6493000000000002</v>
      </c>
      <c r="L2301" s="29">
        <f t="shared" si="195"/>
        <v>5</v>
      </c>
      <c r="U2301" s="29">
        <v>0</v>
      </c>
      <c r="V2301" s="292">
        <v>47.69</v>
      </c>
      <c r="W2301" s="29">
        <v>312.62</v>
      </c>
      <c r="X2301" s="29">
        <v>0</v>
      </c>
      <c r="Y2301" s="29">
        <v>1</v>
      </c>
      <c r="Z2301" s="29">
        <v>3.1261999999999999</v>
      </c>
    </row>
    <row r="2302" spans="1:26">
      <c r="A2302" s="29">
        <v>90</v>
      </c>
      <c r="B2302" s="111">
        <v>1</v>
      </c>
      <c r="C2302" s="111">
        <v>326110</v>
      </c>
      <c r="D2302" s="111" t="s">
        <v>767</v>
      </c>
      <c r="E2302" s="111" t="s">
        <v>448</v>
      </c>
      <c r="F2302" s="265">
        <v>42464</v>
      </c>
      <c r="G2302" s="265">
        <v>42464</v>
      </c>
      <c r="H2302" s="266">
        <v>95.4</v>
      </c>
      <c r="I2302" s="266">
        <f t="shared" si="193"/>
        <v>0</v>
      </c>
      <c r="J2302" s="266">
        <v>1</v>
      </c>
      <c r="K2302" s="266">
        <f t="shared" si="194"/>
        <v>0.95400000000000007</v>
      </c>
      <c r="L2302" s="29">
        <f t="shared" si="195"/>
        <v>0</v>
      </c>
      <c r="U2302" s="29">
        <v>0</v>
      </c>
      <c r="V2302" s="292">
        <v>17.170000000000002</v>
      </c>
      <c r="W2302" s="29">
        <v>112.57</v>
      </c>
      <c r="X2302" s="29">
        <v>0</v>
      </c>
      <c r="Y2302" s="29">
        <v>1</v>
      </c>
      <c r="Z2302" s="29">
        <v>1.1256999999999999</v>
      </c>
    </row>
    <row r="2303" spans="1:26">
      <c r="A2303" s="29">
        <v>91</v>
      </c>
      <c r="B2303" s="111">
        <v>1</v>
      </c>
      <c r="C2303" s="111">
        <v>325714</v>
      </c>
      <c r="D2303" s="111" t="s">
        <v>764</v>
      </c>
      <c r="E2303" s="111" t="s">
        <v>448</v>
      </c>
      <c r="F2303" s="265">
        <v>42460</v>
      </c>
      <c r="G2303" s="265">
        <v>42464</v>
      </c>
      <c r="H2303" s="266">
        <v>16274.8</v>
      </c>
      <c r="I2303" s="266">
        <f t="shared" si="193"/>
        <v>0</v>
      </c>
      <c r="J2303" s="266">
        <v>0.5</v>
      </c>
      <c r="K2303" s="266">
        <f t="shared" si="194"/>
        <v>81.373999999999995</v>
      </c>
      <c r="L2303" s="29">
        <f t="shared" si="195"/>
        <v>4</v>
      </c>
      <c r="U2303" s="29">
        <v>0</v>
      </c>
      <c r="V2303" s="292">
        <v>2929.46</v>
      </c>
      <c r="W2303" s="29">
        <v>19204.259999999998</v>
      </c>
      <c r="X2303" s="29">
        <v>0</v>
      </c>
      <c r="Y2303" s="29">
        <v>1</v>
      </c>
      <c r="Z2303" s="29">
        <v>192.04259999999999</v>
      </c>
    </row>
    <row r="2304" spans="1:26">
      <c r="A2304" s="29">
        <v>92</v>
      </c>
      <c r="B2304" s="111">
        <v>1</v>
      </c>
      <c r="C2304" s="111">
        <v>326168</v>
      </c>
      <c r="D2304" s="111" t="s">
        <v>805</v>
      </c>
      <c r="E2304" s="111" t="s">
        <v>448</v>
      </c>
      <c r="F2304" s="265">
        <v>42465</v>
      </c>
      <c r="G2304" s="265">
        <v>42479</v>
      </c>
      <c r="H2304" s="266">
        <v>747.45</v>
      </c>
      <c r="I2304" s="266">
        <f t="shared" si="193"/>
        <v>0</v>
      </c>
      <c r="J2304" s="266">
        <v>1</v>
      </c>
      <c r="K2304" s="266">
        <f t="shared" si="194"/>
        <v>7.4745000000000008</v>
      </c>
      <c r="L2304" s="29">
        <f t="shared" si="195"/>
        <v>14</v>
      </c>
      <c r="U2304" s="29">
        <v>0</v>
      </c>
      <c r="V2304" s="292">
        <v>134.54</v>
      </c>
      <c r="W2304" s="29">
        <v>881.99</v>
      </c>
      <c r="X2304" s="29">
        <v>0</v>
      </c>
      <c r="Y2304" s="29">
        <v>1</v>
      </c>
      <c r="Z2304" s="29">
        <v>8.8199000000000005</v>
      </c>
    </row>
    <row r="2305" spans="1:26">
      <c r="A2305" s="29">
        <v>93</v>
      </c>
      <c r="B2305" s="111">
        <v>1</v>
      </c>
      <c r="C2305" s="111">
        <v>326883</v>
      </c>
      <c r="D2305" s="111" t="s">
        <v>761</v>
      </c>
      <c r="E2305" s="111" t="s">
        <v>448</v>
      </c>
      <c r="F2305" s="265">
        <v>42474</v>
      </c>
      <c r="G2305" s="265">
        <v>42476</v>
      </c>
      <c r="H2305" s="266">
        <v>28250.07</v>
      </c>
      <c r="I2305" s="266">
        <f t="shared" si="193"/>
        <v>0</v>
      </c>
      <c r="J2305" s="266">
        <v>0.5</v>
      </c>
      <c r="K2305" s="266">
        <f t="shared" si="194"/>
        <v>141.25035</v>
      </c>
      <c r="L2305" s="29">
        <f t="shared" si="195"/>
        <v>2</v>
      </c>
      <c r="U2305" s="29">
        <v>0</v>
      </c>
      <c r="V2305" s="292">
        <v>5085.01</v>
      </c>
      <c r="W2305" s="29">
        <v>33335.08</v>
      </c>
      <c r="X2305" s="29">
        <v>0</v>
      </c>
      <c r="Y2305" s="29">
        <v>1</v>
      </c>
      <c r="Z2305" s="29">
        <v>333.35079999999999</v>
      </c>
    </row>
    <row r="2306" spans="1:26">
      <c r="A2306" s="29">
        <v>94</v>
      </c>
      <c r="B2306" s="111">
        <v>1</v>
      </c>
      <c r="C2306" s="111">
        <v>327035</v>
      </c>
      <c r="D2306" s="111" t="s">
        <v>772</v>
      </c>
      <c r="E2306" s="111" t="s">
        <v>448</v>
      </c>
      <c r="F2306" s="265">
        <v>42475</v>
      </c>
      <c r="G2306" s="265">
        <v>42479</v>
      </c>
      <c r="H2306" s="266">
        <v>28020.97</v>
      </c>
      <c r="I2306" s="266">
        <f t="shared" si="193"/>
        <v>0</v>
      </c>
      <c r="J2306" s="266">
        <v>0.5</v>
      </c>
      <c r="K2306" s="266">
        <f t="shared" si="194"/>
        <v>140.10485</v>
      </c>
      <c r="L2306" s="29">
        <f t="shared" si="195"/>
        <v>4</v>
      </c>
      <c r="U2306" s="29">
        <v>0</v>
      </c>
      <c r="V2306" s="292">
        <v>5043.7700000000004</v>
      </c>
      <c r="W2306" s="29">
        <v>33064.74</v>
      </c>
      <c r="X2306" s="29">
        <v>0</v>
      </c>
      <c r="Y2306" s="29">
        <v>1</v>
      </c>
      <c r="Z2306" s="29">
        <v>330.6474</v>
      </c>
    </row>
    <row r="2307" spans="1:26">
      <c r="A2307" s="29">
        <v>95</v>
      </c>
      <c r="B2307" s="111">
        <v>1</v>
      </c>
      <c r="C2307" s="111">
        <v>327036</v>
      </c>
      <c r="D2307" s="111" t="s">
        <v>772</v>
      </c>
      <c r="E2307" s="111" t="s">
        <v>448</v>
      </c>
      <c r="F2307" s="265">
        <v>42475</v>
      </c>
      <c r="G2307" s="265">
        <v>42479</v>
      </c>
      <c r="H2307" s="266">
        <v>10203.200000000001</v>
      </c>
      <c r="I2307" s="266">
        <f t="shared" si="193"/>
        <v>0</v>
      </c>
      <c r="J2307" s="266">
        <v>0.5</v>
      </c>
      <c r="K2307" s="266">
        <f t="shared" si="194"/>
        <v>51.016000000000005</v>
      </c>
      <c r="L2307" s="29">
        <f t="shared" si="195"/>
        <v>4</v>
      </c>
      <c r="U2307" s="29">
        <v>0</v>
      </c>
      <c r="V2307" s="292">
        <v>1836.58</v>
      </c>
      <c r="W2307" s="29">
        <v>12039.78</v>
      </c>
      <c r="X2307" s="29">
        <v>0</v>
      </c>
      <c r="Y2307" s="29">
        <v>1</v>
      </c>
      <c r="Z2307" s="29">
        <v>120.3978</v>
      </c>
    </row>
    <row r="2308" spans="1:26">
      <c r="A2308" s="29">
        <v>96</v>
      </c>
      <c r="B2308" s="111">
        <v>1</v>
      </c>
      <c r="C2308" s="111">
        <v>327819</v>
      </c>
      <c r="D2308" s="111" t="s">
        <v>807</v>
      </c>
      <c r="E2308" s="111" t="s">
        <v>448</v>
      </c>
      <c r="F2308" s="265">
        <v>42486</v>
      </c>
      <c r="G2308" s="265">
        <v>42488</v>
      </c>
      <c r="H2308" s="266">
        <v>7076</v>
      </c>
      <c r="I2308" s="266">
        <f t="shared" si="193"/>
        <v>0</v>
      </c>
      <c r="J2308" s="266">
        <v>0.5</v>
      </c>
      <c r="K2308" s="266">
        <f t="shared" si="194"/>
        <v>35.380000000000003</v>
      </c>
      <c r="L2308" s="29">
        <f t="shared" si="195"/>
        <v>2</v>
      </c>
      <c r="U2308" s="29">
        <v>0</v>
      </c>
      <c r="V2308" s="292">
        <v>1273.68</v>
      </c>
      <c r="W2308" s="29">
        <v>8349.68</v>
      </c>
      <c r="X2308" s="29">
        <v>0</v>
      </c>
      <c r="Y2308" s="29">
        <v>1</v>
      </c>
      <c r="Z2308" s="29">
        <v>83.496799999999993</v>
      </c>
    </row>
    <row r="2309" spans="1:26">
      <c r="G2309" s="268" t="s">
        <v>765</v>
      </c>
      <c r="H2309" s="269">
        <f>SUM(H2213:H2308)</f>
        <v>325226.40999999997</v>
      </c>
      <c r="I2309" s="59"/>
      <c r="J2309" s="311" t="s">
        <v>383</v>
      </c>
      <c r="K2309" s="269">
        <f>SUM(K2213:K2308)</f>
        <v>2597.109583050848</v>
      </c>
    </row>
    <row r="2314" spans="1:26">
      <c r="B2314" s="29">
        <v>1</v>
      </c>
      <c r="C2314" s="29">
        <v>320104</v>
      </c>
      <c r="D2314" s="29" t="s">
        <v>772</v>
      </c>
      <c r="E2314" s="29" t="s">
        <v>448</v>
      </c>
      <c r="F2314" s="263">
        <v>42390</v>
      </c>
      <c r="G2314" s="263">
        <v>42486</v>
      </c>
      <c r="H2314" s="29">
        <v>31134.400000000001</v>
      </c>
      <c r="I2314" s="29">
        <v>0</v>
      </c>
      <c r="J2314" s="292">
        <v>5604.19</v>
      </c>
      <c r="K2314" s="29">
        <v>36738.589999999997</v>
      </c>
      <c r="L2314" s="29">
        <v>0</v>
      </c>
      <c r="M2314" s="29">
        <v>1</v>
      </c>
      <c r="N2314" s="29">
        <v>367.38589999999999</v>
      </c>
      <c r="O2314" s="29">
        <v>12520</v>
      </c>
      <c r="P2314" s="29">
        <v>994077</v>
      </c>
    </row>
    <row r="2315" spans="1:26">
      <c r="B2315" s="29">
        <v>1</v>
      </c>
      <c r="C2315" s="29">
        <v>320104</v>
      </c>
      <c r="D2315" s="29" t="s">
        <v>772</v>
      </c>
      <c r="E2315" s="29" t="s">
        <v>448</v>
      </c>
      <c r="F2315" s="263">
        <v>42390</v>
      </c>
      <c r="G2315" s="263">
        <v>42486</v>
      </c>
      <c r="H2315" s="29">
        <v>31134.400000000001</v>
      </c>
      <c r="I2315" s="29">
        <v>0</v>
      </c>
      <c r="J2315" s="292">
        <v>5604.19</v>
      </c>
      <c r="K2315" s="29">
        <v>36738.589999999997</v>
      </c>
      <c r="L2315" s="29">
        <v>0</v>
      </c>
      <c r="M2315" s="29">
        <v>1</v>
      </c>
      <c r="N2315" s="29">
        <v>367.38589999999999</v>
      </c>
      <c r="O2315" s="29">
        <v>12520</v>
      </c>
      <c r="P2315" s="29">
        <v>994077</v>
      </c>
    </row>
    <row r="2316" spans="1:26">
      <c r="B2316" s="29">
        <v>1</v>
      </c>
      <c r="C2316" s="29">
        <v>320104</v>
      </c>
      <c r="D2316" s="29" t="s">
        <v>772</v>
      </c>
      <c r="E2316" s="29" t="s">
        <v>448</v>
      </c>
      <c r="F2316" s="263">
        <v>42390</v>
      </c>
      <c r="G2316" s="263">
        <v>42486</v>
      </c>
      <c r="H2316" s="29">
        <v>31134.400000000001</v>
      </c>
      <c r="I2316" s="29">
        <v>0</v>
      </c>
      <c r="J2316" s="292">
        <v>5604.19</v>
      </c>
      <c r="K2316" s="29">
        <v>36738.589999999997</v>
      </c>
      <c r="L2316" s="29">
        <v>0</v>
      </c>
      <c r="M2316" s="29">
        <v>1</v>
      </c>
      <c r="N2316" s="29">
        <v>367.38589999999999</v>
      </c>
      <c r="O2316" s="29">
        <v>12519</v>
      </c>
      <c r="P2316" s="29">
        <v>994077</v>
      </c>
    </row>
    <row r="2317" spans="1:26">
      <c r="B2317" s="29">
        <v>1</v>
      </c>
      <c r="C2317" s="29">
        <v>320104</v>
      </c>
      <c r="D2317" s="29" t="s">
        <v>772</v>
      </c>
      <c r="E2317" s="29" t="s">
        <v>448</v>
      </c>
      <c r="F2317" s="263">
        <v>42390</v>
      </c>
      <c r="G2317" s="263">
        <v>42486</v>
      </c>
      <c r="H2317" s="29">
        <v>31134.400000000001</v>
      </c>
      <c r="I2317" s="29">
        <v>0</v>
      </c>
      <c r="J2317" s="292">
        <v>5604.19</v>
      </c>
      <c r="K2317" s="29">
        <v>36738.589999999997</v>
      </c>
      <c r="L2317" s="29">
        <v>0</v>
      </c>
      <c r="M2317" s="29">
        <v>1</v>
      </c>
      <c r="N2317" s="29">
        <v>367.38589999999999</v>
      </c>
      <c r="O2317" s="29">
        <v>12519</v>
      </c>
      <c r="P2317" s="29">
        <v>994077</v>
      </c>
    </row>
    <row r="2318" spans="1:26">
      <c r="B2318" s="29">
        <v>1</v>
      </c>
      <c r="C2318" s="314">
        <v>325714</v>
      </c>
      <c r="D2318" s="29" t="s">
        <v>764</v>
      </c>
      <c r="E2318" s="29" t="s">
        <v>448</v>
      </c>
      <c r="F2318" s="263">
        <v>42460</v>
      </c>
      <c r="G2318" s="263">
        <v>42464</v>
      </c>
      <c r="H2318" s="29">
        <v>16274.8</v>
      </c>
      <c r="I2318" s="29">
        <v>0</v>
      </c>
      <c r="J2318" s="292">
        <v>2929.46</v>
      </c>
      <c r="K2318" s="29">
        <v>19204.259999999998</v>
      </c>
      <c r="L2318" s="29">
        <v>0</v>
      </c>
      <c r="M2318" s="29">
        <v>1</v>
      </c>
      <c r="N2318" s="29">
        <v>192.04259999999999</v>
      </c>
      <c r="O2318" s="29">
        <v>12520</v>
      </c>
      <c r="P2318" s="29">
        <v>1002382</v>
      </c>
    </row>
    <row r="2319" spans="1:26">
      <c r="B2319" s="29">
        <v>1</v>
      </c>
      <c r="C2319" s="314">
        <v>325714</v>
      </c>
      <c r="D2319" s="29" t="s">
        <v>764</v>
      </c>
      <c r="E2319" s="29" t="s">
        <v>448</v>
      </c>
      <c r="F2319" s="263">
        <v>42460</v>
      </c>
      <c r="G2319" s="263">
        <v>42464</v>
      </c>
      <c r="H2319" s="29">
        <v>16274.8</v>
      </c>
      <c r="I2319" s="29">
        <v>0</v>
      </c>
      <c r="J2319" s="292">
        <v>2929.46</v>
      </c>
      <c r="K2319" s="29">
        <v>19204.259999999998</v>
      </c>
      <c r="L2319" s="29">
        <v>0</v>
      </c>
      <c r="M2319" s="29">
        <v>1</v>
      </c>
      <c r="N2319" s="29">
        <v>192.04259999999999</v>
      </c>
      <c r="O2319" s="29">
        <v>12520</v>
      </c>
      <c r="P2319" s="29">
        <v>1002382</v>
      </c>
    </row>
    <row r="2320" spans="1:26">
      <c r="B2320" s="29">
        <v>1</v>
      </c>
      <c r="C2320" s="314">
        <v>325714</v>
      </c>
      <c r="D2320" s="29" t="s">
        <v>764</v>
      </c>
      <c r="E2320" s="29" t="s">
        <v>448</v>
      </c>
      <c r="F2320" s="263">
        <v>42460</v>
      </c>
      <c r="G2320" s="263">
        <v>42464</v>
      </c>
      <c r="H2320" s="29">
        <v>16274.8</v>
      </c>
      <c r="I2320" s="29">
        <v>0</v>
      </c>
      <c r="J2320" s="292">
        <v>2929.46</v>
      </c>
      <c r="K2320" s="29">
        <v>19204.259999999998</v>
      </c>
      <c r="L2320" s="29">
        <v>0</v>
      </c>
      <c r="M2320" s="29">
        <v>1</v>
      </c>
      <c r="N2320" s="29">
        <v>192.04259999999999</v>
      </c>
      <c r="O2320" s="29">
        <v>12519</v>
      </c>
      <c r="P2320" s="29">
        <v>1002382</v>
      </c>
    </row>
    <row r="2321" spans="2:16">
      <c r="B2321" s="29">
        <v>1</v>
      </c>
      <c r="C2321" s="29">
        <v>326883</v>
      </c>
      <c r="D2321" s="29" t="s">
        <v>761</v>
      </c>
      <c r="E2321" s="29" t="s">
        <v>448</v>
      </c>
      <c r="F2321" s="263">
        <v>42474</v>
      </c>
      <c r="G2321" s="263">
        <v>42476</v>
      </c>
      <c r="H2321" s="29">
        <v>28250.07</v>
      </c>
      <c r="I2321" s="29">
        <v>0</v>
      </c>
      <c r="J2321" s="292">
        <v>5085.01</v>
      </c>
      <c r="K2321" s="29">
        <v>33335.08</v>
      </c>
      <c r="L2321" s="29">
        <v>0</v>
      </c>
      <c r="M2321" s="29">
        <v>1</v>
      </c>
      <c r="N2321" s="29">
        <v>333.35079999999999</v>
      </c>
      <c r="O2321" s="29">
        <v>12520</v>
      </c>
      <c r="P2321" s="29">
        <v>1004236</v>
      </c>
    </row>
    <row r="2322" spans="2:16">
      <c r="B2322" s="29">
        <v>1</v>
      </c>
      <c r="C2322" s="29">
        <v>326883</v>
      </c>
      <c r="D2322" s="29" t="s">
        <v>761</v>
      </c>
      <c r="E2322" s="29" t="s">
        <v>448</v>
      </c>
      <c r="F2322" s="263">
        <v>42474</v>
      </c>
      <c r="G2322" s="263">
        <v>42476</v>
      </c>
      <c r="H2322" s="29">
        <v>28250.07</v>
      </c>
      <c r="I2322" s="29">
        <v>0</v>
      </c>
      <c r="J2322" s="292">
        <v>5085.01</v>
      </c>
      <c r="K2322" s="29">
        <v>33335.08</v>
      </c>
      <c r="L2322" s="29">
        <v>0</v>
      </c>
      <c r="M2322" s="29">
        <v>1</v>
      </c>
      <c r="N2322" s="29">
        <v>333.35079999999999</v>
      </c>
      <c r="O2322" s="29">
        <v>12520</v>
      </c>
      <c r="P2322" s="29">
        <v>1004236</v>
      </c>
    </row>
    <row r="2323" spans="2:16">
      <c r="B2323" s="29">
        <v>1</v>
      </c>
      <c r="C2323" s="29">
        <v>326883</v>
      </c>
      <c r="D2323" s="29" t="s">
        <v>761</v>
      </c>
      <c r="E2323" s="29" t="s">
        <v>448</v>
      </c>
      <c r="F2323" s="263">
        <v>42474</v>
      </c>
      <c r="G2323" s="263">
        <v>42476</v>
      </c>
      <c r="H2323" s="29">
        <v>28250.07</v>
      </c>
      <c r="I2323" s="29">
        <v>0</v>
      </c>
      <c r="J2323" s="292">
        <v>5085.01</v>
      </c>
      <c r="K2323" s="29">
        <v>33335.08</v>
      </c>
      <c r="L2323" s="29">
        <v>0</v>
      </c>
      <c r="M2323" s="29">
        <v>1</v>
      </c>
      <c r="N2323" s="29">
        <v>333.35079999999999</v>
      </c>
      <c r="O2323" s="29">
        <v>12520</v>
      </c>
      <c r="P2323" s="29">
        <v>1004236</v>
      </c>
    </row>
    <row r="2324" spans="2:16">
      <c r="B2324" s="29">
        <v>1</v>
      </c>
      <c r="C2324" s="29">
        <v>326883</v>
      </c>
      <c r="D2324" s="29" t="s">
        <v>761</v>
      </c>
      <c r="E2324" s="29" t="s">
        <v>448</v>
      </c>
      <c r="F2324" s="263">
        <v>42474</v>
      </c>
      <c r="G2324" s="263">
        <v>42476</v>
      </c>
      <c r="H2324" s="29">
        <v>28250.07</v>
      </c>
      <c r="I2324" s="29">
        <v>0</v>
      </c>
      <c r="J2324" s="292">
        <v>5085.01</v>
      </c>
      <c r="K2324" s="29">
        <v>33335.08</v>
      </c>
      <c r="L2324" s="29">
        <v>0</v>
      </c>
      <c r="M2324" s="29">
        <v>1</v>
      </c>
      <c r="N2324" s="29">
        <v>333.35079999999999</v>
      </c>
      <c r="O2324" s="29">
        <v>12519</v>
      </c>
      <c r="P2324" s="29">
        <v>1004236</v>
      </c>
    </row>
    <row r="2325" spans="2:16">
      <c r="B2325" s="29">
        <v>1</v>
      </c>
      <c r="C2325" s="29">
        <v>326883</v>
      </c>
      <c r="D2325" s="29" t="s">
        <v>761</v>
      </c>
      <c r="E2325" s="29" t="s">
        <v>448</v>
      </c>
      <c r="F2325" s="263">
        <v>42474</v>
      </c>
      <c r="G2325" s="263">
        <v>42476</v>
      </c>
      <c r="H2325" s="29">
        <v>28250.07</v>
      </c>
      <c r="I2325" s="29">
        <v>0</v>
      </c>
      <c r="J2325" s="292">
        <v>5085.01</v>
      </c>
      <c r="K2325" s="29">
        <v>33335.08</v>
      </c>
      <c r="L2325" s="29">
        <v>0</v>
      </c>
      <c r="M2325" s="29">
        <v>1</v>
      </c>
      <c r="N2325" s="29">
        <v>333.35079999999999</v>
      </c>
      <c r="O2325" s="29">
        <v>12519</v>
      </c>
      <c r="P2325" s="29">
        <v>1004236</v>
      </c>
    </row>
    <row r="2326" spans="2:16">
      <c r="B2326" s="29">
        <v>1</v>
      </c>
      <c r="C2326" s="314">
        <v>327035</v>
      </c>
      <c r="D2326" s="29" t="s">
        <v>772</v>
      </c>
      <c r="E2326" s="29" t="s">
        <v>448</v>
      </c>
      <c r="F2326" s="263">
        <v>42475</v>
      </c>
      <c r="G2326" s="263">
        <v>42479</v>
      </c>
      <c r="H2326" s="29">
        <v>28020.97</v>
      </c>
      <c r="I2326" s="29">
        <v>0</v>
      </c>
      <c r="J2326" s="292">
        <v>5043.7700000000004</v>
      </c>
      <c r="K2326" s="29">
        <v>33064.74</v>
      </c>
      <c r="L2326" s="29">
        <v>0</v>
      </c>
      <c r="M2326" s="29">
        <v>1</v>
      </c>
      <c r="N2326" s="29">
        <v>330.6474</v>
      </c>
      <c r="O2326" s="29">
        <v>12520</v>
      </c>
      <c r="P2326" s="29">
        <v>1004478</v>
      </c>
    </row>
    <row r="2327" spans="2:16">
      <c r="B2327" s="29">
        <v>1</v>
      </c>
      <c r="C2327" s="314">
        <v>327035</v>
      </c>
      <c r="D2327" s="29" t="s">
        <v>772</v>
      </c>
      <c r="E2327" s="29" t="s">
        <v>448</v>
      </c>
      <c r="F2327" s="263">
        <v>42475</v>
      </c>
      <c r="G2327" s="263">
        <v>42479</v>
      </c>
      <c r="H2327" s="29">
        <v>28020.97</v>
      </c>
      <c r="I2327" s="29">
        <v>0</v>
      </c>
      <c r="J2327" s="292">
        <v>5043.7700000000004</v>
      </c>
      <c r="K2327" s="29">
        <v>33064.74</v>
      </c>
      <c r="L2327" s="29">
        <v>0</v>
      </c>
      <c r="M2327" s="29">
        <v>1</v>
      </c>
      <c r="N2327" s="29">
        <v>330.6474</v>
      </c>
      <c r="O2327" s="29">
        <v>12520</v>
      </c>
      <c r="P2327" s="29">
        <v>1004478</v>
      </c>
    </row>
    <row r="2328" spans="2:16">
      <c r="B2328" s="29">
        <v>1</v>
      </c>
      <c r="C2328" s="314">
        <v>327035</v>
      </c>
      <c r="D2328" s="29" t="s">
        <v>772</v>
      </c>
      <c r="E2328" s="29" t="s">
        <v>448</v>
      </c>
      <c r="F2328" s="263">
        <v>42475</v>
      </c>
      <c r="G2328" s="263">
        <v>42479</v>
      </c>
      <c r="H2328" s="29">
        <v>28020.97</v>
      </c>
      <c r="I2328" s="29">
        <v>0</v>
      </c>
      <c r="J2328" s="292">
        <v>5043.7700000000004</v>
      </c>
      <c r="K2328" s="29">
        <v>33064.74</v>
      </c>
      <c r="L2328" s="29">
        <v>0</v>
      </c>
      <c r="M2328" s="29">
        <v>1</v>
      </c>
      <c r="N2328" s="29">
        <v>330.6474</v>
      </c>
      <c r="O2328" s="29">
        <v>12520</v>
      </c>
      <c r="P2328" s="29">
        <v>1004478</v>
      </c>
    </row>
    <row r="2329" spans="2:16">
      <c r="B2329" s="29">
        <v>1</v>
      </c>
      <c r="C2329" s="314">
        <v>327035</v>
      </c>
      <c r="D2329" s="29" t="s">
        <v>772</v>
      </c>
      <c r="E2329" s="29" t="s">
        <v>448</v>
      </c>
      <c r="F2329" s="263">
        <v>42475</v>
      </c>
      <c r="G2329" s="263">
        <v>42479</v>
      </c>
      <c r="H2329" s="29">
        <v>28020.97</v>
      </c>
      <c r="I2329" s="29">
        <v>0</v>
      </c>
      <c r="J2329" s="292">
        <v>5043.7700000000004</v>
      </c>
      <c r="K2329" s="29">
        <v>33064.74</v>
      </c>
      <c r="L2329" s="29">
        <v>0</v>
      </c>
      <c r="M2329" s="29">
        <v>1</v>
      </c>
      <c r="N2329" s="29">
        <v>330.6474</v>
      </c>
      <c r="O2329" s="29">
        <v>12519</v>
      </c>
      <c r="P2329" s="29">
        <v>1004478</v>
      </c>
    </row>
    <row r="2330" spans="2:16">
      <c r="B2330" s="29">
        <v>1</v>
      </c>
      <c r="C2330" s="314">
        <v>327035</v>
      </c>
      <c r="D2330" s="29" t="s">
        <v>772</v>
      </c>
      <c r="E2330" s="29" t="s">
        <v>448</v>
      </c>
      <c r="F2330" s="263">
        <v>42475</v>
      </c>
      <c r="G2330" s="263">
        <v>42479</v>
      </c>
      <c r="H2330" s="29">
        <v>28020.97</v>
      </c>
      <c r="I2330" s="29">
        <v>0</v>
      </c>
      <c r="J2330" s="292">
        <v>5043.7700000000004</v>
      </c>
      <c r="K2330" s="29">
        <v>33064.74</v>
      </c>
      <c r="L2330" s="29">
        <v>0</v>
      </c>
      <c r="M2330" s="29">
        <v>1</v>
      </c>
      <c r="N2330" s="29">
        <v>330.6474</v>
      </c>
      <c r="O2330" s="29">
        <v>12519</v>
      </c>
      <c r="P2330" s="29">
        <v>1004478</v>
      </c>
    </row>
    <row r="2331" spans="2:16">
      <c r="B2331" s="29">
        <v>1</v>
      </c>
      <c r="C2331" s="314">
        <v>327035</v>
      </c>
      <c r="D2331" s="29" t="s">
        <v>772</v>
      </c>
      <c r="E2331" s="29" t="s">
        <v>448</v>
      </c>
      <c r="F2331" s="263">
        <v>42475</v>
      </c>
      <c r="G2331" s="263">
        <v>42479</v>
      </c>
      <c r="H2331" s="29">
        <v>28020.97</v>
      </c>
      <c r="I2331" s="29">
        <v>0</v>
      </c>
      <c r="J2331" s="292">
        <v>5043.7700000000004</v>
      </c>
      <c r="K2331" s="29">
        <v>33064.74</v>
      </c>
      <c r="L2331" s="29">
        <v>0</v>
      </c>
      <c r="M2331" s="29">
        <v>1</v>
      </c>
      <c r="N2331" s="29">
        <v>330.6474</v>
      </c>
      <c r="O2331" s="29">
        <v>12519</v>
      </c>
      <c r="P2331" s="29">
        <v>1004478</v>
      </c>
    </row>
    <row r="2332" spans="2:16">
      <c r="B2332" s="29">
        <v>1</v>
      </c>
      <c r="C2332" s="29">
        <v>327036</v>
      </c>
      <c r="D2332" s="29" t="s">
        <v>772</v>
      </c>
      <c r="E2332" s="29" t="s">
        <v>448</v>
      </c>
      <c r="F2332" s="263">
        <v>42475</v>
      </c>
      <c r="G2332" s="263">
        <v>42479</v>
      </c>
      <c r="H2332" s="29">
        <v>10203.200000000001</v>
      </c>
      <c r="I2332" s="29">
        <v>0</v>
      </c>
      <c r="J2332" s="292">
        <v>1836.58</v>
      </c>
      <c r="K2332" s="29">
        <v>12039.78</v>
      </c>
      <c r="L2332" s="29">
        <v>0</v>
      </c>
      <c r="M2332" s="29">
        <v>1</v>
      </c>
      <c r="N2332" s="29">
        <v>120.3978</v>
      </c>
      <c r="O2332" s="29">
        <v>12520</v>
      </c>
      <c r="P2332" s="29">
        <v>1004480</v>
      </c>
    </row>
    <row r="2333" spans="2:16">
      <c r="B2333" s="29">
        <v>1</v>
      </c>
      <c r="C2333" s="29">
        <v>327036</v>
      </c>
      <c r="D2333" s="29" t="s">
        <v>772</v>
      </c>
      <c r="E2333" s="29" t="s">
        <v>448</v>
      </c>
      <c r="F2333" s="263">
        <v>42475</v>
      </c>
      <c r="G2333" s="263">
        <v>42479</v>
      </c>
      <c r="H2333" s="29">
        <v>10203.200000000001</v>
      </c>
      <c r="I2333" s="29">
        <v>0</v>
      </c>
      <c r="J2333" s="292">
        <v>1836.58</v>
      </c>
      <c r="K2333" s="29">
        <v>12039.78</v>
      </c>
      <c r="L2333" s="29">
        <v>0</v>
      </c>
      <c r="M2333" s="29">
        <v>1</v>
      </c>
      <c r="N2333" s="29">
        <v>120.3978</v>
      </c>
      <c r="O2333" s="29">
        <v>12519</v>
      </c>
      <c r="P2333" s="29">
        <v>1004480</v>
      </c>
    </row>
    <row r="2334" spans="2:16">
      <c r="B2334" s="29">
        <v>1</v>
      </c>
      <c r="C2334" s="29">
        <v>327036</v>
      </c>
      <c r="D2334" s="29" t="s">
        <v>772</v>
      </c>
      <c r="E2334" s="29" t="s">
        <v>448</v>
      </c>
      <c r="F2334" s="263">
        <v>42475</v>
      </c>
      <c r="G2334" s="263">
        <v>42479</v>
      </c>
      <c r="H2334" s="29">
        <v>10203.200000000001</v>
      </c>
      <c r="I2334" s="29">
        <v>0</v>
      </c>
      <c r="J2334" s="292">
        <v>1836.58</v>
      </c>
      <c r="K2334" s="29">
        <v>12039.78</v>
      </c>
      <c r="L2334" s="29">
        <v>0</v>
      </c>
      <c r="M2334" s="29">
        <v>1</v>
      </c>
      <c r="N2334" s="29">
        <v>120.3978</v>
      </c>
      <c r="O2334" s="29">
        <v>12519</v>
      </c>
      <c r="P2334" s="29">
        <v>1004480</v>
      </c>
    </row>
    <row r="2335" spans="2:16">
      <c r="B2335" s="29">
        <v>1</v>
      </c>
      <c r="C2335" s="314">
        <v>327819</v>
      </c>
      <c r="D2335" s="29" t="s">
        <v>807</v>
      </c>
      <c r="E2335" s="29" t="s">
        <v>448</v>
      </c>
      <c r="F2335" s="263">
        <v>42486</v>
      </c>
      <c r="G2335" s="263">
        <v>42488</v>
      </c>
      <c r="H2335" s="29">
        <v>7076</v>
      </c>
      <c r="I2335" s="29">
        <v>0</v>
      </c>
      <c r="J2335" s="292">
        <v>1273.68</v>
      </c>
      <c r="K2335" s="29">
        <v>8349.68</v>
      </c>
      <c r="L2335" s="29">
        <v>0</v>
      </c>
      <c r="M2335" s="29">
        <v>1</v>
      </c>
      <c r="N2335" s="29">
        <v>83.496799999999993</v>
      </c>
      <c r="O2335" s="29">
        <v>12520</v>
      </c>
      <c r="P2335" s="29">
        <v>1005744</v>
      </c>
    </row>
    <row r="2336" spans="2:16">
      <c r="B2336" s="29">
        <v>1</v>
      </c>
      <c r="C2336" s="314">
        <v>327819</v>
      </c>
      <c r="D2336" s="29" t="s">
        <v>807</v>
      </c>
      <c r="E2336" s="29" t="s">
        <v>448</v>
      </c>
      <c r="F2336" s="263">
        <v>42486</v>
      </c>
      <c r="G2336" s="263">
        <v>42488</v>
      </c>
      <c r="H2336" s="29">
        <v>7076</v>
      </c>
      <c r="I2336" s="29">
        <v>0</v>
      </c>
      <c r="J2336" s="292">
        <v>1273.68</v>
      </c>
      <c r="K2336" s="29">
        <v>8349.68</v>
      </c>
      <c r="L2336" s="29">
        <v>0</v>
      </c>
      <c r="M2336" s="29">
        <v>1</v>
      </c>
      <c r="N2336" s="29">
        <v>83.496799999999993</v>
      </c>
      <c r="O2336" s="29">
        <v>12520</v>
      </c>
      <c r="P2336" s="29">
        <v>1005744</v>
      </c>
    </row>
    <row r="2337" spans="2:16">
      <c r="B2337" s="29">
        <v>1</v>
      </c>
      <c r="C2337" s="314">
        <v>327819</v>
      </c>
      <c r="D2337" s="29" t="s">
        <v>807</v>
      </c>
      <c r="E2337" s="29" t="s">
        <v>448</v>
      </c>
      <c r="F2337" s="263">
        <v>42486</v>
      </c>
      <c r="G2337" s="263">
        <v>42488</v>
      </c>
      <c r="H2337" s="29">
        <v>7076</v>
      </c>
      <c r="I2337" s="29">
        <v>0</v>
      </c>
      <c r="J2337" s="292">
        <v>1273.68</v>
      </c>
      <c r="K2337" s="29">
        <v>8349.68</v>
      </c>
      <c r="L2337" s="29">
        <v>0</v>
      </c>
      <c r="M2337" s="29">
        <v>1</v>
      </c>
      <c r="N2337" s="29">
        <v>83.496799999999993</v>
      </c>
      <c r="O2337" s="29">
        <v>12520</v>
      </c>
      <c r="P2337" s="29">
        <v>1005744</v>
      </c>
    </row>
    <row r="2338" spans="2:16">
      <c r="B2338" s="29">
        <v>1</v>
      </c>
      <c r="C2338" s="314">
        <v>327819</v>
      </c>
      <c r="D2338" s="29" t="s">
        <v>807</v>
      </c>
      <c r="E2338" s="29" t="s">
        <v>448</v>
      </c>
      <c r="F2338" s="263">
        <v>42486</v>
      </c>
      <c r="G2338" s="263">
        <v>42488</v>
      </c>
      <c r="H2338" s="29">
        <v>7076</v>
      </c>
      <c r="I2338" s="29">
        <v>0</v>
      </c>
      <c r="J2338" s="292">
        <v>1273.68</v>
      </c>
      <c r="K2338" s="29">
        <v>8349.68</v>
      </c>
      <c r="L2338" s="29">
        <v>0</v>
      </c>
      <c r="M2338" s="29">
        <v>1</v>
      </c>
      <c r="N2338" s="29">
        <v>83.496799999999993</v>
      </c>
      <c r="O2338" s="29">
        <v>12520</v>
      </c>
      <c r="P2338" s="29">
        <v>1005744</v>
      </c>
    </row>
    <row r="2343" spans="2:16">
      <c r="B2343" s="29">
        <v>1</v>
      </c>
      <c r="C2343" s="29">
        <v>331549</v>
      </c>
      <c r="E2343" s="29" t="s">
        <v>808</v>
      </c>
      <c r="F2343" s="29" t="s">
        <v>772</v>
      </c>
      <c r="G2343" s="29" t="s">
        <v>448</v>
      </c>
      <c r="H2343" s="263">
        <v>42523</v>
      </c>
      <c r="J2343" s="292">
        <v>26181.200000000001</v>
      </c>
      <c r="K2343" s="29">
        <v>0</v>
      </c>
      <c r="L2343" s="29">
        <v>4712.62</v>
      </c>
      <c r="M2343" s="29">
        <v>30893.82</v>
      </c>
    </row>
    <row r="2344" spans="2:16">
      <c r="B2344" s="29">
        <v>1</v>
      </c>
      <c r="C2344" s="29">
        <v>331502</v>
      </c>
      <c r="D2344" s="29">
        <v>4</v>
      </c>
      <c r="E2344" s="29">
        <v>29416</v>
      </c>
      <c r="F2344" s="29" t="s">
        <v>759</v>
      </c>
      <c r="G2344" s="29" t="s">
        <v>448</v>
      </c>
      <c r="H2344" s="263">
        <v>42523</v>
      </c>
      <c r="J2344" s="292">
        <v>939.41</v>
      </c>
      <c r="K2344" s="29">
        <v>0</v>
      </c>
      <c r="L2344" s="29">
        <v>169.09</v>
      </c>
      <c r="M2344" s="29">
        <v>1108.5</v>
      </c>
    </row>
    <row r="2345" spans="2:16">
      <c r="B2345" s="29">
        <v>1</v>
      </c>
      <c r="C2345" s="29">
        <v>331475</v>
      </c>
      <c r="E2345" s="29" t="s">
        <v>808</v>
      </c>
      <c r="F2345" s="29" t="s">
        <v>758</v>
      </c>
      <c r="G2345" s="29" t="s">
        <v>448</v>
      </c>
      <c r="H2345" s="263">
        <v>42523</v>
      </c>
      <c r="J2345" s="292">
        <v>2189.0500000000002</v>
      </c>
      <c r="K2345" s="29">
        <v>0</v>
      </c>
      <c r="L2345" s="29">
        <v>394.03</v>
      </c>
      <c r="M2345" s="29">
        <v>2583.08</v>
      </c>
    </row>
    <row r="2346" spans="2:16">
      <c r="B2346" s="29">
        <v>1</v>
      </c>
      <c r="C2346" s="29">
        <v>331457</v>
      </c>
      <c r="D2346" s="29">
        <v>4</v>
      </c>
      <c r="E2346" s="29">
        <v>29405</v>
      </c>
      <c r="F2346" s="29" t="s">
        <v>759</v>
      </c>
      <c r="G2346" s="29" t="s">
        <v>448</v>
      </c>
      <c r="H2346" s="263">
        <v>42523</v>
      </c>
      <c r="J2346" s="292">
        <v>3221.66</v>
      </c>
      <c r="K2346" s="29">
        <v>0</v>
      </c>
      <c r="L2346" s="29">
        <v>579.9</v>
      </c>
      <c r="M2346" s="29">
        <v>3801.56</v>
      </c>
    </row>
    <row r="2347" spans="2:16">
      <c r="B2347" s="29">
        <v>1</v>
      </c>
      <c r="C2347" s="29">
        <v>331674</v>
      </c>
      <c r="E2347" s="29" t="s">
        <v>808</v>
      </c>
      <c r="F2347" s="29" t="s">
        <v>802</v>
      </c>
      <c r="G2347" s="29" t="s">
        <v>382</v>
      </c>
      <c r="H2347" s="263">
        <v>42524</v>
      </c>
      <c r="J2347" s="292">
        <v>687.57</v>
      </c>
      <c r="K2347" s="29">
        <v>0</v>
      </c>
      <c r="L2347" s="29">
        <v>123.76</v>
      </c>
      <c r="M2347" s="29">
        <v>811.33</v>
      </c>
    </row>
    <row r="2348" spans="2:16">
      <c r="B2348" s="29">
        <v>1</v>
      </c>
      <c r="C2348" s="29">
        <v>331655</v>
      </c>
      <c r="E2348" s="29" t="s">
        <v>808</v>
      </c>
      <c r="F2348" s="29" t="s">
        <v>802</v>
      </c>
      <c r="G2348" s="29" t="s">
        <v>382</v>
      </c>
      <c r="H2348" s="263">
        <v>42524</v>
      </c>
      <c r="J2348" s="292">
        <v>4196.55</v>
      </c>
      <c r="K2348" s="29">
        <v>0</v>
      </c>
      <c r="L2348" s="29">
        <v>755.38</v>
      </c>
      <c r="M2348" s="29">
        <v>4951.93</v>
      </c>
    </row>
    <row r="2349" spans="2:16">
      <c r="B2349" s="29">
        <v>1</v>
      </c>
      <c r="C2349" s="29">
        <v>331625</v>
      </c>
      <c r="E2349" s="29" t="s">
        <v>808</v>
      </c>
      <c r="F2349" s="29" t="s">
        <v>758</v>
      </c>
      <c r="G2349" s="29" t="s">
        <v>448</v>
      </c>
      <c r="H2349" s="263">
        <v>42524</v>
      </c>
      <c r="J2349" s="292">
        <v>1222.92</v>
      </c>
      <c r="K2349" s="29">
        <v>0</v>
      </c>
      <c r="L2349" s="29">
        <v>220.13</v>
      </c>
      <c r="M2349" s="29">
        <v>1443.05</v>
      </c>
    </row>
    <row r="2350" spans="2:16">
      <c r="B2350" s="29">
        <v>1</v>
      </c>
      <c r="C2350" s="29">
        <v>331726</v>
      </c>
      <c r="E2350" s="29" t="s">
        <v>808</v>
      </c>
      <c r="F2350" s="29" t="s">
        <v>809</v>
      </c>
      <c r="G2350" s="29" t="s">
        <v>448</v>
      </c>
      <c r="H2350" s="263">
        <v>42525</v>
      </c>
      <c r="J2350" s="292">
        <v>1676.67</v>
      </c>
      <c r="K2350" s="29">
        <v>0</v>
      </c>
      <c r="L2350" s="29">
        <v>301.8</v>
      </c>
      <c r="M2350" s="29">
        <v>1978.47</v>
      </c>
    </row>
    <row r="2351" spans="2:16">
      <c r="B2351" s="29">
        <v>1</v>
      </c>
      <c r="C2351" s="29">
        <v>331723</v>
      </c>
      <c r="E2351" s="29" t="s">
        <v>808</v>
      </c>
      <c r="F2351" s="29" t="s">
        <v>758</v>
      </c>
      <c r="G2351" s="29" t="s">
        <v>448</v>
      </c>
      <c r="H2351" s="263">
        <v>42525</v>
      </c>
      <c r="J2351" s="292">
        <v>4972.05</v>
      </c>
      <c r="K2351" s="29">
        <v>0</v>
      </c>
      <c r="L2351" s="29">
        <v>894.97</v>
      </c>
      <c r="M2351" s="29">
        <v>5867.02</v>
      </c>
    </row>
    <row r="2352" spans="2:16">
      <c r="B2352" s="29">
        <v>1</v>
      </c>
      <c r="C2352" s="29">
        <v>331722</v>
      </c>
      <c r="E2352" s="29" t="s">
        <v>808</v>
      </c>
      <c r="F2352" s="29" t="s">
        <v>802</v>
      </c>
      <c r="G2352" s="29" t="s">
        <v>382</v>
      </c>
      <c r="H2352" s="263">
        <v>42525</v>
      </c>
      <c r="J2352" s="292">
        <v>1084.54</v>
      </c>
      <c r="K2352" s="29">
        <v>0</v>
      </c>
      <c r="L2352" s="29">
        <v>195.22</v>
      </c>
      <c r="M2352" s="29">
        <v>1279.76</v>
      </c>
    </row>
    <row r="2353" spans="2:13">
      <c r="B2353" s="29">
        <v>1</v>
      </c>
      <c r="C2353" s="29">
        <v>331825</v>
      </c>
      <c r="D2353" s="29">
        <v>4</v>
      </c>
      <c r="E2353" s="29">
        <v>29591</v>
      </c>
      <c r="F2353" s="29" t="s">
        <v>759</v>
      </c>
      <c r="G2353" s="29" t="s">
        <v>448</v>
      </c>
      <c r="H2353" s="263">
        <v>42527</v>
      </c>
      <c r="J2353" s="292">
        <v>5525.61</v>
      </c>
      <c r="K2353" s="29">
        <v>0</v>
      </c>
      <c r="L2353" s="29">
        <v>994.61</v>
      </c>
      <c r="M2353" s="29">
        <v>6520.22</v>
      </c>
    </row>
    <row r="2354" spans="2:13">
      <c r="B2354" s="29">
        <v>1</v>
      </c>
      <c r="C2354" s="29">
        <v>331800</v>
      </c>
      <c r="E2354" s="29" t="s">
        <v>808</v>
      </c>
      <c r="F2354" s="29" t="s">
        <v>757</v>
      </c>
      <c r="G2354" s="29" t="s">
        <v>448</v>
      </c>
      <c r="H2354" s="263">
        <v>42527</v>
      </c>
      <c r="J2354" s="292">
        <v>535.01</v>
      </c>
      <c r="K2354" s="29">
        <v>0</v>
      </c>
      <c r="L2354" s="29">
        <v>96.3</v>
      </c>
      <c r="M2354" s="29">
        <v>631.30999999999995</v>
      </c>
    </row>
    <row r="2355" spans="2:13">
      <c r="B2355" s="29">
        <v>1</v>
      </c>
      <c r="C2355" s="29">
        <v>331784</v>
      </c>
      <c r="E2355" s="29" t="s">
        <v>808</v>
      </c>
      <c r="F2355" s="29" t="s">
        <v>760</v>
      </c>
      <c r="G2355" s="29" t="s">
        <v>448</v>
      </c>
      <c r="H2355" s="263">
        <v>42527</v>
      </c>
      <c r="J2355" s="292">
        <v>1035.44</v>
      </c>
      <c r="K2355" s="29">
        <v>0</v>
      </c>
      <c r="L2355" s="29">
        <v>186.38</v>
      </c>
      <c r="M2355" s="29">
        <v>1221.82</v>
      </c>
    </row>
    <row r="2356" spans="2:13">
      <c r="B2356" s="29">
        <v>1</v>
      </c>
      <c r="C2356" s="29">
        <v>331766</v>
      </c>
      <c r="E2356" s="29" t="s">
        <v>808</v>
      </c>
      <c r="F2356" s="29" t="s">
        <v>758</v>
      </c>
      <c r="G2356" s="29" t="s">
        <v>448</v>
      </c>
      <c r="H2356" s="263">
        <v>42527</v>
      </c>
      <c r="J2356" s="292">
        <v>452.25</v>
      </c>
      <c r="K2356" s="29">
        <v>0</v>
      </c>
      <c r="L2356" s="29">
        <v>81.41</v>
      </c>
      <c r="M2356" s="29">
        <v>533.66</v>
      </c>
    </row>
    <row r="2357" spans="2:13">
      <c r="B2357" s="29">
        <v>1</v>
      </c>
      <c r="C2357" s="29">
        <v>331755</v>
      </c>
      <c r="E2357" s="29" t="s">
        <v>808</v>
      </c>
      <c r="F2357" s="29" t="s">
        <v>757</v>
      </c>
      <c r="G2357" s="29" t="s">
        <v>448</v>
      </c>
      <c r="H2357" s="263">
        <v>42527</v>
      </c>
      <c r="J2357" s="292">
        <v>528.9</v>
      </c>
      <c r="K2357" s="29">
        <v>0</v>
      </c>
      <c r="L2357" s="29">
        <v>95.2</v>
      </c>
      <c r="M2357" s="29">
        <v>624.1</v>
      </c>
    </row>
    <row r="2358" spans="2:13">
      <c r="B2358" s="29">
        <v>1</v>
      </c>
      <c r="C2358" s="29">
        <v>331937</v>
      </c>
      <c r="E2358" s="29" t="s">
        <v>808</v>
      </c>
      <c r="F2358" s="29" t="s">
        <v>761</v>
      </c>
      <c r="G2358" s="29" t="s">
        <v>448</v>
      </c>
      <c r="H2358" s="263">
        <v>42528</v>
      </c>
      <c r="J2358" s="292">
        <v>21070.3</v>
      </c>
      <c r="K2358" s="29">
        <v>0</v>
      </c>
      <c r="L2358" s="29">
        <v>3792.65</v>
      </c>
      <c r="M2358" s="29">
        <v>24862.95</v>
      </c>
    </row>
    <row r="2359" spans="2:13">
      <c r="B2359" s="29">
        <v>1</v>
      </c>
      <c r="C2359" s="29">
        <v>331900</v>
      </c>
      <c r="D2359" s="29">
        <v>4</v>
      </c>
      <c r="E2359" s="29">
        <v>29626</v>
      </c>
      <c r="F2359" s="29" t="s">
        <v>759</v>
      </c>
      <c r="G2359" s="29" t="s">
        <v>448</v>
      </c>
      <c r="H2359" s="263">
        <v>42528</v>
      </c>
      <c r="J2359" s="292">
        <v>3342.93</v>
      </c>
      <c r="K2359" s="29">
        <v>0</v>
      </c>
      <c r="L2359" s="29">
        <v>601.73</v>
      </c>
      <c r="M2359" s="29">
        <v>3944.66</v>
      </c>
    </row>
    <row r="2360" spans="2:13">
      <c r="B2360" s="29">
        <v>1</v>
      </c>
      <c r="C2360" s="29">
        <v>331892</v>
      </c>
      <c r="E2360" s="29" t="s">
        <v>808</v>
      </c>
      <c r="F2360" s="29" t="s">
        <v>802</v>
      </c>
      <c r="G2360" s="29" t="s">
        <v>382</v>
      </c>
      <c r="H2360" s="263">
        <v>42528</v>
      </c>
      <c r="J2360" s="292">
        <v>2735.44</v>
      </c>
      <c r="K2360" s="29">
        <v>0</v>
      </c>
      <c r="L2360" s="29">
        <v>492.38</v>
      </c>
      <c r="M2360" s="29">
        <v>3227.82</v>
      </c>
    </row>
    <row r="2361" spans="2:13">
      <c r="B2361" s="29">
        <v>1</v>
      </c>
      <c r="C2361" s="29">
        <v>331876</v>
      </c>
      <c r="D2361" s="29">
        <v>4</v>
      </c>
      <c r="E2361" s="29">
        <v>29612</v>
      </c>
      <c r="F2361" s="29" t="s">
        <v>759</v>
      </c>
      <c r="G2361" s="29" t="s">
        <v>448</v>
      </c>
      <c r="H2361" s="263">
        <v>42528</v>
      </c>
      <c r="J2361" s="292">
        <v>2889.09</v>
      </c>
      <c r="K2361" s="29">
        <v>0</v>
      </c>
      <c r="L2361" s="29">
        <v>520.04</v>
      </c>
      <c r="M2361" s="29">
        <v>3409.13</v>
      </c>
    </row>
    <row r="2362" spans="2:13">
      <c r="B2362" s="29">
        <v>1</v>
      </c>
      <c r="C2362" s="29">
        <v>331848</v>
      </c>
      <c r="E2362" s="29" t="s">
        <v>808</v>
      </c>
      <c r="F2362" s="29" t="s">
        <v>758</v>
      </c>
      <c r="G2362" s="29" t="s">
        <v>448</v>
      </c>
      <c r="H2362" s="263">
        <v>42528</v>
      </c>
      <c r="J2362" s="292">
        <v>4834.5</v>
      </c>
      <c r="K2362" s="29">
        <v>0</v>
      </c>
      <c r="L2362" s="29">
        <v>870.21</v>
      </c>
      <c r="M2362" s="29">
        <v>5704.71</v>
      </c>
    </row>
    <row r="2363" spans="2:13">
      <c r="B2363" s="29">
        <v>1</v>
      </c>
      <c r="C2363" s="29">
        <v>331847</v>
      </c>
      <c r="E2363" s="29" t="s">
        <v>808</v>
      </c>
      <c r="F2363" s="29" t="s">
        <v>758</v>
      </c>
      <c r="G2363" s="29" t="s">
        <v>448</v>
      </c>
      <c r="H2363" s="263">
        <v>42528</v>
      </c>
      <c r="J2363" s="292">
        <v>7197.08</v>
      </c>
      <c r="K2363" s="29">
        <v>0</v>
      </c>
      <c r="L2363" s="29">
        <v>1295.47</v>
      </c>
      <c r="M2363" s="29">
        <v>8492.5499999999993</v>
      </c>
    </row>
    <row r="2364" spans="2:13">
      <c r="B2364" s="29">
        <v>1</v>
      </c>
      <c r="C2364" s="29">
        <v>331846</v>
      </c>
      <c r="E2364" s="29" t="s">
        <v>808</v>
      </c>
      <c r="F2364" s="29" t="s">
        <v>758</v>
      </c>
      <c r="G2364" s="29" t="s">
        <v>448</v>
      </c>
      <c r="H2364" s="263">
        <v>42528</v>
      </c>
      <c r="J2364" s="292">
        <v>5946.06</v>
      </c>
      <c r="K2364" s="29">
        <v>0</v>
      </c>
      <c r="L2364" s="29">
        <v>1070.29</v>
      </c>
      <c r="M2364" s="29">
        <v>7016.35</v>
      </c>
    </row>
    <row r="2365" spans="2:13">
      <c r="B2365" s="29">
        <v>1</v>
      </c>
      <c r="C2365" s="29">
        <v>331845</v>
      </c>
      <c r="E2365" s="29" t="s">
        <v>808</v>
      </c>
      <c r="F2365" s="29" t="s">
        <v>758</v>
      </c>
      <c r="G2365" s="29" t="s">
        <v>448</v>
      </c>
      <c r="H2365" s="263">
        <v>42528</v>
      </c>
      <c r="J2365" s="292">
        <v>6309.85</v>
      </c>
      <c r="K2365" s="29">
        <v>0</v>
      </c>
      <c r="L2365" s="29">
        <v>1135.77</v>
      </c>
      <c r="M2365" s="29">
        <v>7445.62</v>
      </c>
    </row>
    <row r="2366" spans="2:13">
      <c r="B2366" s="29">
        <v>1</v>
      </c>
      <c r="C2366" s="29">
        <v>331843</v>
      </c>
      <c r="E2366" s="29" t="s">
        <v>808</v>
      </c>
      <c r="F2366" s="29" t="s">
        <v>800</v>
      </c>
      <c r="G2366" s="29" t="s">
        <v>448</v>
      </c>
      <c r="H2366" s="263">
        <v>42528</v>
      </c>
      <c r="J2366" s="292">
        <v>764.53</v>
      </c>
      <c r="K2366" s="29">
        <v>0</v>
      </c>
      <c r="L2366" s="29">
        <v>137.62</v>
      </c>
      <c r="M2366" s="29">
        <v>902.15</v>
      </c>
    </row>
    <row r="2367" spans="2:13">
      <c r="B2367" s="29">
        <v>1</v>
      </c>
      <c r="C2367" s="29">
        <v>332171</v>
      </c>
      <c r="E2367" s="29" t="s">
        <v>808</v>
      </c>
      <c r="F2367" s="29" t="s">
        <v>757</v>
      </c>
      <c r="G2367" s="29" t="s">
        <v>448</v>
      </c>
      <c r="H2367" s="263">
        <v>42530</v>
      </c>
      <c r="J2367" s="292">
        <v>205.11</v>
      </c>
      <c r="K2367" s="29">
        <v>0</v>
      </c>
      <c r="L2367" s="29">
        <v>36.92</v>
      </c>
      <c r="M2367" s="29">
        <v>242.03</v>
      </c>
    </row>
    <row r="2368" spans="2:13">
      <c r="B2368" s="29">
        <v>1</v>
      </c>
      <c r="C2368" s="29">
        <v>332124</v>
      </c>
      <c r="E2368" s="29" t="s">
        <v>808</v>
      </c>
      <c r="F2368" s="29" t="s">
        <v>802</v>
      </c>
      <c r="G2368" s="29" t="s">
        <v>382</v>
      </c>
      <c r="H2368" s="263">
        <v>42530</v>
      </c>
      <c r="J2368" s="292">
        <v>448.82</v>
      </c>
      <c r="K2368" s="29">
        <v>0</v>
      </c>
      <c r="L2368" s="29">
        <v>80.790000000000006</v>
      </c>
      <c r="M2368" s="29">
        <v>529.61</v>
      </c>
    </row>
    <row r="2369" spans="2:13">
      <c r="B2369" s="29">
        <v>1</v>
      </c>
      <c r="C2369" s="29">
        <v>332122</v>
      </c>
      <c r="D2369" s="29">
        <v>4</v>
      </c>
      <c r="E2369" s="29">
        <v>29753</v>
      </c>
      <c r="F2369" s="29" t="s">
        <v>759</v>
      </c>
      <c r="G2369" s="29" t="s">
        <v>448</v>
      </c>
      <c r="H2369" s="263">
        <v>42530</v>
      </c>
      <c r="J2369" s="292">
        <v>535.04999999999995</v>
      </c>
      <c r="K2369" s="29">
        <v>0</v>
      </c>
      <c r="L2369" s="29">
        <v>96.31</v>
      </c>
      <c r="M2369" s="29">
        <v>631.36</v>
      </c>
    </row>
    <row r="2370" spans="2:13">
      <c r="B2370" s="29">
        <v>1</v>
      </c>
      <c r="C2370" s="29">
        <v>332121</v>
      </c>
      <c r="D2370" s="29">
        <v>4</v>
      </c>
      <c r="E2370" s="29">
        <v>29752</v>
      </c>
      <c r="F2370" s="29" t="s">
        <v>759</v>
      </c>
      <c r="G2370" s="29" t="s">
        <v>448</v>
      </c>
      <c r="H2370" s="263">
        <v>42530</v>
      </c>
      <c r="J2370" s="292">
        <v>2417.2600000000002</v>
      </c>
      <c r="K2370" s="29">
        <v>0</v>
      </c>
      <c r="L2370" s="29">
        <v>435.11</v>
      </c>
      <c r="M2370" s="29">
        <v>2852.37</v>
      </c>
    </row>
    <row r="2371" spans="2:13">
      <c r="B2371" s="29">
        <v>1</v>
      </c>
      <c r="C2371" s="29">
        <v>332109</v>
      </c>
      <c r="E2371" s="29" t="s">
        <v>808</v>
      </c>
      <c r="F2371" s="29" t="s">
        <v>800</v>
      </c>
      <c r="G2371" s="29" t="s">
        <v>448</v>
      </c>
      <c r="H2371" s="263">
        <v>42530</v>
      </c>
      <c r="J2371" s="292">
        <v>122.92</v>
      </c>
      <c r="K2371" s="29">
        <v>0</v>
      </c>
      <c r="L2371" s="29">
        <v>22.13</v>
      </c>
      <c r="M2371" s="29">
        <v>145.05000000000001</v>
      </c>
    </row>
    <row r="2372" spans="2:13">
      <c r="B2372" s="29">
        <v>1</v>
      </c>
      <c r="C2372" s="29">
        <v>332216</v>
      </c>
      <c r="D2372" s="29">
        <v>4</v>
      </c>
      <c r="E2372" s="29">
        <v>29841</v>
      </c>
      <c r="F2372" s="29" t="s">
        <v>759</v>
      </c>
      <c r="G2372" s="29" t="s">
        <v>448</v>
      </c>
      <c r="H2372" s="263">
        <v>42531</v>
      </c>
      <c r="J2372" s="292">
        <v>0</v>
      </c>
      <c r="K2372" s="29">
        <v>0</v>
      </c>
      <c r="L2372" s="29">
        <v>0</v>
      </c>
      <c r="M2372" s="29">
        <v>0</v>
      </c>
    </row>
    <row r="2373" spans="2:13">
      <c r="B2373" s="29">
        <v>1</v>
      </c>
      <c r="C2373" s="29">
        <v>332245</v>
      </c>
      <c r="E2373" s="29" t="s">
        <v>808</v>
      </c>
      <c r="F2373" s="29" t="s">
        <v>767</v>
      </c>
      <c r="G2373" s="29" t="s">
        <v>448</v>
      </c>
      <c r="H2373" s="263">
        <v>42531</v>
      </c>
      <c r="J2373" s="292">
        <v>953.89</v>
      </c>
      <c r="K2373" s="29">
        <v>0</v>
      </c>
      <c r="L2373" s="29">
        <v>171.7</v>
      </c>
      <c r="M2373" s="29">
        <v>1125.5899999999999</v>
      </c>
    </row>
    <row r="2374" spans="2:13">
      <c r="B2374" s="29">
        <v>1</v>
      </c>
      <c r="C2374" s="29">
        <v>332207</v>
      </c>
      <c r="E2374" s="29" t="s">
        <v>808</v>
      </c>
      <c r="F2374" s="29" t="s">
        <v>802</v>
      </c>
      <c r="G2374" s="29" t="s">
        <v>382</v>
      </c>
      <c r="H2374" s="263">
        <v>42531</v>
      </c>
      <c r="J2374" s="292">
        <v>665.22</v>
      </c>
      <c r="K2374" s="29">
        <v>0</v>
      </c>
      <c r="L2374" s="29">
        <v>119.74</v>
      </c>
      <c r="M2374" s="29">
        <v>784.96</v>
      </c>
    </row>
    <row r="2375" spans="2:13">
      <c r="B2375" s="29">
        <v>1</v>
      </c>
      <c r="C2375" s="29">
        <v>332204</v>
      </c>
      <c r="E2375" s="29" t="s">
        <v>808</v>
      </c>
      <c r="F2375" s="29" t="s">
        <v>758</v>
      </c>
      <c r="G2375" s="29" t="s">
        <v>448</v>
      </c>
      <c r="H2375" s="263">
        <v>42531</v>
      </c>
      <c r="J2375" s="292">
        <v>4881.26</v>
      </c>
      <c r="K2375" s="29">
        <v>0</v>
      </c>
      <c r="L2375" s="29">
        <v>878.63</v>
      </c>
      <c r="M2375" s="29">
        <v>5759.89</v>
      </c>
    </row>
    <row r="2376" spans="2:13">
      <c r="B2376" s="29">
        <v>1</v>
      </c>
      <c r="C2376" s="29">
        <v>332295</v>
      </c>
      <c r="D2376" s="29">
        <v>4</v>
      </c>
      <c r="E2376" s="29">
        <v>29843</v>
      </c>
      <c r="F2376" s="29" t="s">
        <v>759</v>
      </c>
      <c r="G2376" s="29" t="s">
        <v>448</v>
      </c>
      <c r="H2376" s="263">
        <v>42532</v>
      </c>
      <c r="J2376" s="292">
        <v>847.28</v>
      </c>
      <c r="K2376" s="29">
        <v>0</v>
      </c>
      <c r="L2376" s="29">
        <v>152.51</v>
      </c>
      <c r="M2376" s="29">
        <v>999.79</v>
      </c>
    </row>
    <row r="2377" spans="2:13">
      <c r="B2377" s="29">
        <v>1</v>
      </c>
      <c r="C2377" s="29">
        <v>332289</v>
      </c>
      <c r="E2377" s="29" t="s">
        <v>808</v>
      </c>
      <c r="F2377" s="29" t="s">
        <v>758</v>
      </c>
      <c r="G2377" s="29" t="s">
        <v>448</v>
      </c>
      <c r="H2377" s="263">
        <v>42532</v>
      </c>
      <c r="J2377" s="292">
        <v>1803.39</v>
      </c>
      <c r="K2377" s="29">
        <v>0</v>
      </c>
      <c r="L2377" s="29">
        <v>324.61</v>
      </c>
      <c r="M2377" s="29">
        <v>2128</v>
      </c>
    </row>
    <row r="2378" spans="2:13">
      <c r="B2378" s="29">
        <v>1</v>
      </c>
      <c r="C2378" s="29">
        <v>332276</v>
      </c>
      <c r="E2378" s="29" t="s">
        <v>808</v>
      </c>
      <c r="F2378" s="29" t="s">
        <v>800</v>
      </c>
      <c r="G2378" s="29" t="s">
        <v>448</v>
      </c>
      <c r="H2378" s="263">
        <v>42532</v>
      </c>
      <c r="J2378" s="292">
        <v>69.430000000000007</v>
      </c>
      <c r="K2378" s="29">
        <v>0</v>
      </c>
      <c r="L2378" s="29">
        <v>12.5</v>
      </c>
      <c r="M2378" s="29">
        <v>81.93</v>
      </c>
    </row>
    <row r="2379" spans="2:13">
      <c r="B2379" s="29">
        <v>1</v>
      </c>
      <c r="C2379" s="29">
        <v>332397</v>
      </c>
      <c r="D2379" s="29">
        <v>4</v>
      </c>
      <c r="E2379" s="29">
        <v>29902</v>
      </c>
      <c r="F2379" s="29" t="s">
        <v>759</v>
      </c>
      <c r="G2379" s="29" t="s">
        <v>448</v>
      </c>
      <c r="H2379" s="263">
        <v>42534</v>
      </c>
      <c r="J2379" s="292">
        <v>378</v>
      </c>
      <c r="K2379" s="29">
        <v>0</v>
      </c>
      <c r="L2379" s="29">
        <v>68.040000000000006</v>
      </c>
      <c r="M2379" s="29">
        <v>446.04</v>
      </c>
    </row>
    <row r="2380" spans="2:13">
      <c r="B2380" s="29">
        <v>1</v>
      </c>
      <c r="C2380" s="29">
        <v>332398</v>
      </c>
      <c r="D2380" s="29">
        <v>4</v>
      </c>
      <c r="E2380" s="29">
        <v>29901</v>
      </c>
      <c r="F2380" s="29" t="s">
        <v>759</v>
      </c>
      <c r="G2380" s="29" t="s">
        <v>448</v>
      </c>
      <c r="H2380" s="263">
        <v>42534</v>
      </c>
      <c r="J2380" s="292">
        <v>4359.82</v>
      </c>
      <c r="K2380" s="29">
        <v>0</v>
      </c>
      <c r="L2380" s="29">
        <v>784.77</v>
      </c>
      <c r="M2380" s="29">
        <v>5144.59</v>
      </c>
    </row>
    <row r="2381" spans="2:13">
      <c r="B2381" s="29">
        <v>1</v>
      </c>
      <c r="C2381" s="29">
        <v>332395</v>
      </c>
      <c r="D2381" s="29">
        <v>4</v>
      </c>
      <c r="E2381" s="29">
        <v>29900</v>
      </c>
      <c r="F2381" s="29" t="s">
        <v>759</v>
      </c>
      <c r="G2381" s="29" t="s">
        <v>448</v>
      </c>
      <c r="H2381" s="263">
        <v>42534</v>
      </c>
      <c r="J2381" s="292">
        <v>2467.73</v>
      </c>
      <c r="K2381" s="29">
        <v>0</v>
      </c>
      <c r="L2381" s="29">
        <v>444.19</v>
      </c>
      <c r="M2381" s="29">
        <v>2911.92</v>
      </c>
    </row>
    <row r="2382" spans="2:13">
      <c r="B2382" s="29">
        <v>1</v>
      </c>
      <c r="C2382" s="29">
        <v>332394</v>
      </c>
      <c r="D2382" s="29">
        <v>4</v>
      </c>
      <c r="E2382" s="29">
        <v>29899</v>
      </c>
      <c r="F2382" s="29" t="s">
        <v>759</v>
      </c>
      <c r="G2382" s="29" t="s">
        <v>448</v>
      </c>
      <c r="H2382" s="263">
        <v>42534</v>
      </c>
      <c r="J2382" s="292">
        <v>1281.3499999999999</v>
      </c>
      <c r="K2382" s="29">
        <v>0</v>
      </c>
      <c r="L2382" s="29">
        <v>230.64</v>
      </c>
      <c r="M2382" s="29">
        <v>1511.99</v>
      </c>
    </row>
    <row r="2383" spans="2:13">
      <c r="B2383" s="29">
        <v>1</v>
      </c>
      <c r="C2383" s="29">
        <v>332349</v>
      </c>
      <c r="E2383" s="29" t="s">
        <v>808</v>
      </c>
      <c r="F2383" s="29" t="s">
        <v>758</v>
      </c>
      <c r="G2383" s="29" t="s">
        <v>448</v>
      </c>
      <c r="H2383" s="263">
        <v>42534</v>
      </c>
      <c r="J2383" s="292">
        <v>758.17</v>
      </c>
      <c r="K2383" s="29">
        <v>0</v>
      </c>
      <c r="L2383" s="29">
        <v>136.47</v>
      </c>
      <c r="M2383" s="29">
        <v>894.64</v>
      </c>
    </row>
    <row r="2384" spans="2:13">
      <c r="B2384" s="29">
        <v>1</v>
      </c>
      <c r="C2384" s="29">
        <v>332348</v>
      </c>
      <c r="E2384" s="29" t="s">
        <v>808</v>
      </c>
      <c r="F2384" s="29" t="s">
        <v>758</v>
      </c>
      <c r="G2384" s="29" t="s">
        <v>448</v>
      </c>
      <c r="H2384" s="263">
        <v>42534</v>
      </c>
      <c r="J2384" s="292">
        <v>8291.5300000000007</v>
      </c>
      <c r="K2384" s="29">
        <v>0</v>
      </c>
      <c r="L2384" s="29">
        <v>1492.48</v>
      </c>
      <c r="M2384" s="29">
        <v>9784.01</v>
      </c>
    </row>
    <row r="2385" spans="2:13">
      <c r="B2385" s="29">
        <v>1</v>
      </c>
      <c r="C2385" s="29">
        <v>332536</v>
      </c>
      <c r="E2385" s="29" t="s">
        <v>808</v>
      </c>
      <c r="F2385" s="29" t="s">
        <v>758</v>
      </c>
      <c r="G2385" s="29" t="s">
        <v>448</v>
      </c>
      <c r="H2385" s="263">
        <v>42535</v>
      </c>
      <c r="J2385" s="292">
        <v>1774.76</v>
      </c>
      <c r="K2385" s="29">
        <v>0</v>
      </c>
      <c r="L2385" s="29">
        <v>319.45999999999998</v>
      </c>
      <c r="M2385" s="29">
        <v>2094.2199999999998</v>
      </c>
    </row>
    <row r="2386" spans="2:13">
      <c r="B2386" s="29">
        <v>1</v>
      </c>
      <c r="C2386" s="29">
        <v>332436</v>
      </c>
      <c r="E2386" s="29" t="s">
        <v>808</v>
      </c>
      <c r="F2386" s="29" t="s">
        <v>802</v>
      </c>
      <c r="G2386" s="29" t="s">
        <v>382</v>
      </c>
      <c r="H2386" s="263">
        <v>42535</v>
      </c>
      <c r="J2386" s="292">
        <v>1917.27</v>
      </c>
      <c r="K2386" s="29">
        <v>0</v>
      </c>
      <c r="L2386" s="29">
        <v>345.11</v>
      </c>
      <c r="M2386" s="29">
        <v>2262.38</v>
      </c>
    </row>
    <row r="2387" spans="2:13">
      <c r="B2387" s="29">
        <v>1</v>
      </c>
      <c r="C2387" s="29">
        <v>332430</v>
      </c>
      <c r="E2387" s="29" t="s">
        <v>808</v>
      </c>
      <c r="F2387" s="29" t="s">
        <v>757</v>
      </c>
      <c r="G2387" s="29" t="s">
        <v>448</v>
      </c>
      <c r="H2387" s="263">
        <v>42535</v>
      </c>
      <c r="J2387" s="292">
        <v>533.52</v>
      </c>
      <c r="K2387" s="29">
        <v>0</v>
      </c>
      <c r="L2387" s="29">
        <v>96.03</v>
      </c>
      <c r="M2387" s="29">
        <v>629.54999999999995</v>
      </c>
    </row>
    <row r="2388" spans="2:13">
      <c r="B2388" s="29">
        <v>1</v>
      </c>
      <c r="C2388" s="29">
        <v>332429</v>
      </c>
      <c r="D2388" s="29">
        <v>4</v>
      </c>
      <c r="E2388" s="29">
        <v>29920</v>
      </c>
      <c r="F2388" s="29" t="s">
        <v>759</v>
      </c>
      <c r="G2388" s="29" t="s">
        <v>448</v>
      </c>
      <c r="H2388" s="263">
        <v>42535</v>
      </c>
      <c r="J2388" s="292">
        <v>600.78</v>
      </c>
      <c r="K2388" s="29">
        <v>0</v>
      </c>
      <c r="L2388" s="29">
        <v>108.14</v>
      </c>
      <c r="M2388" s="29">
        <v>708.92</v>
      </c>
    </row>
    <row r="2389" spans="2:13">
      <c r="B2389" s="29">
        <v>1</v>
      </c>
      <c r="C2389" s="29">
        <v>332658</v>
      </c>
      <c r="E2389" s="29" t="s">
        <v>808</v>
      </c>
      <c r="F2389" s="29" t="s">
        <v>758</v>
      </c>
      <c r="G2389" s="29" t="s">
        <v>448</v>
      </c>
      <c r="H2389" s="263">
        <v>42536</v>
      </c>
      <c r="J2389" s="292">
        <v>259.49</v>
      </c>
      <c r="K2389" s="29">
        <v>0</v>
      </c>
      <c r="L2389" s="29">
        <v>46.71</v>
      </c>
      <c r="M2389" s="29">
        <v>306.2</v>
      </c>
    </row>
    <row r="2390" spans="2:13">
      <c r="B2390" s="29">
        <v>1</v>
      </c>
      <c r="C2390" s="29">
        <v>332610</v>
      </c>
      <c r="E2390" s="29" t="s">
        <v>808</v>
      </c>
      <c r="F2390" s="29" t="s">
        <v>766</v>
      </c>
      <c r="G2390" s="29" t="s">
        <v>448</v>
      </c>
      <c r="H2390" s="263">
        <v>42536</v>
      </c>
      <c r="J2390" s="292">
        <v>202.89</v>
      </c>
      <c r="K2390" s="29">
        <v>0</v>
      </c>
      <c r="L2390" s="29">
        <v>36.520000000000003</v>
      </c>
      <c r="M2390" s="29">
        <v>239.41</v>
      </c>
    </row>
    <row r="2391" spans="2:13">
      <c r="B2391" s="29">
        <v>1</v>
      </c>
      <c r="C2391" s="29">
        <v>332586</v>
      </c>
      <c r="E2391" s="29" t="s">
        <v>808</v>
      </c>
      <c r="F2391" s="29" t="s">
        <v>758</v>
      </c>
      <c r="G2391" s="29" t="s">
        <v>448</v>
      </c>
      <c r="H2391" s="263">
        <v>42536</v>
      </c>
      <c r="J2391" s="292">
        <v>4269.7299999999996</v>
      </c>
      <c r="K2391" s="29">
        <v>0</v>
      </c>
      <c r="L2391" s="29">
        <v>768.55</v>
      </c>
      <c r="M2391" s="29">
        <v>5038.28</v>
      </c>
    </row>
    <row r="2392" spans="2:13">
      <c r="B2392" s="29">
        <v>1</v>
      </c>
      <c r="C2392" s="29">
        <v>332739</v>
      </c>
      <c r="E2392" s="29" t="s">
        <v>808</v>
      </c>
      <c r="F2392" s="29" t="s">
        <v>772</v>
      </c>
      <c r="G2392" s="29" t="s">
        <v>448</v>
      </c>
      <c r="H2392" s="263">
        <v>42537</v>
      </c>
      <c r="J2392" s="292">
        <v>8383.33</v>
      </c>
      <c r="K2392" s="29">
        <v>0</v>
      </c>
      <c r="L2392" s="29">
        <v>1509</v>
      </c>
      <c r="M2392" s="29">
        <v>9892.33</v>
      </c>
    </row>
    <row r="2393" spans="2:13">
      <c r="B2393" s="29">
        <v>1</v>
      </c>
      <c r="C2393" s="29">
        <v>332919</v>
      </c>
      <c r="E2393" s="29" t="s">
        <v>808</v>
      </c>
      <c r="F2393" s="29" t="s">
        <v>800</v>
      </c>
      <c r="G2393" s="29" t="s">
        <v>448</v>
      </c>
      <c r="H2393" s="263">
        <v>42538</v>
      </c>
      <c r="J2393" s="292">
        <v>154.34</v>
      </c>
      <c r="K2393" s="29">
        <v>0</v>
      </c>
      <c r="L2393" s="29">
        <v>27.78</v>
      </c>
      <c r="M2393" s="29">
        <v>182.12</v>
      </c>
    </row>
    <row r="2394" spans="2:13">
      <c r="B2394" s="29">
        <v>1</v>
      </c>
      <c r="C2394" s="29">
        <v>332890</v>
      </c>
      <c r="D2394" s="29">
        <v>4</v>
      </c>
      <c r="E2394" s="29">
        <v>30163</v>
      </c>
      <c r="F2394" s="29" t="s">
        <v>759</v>
      </c>
      <c r="G2394" s="29" t="s">
        <v>448</v>
      </c>
      <c r="H2394" s="263">
        <v>42538</v>
      </c>
      <c r="J2394" s="292">
        <v>3051.32</v>
      </c>
      <c r="K2394" s="29">
        <v>0</v>
      </c>
      <c r="L2394" s="29">
        <v>549.24</v>
      </c>
      <c r="M2394" s="29">
        <v>3600.56</v>
      </c>
    </row>
    <row r="2395" spans="2:13">
      <c r="B2395" s="29">
        <v>1</v>
      </c>
      <c r="C2395" s="29">
        <v>332889</v>
      </c>
      <c r="D2395" s="29">
        <v>4</v>
      </c>
      <c r="E2395" s="29">
        <v>30162</v>
      </c>
      <c r="F2395" s="29" t="s">
        <v>759</v>
      </c>
      <c r="G2395" s="29" t="s">
        <v>448</v>
      </c>
      <c r="H2395" s="263">
        <v>42538</v>
      </c>
      <c r="J2395" s="292">
        <v>3762.44</v>
      </c>
      <c r="K2395" s="29">
        <v>0</v>
      </c>
      <c r="L2395" s="29">
        <v>677.24</v>
      </c>
      <c r="M2395" s="29">
        <v>4439.68</v>
      </c>
    </row>
    <row r="2396" spans="2:13">
      <c r="B2396" s="29">
        <v>1</v>
      </c>
      <c r="C2396" s="29">
        <v>332872</v>
      </c>
      <c r="E2396" s="29" t="s">
        <v>808</v>
      </c>
      <c r="F2396" s="29" t="s">
        <v>767</v>
      </c>
      <c r="G2396" s="29" t="s">
        <v>448</v>
      </c>
      <c r="H2396" s="263">
        <v>42538</v>
      </c>
      <c r="J2396" s="292">
        <v>78.510000000000005</v>
      </c>
      <c r="K2396" s="29">
        <v>0</v>
      </c>
      <c r="L2396" s="29">
        <v>14.13</v>
      </c>
      <c r="M2396" s="29">
        <v>92.64</v>
      </c>
    </row>
    <row r="2397" spans="2:13">
      <c r="B2397" s="29">
        <v>1</v>
      </c>
      <c r="C2397" s="29">
        <v>332850</v>
      </c>
      <c r="E2397" s="29" t="s">
        <v>808</v>
      </c>
      <c r="F2397" s="29" t="s">
        <v>772</v>
      </c>
      <c r="G2397" s="29" t="s">
        <v>448</v>
      </c>
      <c r="H2397" s="263">
        <v>42538</v>
      </c>
      <c r="J2397" s="292">
        <v>26181.200000000001</v>
      </c>
      <c r="K2397" s="29">
        <v>0</v>
      </c>
      <c r="L2397" s="29">
        <v>4712.62</v>
      </c>
      <c r="M2397" s="29">
        <v>30893.82</v>
      </c>
    </row>
    <row r="2398" spans="2:13">
      <c r="B2398" s="29">
        <v>1</v>
      </c>
      <c r="C2398" s="29">
        <v>332848</v>
      </c>
      <c r="E2398" s="29" t="s">
        <v>808</v>
      </c>
      <c r="F2398" s="29" t="s">
        <v>758</v>
      </c>
      <c r="G2398" s="29" t="s">
        <v>448</v>
      </c>
      <c r="H2398" s="263">
        <v>42538</v>
      </c>
      <c r="J2398" s="292">
        <v>2262.84</v>
      </c>
      <c r="K2398" s="29">
        <v>0</v>
      </c>
      <c r="L2398" s="29">
        <v>407.31</v>
      </c>
      <c r="M2398" s="29">
        <v>2670.15</v>
      </c>
    </row>
    <row r="2399" spans="2:13">
      <c r="B2399" s="29">
        <v>1</v>
      </c>
      <c r="C2399" s="29">
        <v>332810</v>
      </c>
      <c r="E2399" s="29" t="s">
        <v>808</v>
      </c>
      <c r="F2399" s="29" t="s">
        <v>760</v>
      </c>
      <c r="G2399" s="29" t="s">
        <v>448</v>
      </c>
      <c r="H2399" s="263">
        <v>42538</v>
      </c>
      <c r="J2399" s="292">
        <v>282.74</v>
      </c>
      <c r="K2399" s="29">
        <v>0</v>
      </c>
      <c r="L2399" s="29">
        <v>50.89</v>
      </c>
      <c r="M2399" s="29">
        <v>333.63</v>
      </c>
    </row>
    <row r="2400" spans="2:13">
      <c r="B2400" s="29">
        <v>1</v>
      </c>
      <c r="C2400" s="29">
        <v>332978</v>
      </c>
      <c r="D2400" s="29">
        <v>4</v>
      </c>
      <c r="E2400" s="29">
        <v>30203</v>
      </c>
      <c r="F2400" s="29" t="s">
        <v>759</v>
      </c>
      <c r="G2400" s="29" t="s">
        <v>448</v>
      </c>
      <c r="H2400" s="263">
        <v>42539</v>
      </c>
      <c r="J2400" s="292">
        <v>1534.84</v>
      </c>
      <c r="K2400" s="29">
        <v>0</v>
      </c>
      <c r="L2400" s="29">
        <v>276.27</v>
      </c>
      <c r="M2400" s="29">
        <v>1811.11</v>
      </c>
    </row>
    <row r="2401" spans="2:13">
      <c r="B2401" s="29">
        <v>1</v>
      </c>
      <c r="C2401" s="29">
        <v>332963</v>
      </c>
      <c r="D2401" s="29">
        <v>4</v>
      </c>
      <c r="E2401" s="29">
        <v>30195</v>
      </c>
      <c r="F2401" s="29" t="s">
        <v>759</v>
      </c>
      <c r="G2401" s="29" t="s">
        <v>448</v>
      </c>
      <c r="H2401" s="263">
        <v>42539</v>
      </c>
      <c r="J2401" s="292">
        <v>1577.45</v>
      </c>
      <c r="K2401" s="29">
        <v>0</v>
      </c>
      <c r="L2401" s="29">
        <v>283.94</v>
      </c>
      <c r="M2401" s="29">
        <v>1861.39</v>
      </c>
    </row>
    <row r="2402" spans="2:13">
      <c r="B2402" s="29">
        <v>1</v>
      </c>
      <c r="C2402" s="29">
        <v>332929</v>
      </c>
      <c r="E2402" s="29" t="s">
        <v>808</v>
      </c>
      <c r="F2402" s="29" t="s">
        <v>758</v>
      </c>
      <c r="G2402" s="29" t="s">
        <v>448</v>
      </c>
      <c r="H2402" s="263">
        <v>42539</v>
      </c>
      <c r="J2402" s="292">
        <v>1397.93</v>
      </c>
      <c r="K2402" s="29">
        <v>0</v>
      </c>
      <c r="L2402" s="29">
        <v>251.63</v>
      </c>
      <c r="M2402" s="29">
        <v>1649.56</v>
      </c>
    </row>
    <row r="2403" spans="2:13">
      <c r="B2403" s="29">
        <v>1</v>
      </c>
      <c r="C2403" s="29">
        <v>333027</v>
      </c>
      <c r="D2403" s="29">
        <v>4</v>
      </c>
      <c r="E2403" s="29">
        <v>30227</v>
      </c>
      <c r="F2403" s="29" t="s">
        <v>759</v>
      </c>
      <c r="G2403" s="29" t="s">
        <v>448</v>
      </c>
      <c r="H2403" s="263">
        <v>42541</v>
      </c>
      <c r="J2403" s="292">
        <v>2178.5500000000002</v>
      </c>
      <c r="K2403" s="29">
        <v>0</v>
      </c>
      <c r="L2403" s="29">
        <v>392.14</v>
      </c>
      <c r="M2403" s="29">
        <v>2570.69</v>
      </c>
    </row>
    <row r="2404" spans="2:13">
      <c r="B2404" s="29">
        <v>1</v>
      </c>
      <c r="C2404" s="29">
        <v>332993</v>
      </c>
      <c r="E2404" s="29" t="s">
        <v>808</v>
      </c>
      <c r="F2404" s="29" t="s">
        <v>802</v>
      </c>
      <c r="G2404" s="29" t="s">
        <v>382</v>
      </c>
      <c r="H2404" s="263">
        <v>42541</v>
      </c>
      <c r="J2404" s="292">
        <v>2690.6</v>
      </c>
      <c r="K2404" s="29">
        <v>0</v>
      </c>
      <c r="L2404" s="29">
        <v>484.31</v>
      </c>
      <c r="M2404" s="29">
        <v>3174.91</v>
      </c>
    </row>
    <row r="2405" spans="2:13">
      <c r="B2405" s="29">
        <v>1</v>
      </c>
      <c r="C2405" s="29">
        <v>332992</v>
      </c>
      <c r="D2405" s="29">
        <v>4</v>
      </c>
      <c r="E2405" s="29">
        <v>30208</v>
      </c>
      <c r="F2405" s="29" t="s">
        <v>772</v>
      </c>
      <c r="G2405" s="29" t="s">
        <v>448</v>
      </c>
      <c r="H2405" s="263">
        <v>42541</v>
      </c>
      <c r="J2405" s="292">
        <v>20899.3</v>
      </c>
      <c r="K2405" s="29">
        <v>0</v>
      </c>
      <c r="L2405" s="29">
        <v>3761.87</v>
      </c>
      <c r="M2405" s="29">
        <v>24661.17</v>
      </c>
    </row>
    <row r="2406" spans="2:13">
      <c r="B2406" s="29">
        <v>1</v>
      </c>
      <c r="C2406" s="29">
        <v>332984</v>
      </c>
      <c r="D2406" s="29">
        <v>4</v>
      </c>
      <c r="E2406" s="29">
        <v>30204</v>
      </c>
      <c r="F2406" s="29" t="s">
        <v>759</v>
      </c>
      <c r="G2406" s="29" t="s">
        <v>448</v>
      </c>
      <c r="H2406" s="263">
        <v>42541</v>
      </c>
      <c r="J2406" s="292">
        <v>2850.15</v>
      </c>
      <c r="K2406" s="29">
        <v>0</v>
      </c>
      <c r="L2406" s="29">
        <v>513.03</v>
      </c>
      <c r="M2406" s="29">
        <v>3363.18</v>
      </c>
    </row>
    <row r="2407" spans="2:13">
      <c r="B2407" s="29">
        <v>1</v>
      </c>
      <c r="C2407" s="29">
        <v>332982</v>
      </c>
      <c r="E2407" s="29" t="s">
        <v>808</v>
      </c>
      <c r="F2407" s="29" t="s">
        <v>758</v>
      </c>
      <c r="G2407" s="29" t="s">
        <v>448</v>
      </c>
      <c r="H2407" s="263">
        <v>42541</v>
      </c>
      <c r="J2407" s="292">
        <v>4478.8</v>
      </c>
      <c r="K2407" s="29">
        <v>0</v>
      </c>
      <c r="L2407" s="29">
        <v>806.18</v>
      </c>
      <c r="M2407" s="29">
        <v>5284.98</v>
      </c>
    </row>
    <row r="2408" spans="2:13">
      <c r="B2408" s="29">
        <v>1</v>
      </c>
      <c r="C2408" s="29">
        <v>333150</v>
      </c>
      <c r="D2408" s="29">
        <v>4</v>
      </c>
      <c r="E2408" s="29">
        <v>30297</v>
      </c>
      <c r="F2408" s="29" t="s">
        <v>759</v>
      </c>
      <c r="G2408" s="29" t="s">
        <v>448</v>
      </c>
      <c r="H2408" s="263">
        <v>42542</v>
      </c>
      <c r="J2408" s="292">
        <v>2968.79</v>
      </c>
      <c r="K2408" s="29">
        <v>0</v>
      </c>
      <c r="L2408" s="29">
        <v>534.38</v>
      </c>
      <c r="M2408" s="29">
        <v>3503.17</v>
      </c>
    </row>
    <row r="2409" spans="2:13">
      <c r="B2409" s="29">
        <v>1</v>
      </c>
      <c r="C2409" s="29">
        <v>333149</v>
      </c>
      <c r="D2409" s="29">
        <v>4</v>
      </c>
      <c r="E2409" s="29">
        <v>30296</v>
      </c>
      <c r="F2409" s="29" t="s">
        <v>759</v>
      </c>
      <c r="G2409" s="29" t="s">
        <v>448</v>
      </c>
      <c r="H2409" s="263">
        <v>42542</v>
      </c>
      <c r="J2409" s="292">
        <v>2070.19</v>
      </c>
      <c r="K2409" s="29">
        <v>0</v>
      </c>
      <c r="L2409" s="29">
        <v>372.63</v>
      </c>
      <c r="M2409" s="29">
        <v>2442.8200000000002</v>
      </c>
    </row>
    <row r="2410" spans="2:13">
      <c r="B2410" s="29">
        <v>1</v>
      </c>
      <c r="C2410" s="29">
        <v>333148</v>
      </c>
      <c r="D2410" s="29">
        <v>4</v>
      </c>
      <c r="E2410" s="29">
        <v>30295</v>
      </c>
      <c r="F2410" s="29" t="s">
        <v>759</v>
      </c>
      <c r="G2410" s="29" t="s">
        <v>448</v>
      </c>
      <c r="H2410" s="263">
        <v>42542</v>
      </c>
      <c r="J2410" s="292">
        <v>1408.23</v>
      </c>
      <c r="K2410" s="29">
        <v>0</v>
      </c>
      <c r="L2410" s="29">
        <v>253.48</v>
      </c>
      <c r="M2410" s="29">
        <v>1661.71</v>
      </c>
    </row>
    <row r="2411" spans="2:13">
      <c r="B2411" s="29">
        <v>1</v>
      </c>
      <c r="C2411" s="29">
        <v>333144</v>
      </c>
      <c r="E2411" s="29" t="s">
        <v>808</v>
      </c>
      <c r="F2411" s="29" t="s">
        <v>758</v>
      </c>
      <c r="G2411" s="29" t="s">
        <v>448</v>
      </c>
      <c r="H2411" s="263">
        <v>42542</v>
      </c>
      <c r="J2411" s="292">
        <v>475.74</v>
      </c>
      <c r="K2411" s="29">
        <v>0</v>
      </c>
      <c r="L2411" s="29">
        <v>85.63</v>
      </c>
      <c r="M2411" s="29">
        <v>561.37</v>
      </c>
    </row>
    <row r="2412" spans="2:13">
      <c r="B2412" s="29">
        <v>1</v>
      </c>
      <c r="C2412" s="29">
        <v>333081</v>
      </c>
      <c r="E2412" s="29" t="s">
        <v>808</v>
      </c>
      <c r="F2412" s="29" t="s">
        <v>758</v>
      </c>
      <c r="G2412" s="29" t="s">
        <v>448</v>
      </c>
      <c r="H2412" s="263">
        <v>42542</v>
      </c>
      <c r="J2412" s="292">
        <v>814.51</v>
      </c>
      <c r="K2412" s="29">
        <v>0</v>
      </c>
      <c r="L2412" s="29">
        <v>146.61000000000001</v>
      </c>
      <c r="M2412" s="29">
        <v>961.12</v>
      </c>
    </row>
    <row r="2413" spans="2:13">
      <c r="B2413" s="29">
        <v>1</v>
      </c>
      <c r="C2413" s="29">
        <v>333077</v>
      </c>
      <c r="D2413" s="29">
        <v>4</v>
      </c>
      <c r="E2413" s="29">
        <v>30259</v>
      </c>
      <c r="F2413" s="29" t="s">
        <v>759</v>
      </c>
      <c r="G2413" s="29" t="s">
        <v>448</v>
      </c>
      <c r="H2413" s="263">
        <v>42542</v>
      </c>
      <c r="J2413" s="292">
        <v>438.17</v>
      </c>
      <c r="K2413" s="29">
        <v>0</v>
      </c>
      <c r="L2413" s="29">
        <v>78.87</v>
      </c>
      <c r="M2413" s="29">
        <v>517.04</v>
      </c>
    </row>
    <row r="2414" spans="2:13">
      <c r="B2414" s="29">
        <v>1</v>
      </c>
      <c r="C2414" s="29">
        <v>333076</v>
      </c>
      <c r="D2414" s="29">
        <v>4</v>
      </c>
      <c r="E2414" s="29">
        <v>30258</v>
      </c>
      <c r="F2414" s="29" t="s">
        <v>759</v>
      </c>
      <c r="G2414" s="29" t="s">
        <v>448</v>
      </c>
      <c r="H2414" s="263">
        <v>42542</v>
      </c>
      <c r="J2414" s="292">
        <v>2680.75</v>
      </c>
      <c r="K2414" s="29">
        <v>0</v>
      </c>
      <c r="L2414" s="29">
        <v>482.54</v>
      </c>
      <c r="M2414" s="29">
        <v>3163.29</v>
      </c>
    </row>
    <row r="2415" spans="2:13">
      <c r="B2415" s="29">
        <v>1</v>
      </c>
      <c r="C2415" s="29">
        <v>333056</v>
      </c>
      <c r="E2415" s="29" t="s">
        <v>808</v>
      </c>
      <c r="F2415" s="29" t="s">
        <v>758</v>
      </c>
      <c r="G2415" s="29" t="s">
        <v>448</v>
      </c>
      <c r="H2415" s="263">
        <v>42542</v>
      </c>
      <c r="J2415" s="292">
        <v>5093.6499999999996</v>
      </c>
      <c r="K2415" s="29">
        <v>0</v>
      </c>
      <c r="L2415" s="29">
        <v>916.86</v>
      </c>
      <c r="M2415" s="29">
        <v>6010.51</v>
      </c>
    </row>
    <row r="2416" spans="2:13">
      <c r="B2416" s="29">
        <v>1</v>
      </c>
      <c r="C2416" s="29">
        <v>333287</v>
      </c>
      <c r="E2416" s="29" t="s">
        <v>808</v>
      </c>
      <c r="F2416" s="29" t="s">
        <v>758</v>
      </c>
      <c r="G2416" s="29" t="s">
        <v>448</v>
      </c>
      <c r="H2416" s="263">
        <v>42543</v>
      </c>
      <c r="J2416" s="292">
        <v>312.25</v>
      </c>
      <c r="K2416" s="29">
        <v>0</v>
      </c>
      <c r="L2416" s="29">
        <v>56.21</v>
      </c>
      <c r="M2416" s="29">
        <v>368.46</v>
      </c>
    </row>
    <row r="2417" spans="2:13">
      <c r="B2417" s="29">
        <v>1</v>
      </c>
      <c r="C2417" s="29">
        <v>333228</v>
      </c>
      <c r="E2417" s="29" t="s">
        <v>808</v>
      </c>
      <c r="F2417" s="29" t="s">
        <v>757</v>
      </c>
      <c r="G2417" s="29" t="s">
        <v>448</v>
      </c>
      <c r="H2417" s="263">
        <v>42543</v>
      </c>
      <c r="J2417" s="292">
        <v>413.03</v>
      </c>
      <c r="K2417" s="29">
        <v>0</v>
      </c>
      <c r="L2417" s="29">
        <v>74.349999999999994</v>
      </c>
      <c r="M2417" s="29">
        <v>487.38</v>
      </c>
    </row>
    <row r="2418" spans="2:13">
      <c r="B2418" s="29">
        <v>1</v>
      </c>
      <c r="C2418" s="29">
        <v>333218</v>
      </c>
      <c r="E2418" s="29" t="s">
        <v>808</v>
      </c>
      <c r="F2418" s="29" t="s">
        <v>802</v>
      </c>
      <c r="G2418" s="29" t="s">
        <v>382</v>
      </c>
      <c r="H2418" s="263">
        <v>42543</v>
      </c>
      <c r="J2418" s="292">
        <v>3755.53</v>
      </c>
      <c r="K2418" s="29">
        <v>0</v>
      </c>
      <c r="L2418" s="29">
        <v>676</v>
      </c>
      <c r="M2418" s="29">
        <v>4431.53</v>
      </c>
    </row>
    <row r="2419" spans="2:13">
      <c r="B2419" s="29">
        <v>1</v>
      </c>
      <c r="C2419" s="29">
        <v>333213</v>
      </c>
      <c r="D2419" s="29">
        <v>4</v>
      </c>
      <c r="E2419" s="29">
        <v>30325</v>
      </c>
      <c r="F2419" s="29" t="s">
        <v>759</v>
      </c>
      <c r="G2419" s="29" t="s">
        <v>448</v>
      </c>
      <c r="H2419" s="263">
        <v>42543</v>
      </c>
      <c r="J2419" s="292">
        <v>1282.71</v>
      </c>
      <c r="K2419" s="29">
        <v>0</v>
      </c>
      <c r="L2419" s="29">
        <v>230.89</v>
      </c>
      <c r="M2419" s="29">
        <v>1513.6</v>
      </c>
    </row>
    <row r="2420" spans="2:13">
      <c r="B2420" s="29">
        <v>1</v>
      </c>
      <c r="C2420" s="29">
        <v>333208</v>
      </c>
      <c r="E2420" s="29" t="s">
        <v>808</v>
      </c>
      <c r="F2420" s="29" t="s">
        <v>758</v>
      </c>
      <c r="G2420" s="29" t="s">
        <v>448</v>
      </c>
      <c r="H2420" s="263">
        <v>42543</v>
      </c>
      <c r="J2420" s="292">
        <v>0</v>
      </c>
      <c r="K2420" s="29">
        <v>638.29999999999995</v>
      </c>
      <c r="L2420" s="29">
        <v>0</v>
      </c>
      <c r="M2420" s="29">
        <v>638.29999999999995</v>
      </c>
    </row>
    <row r="2421" spans="2:13">
      <c r="B2421" s="29">
        <v>1</v>
      </c>
      <c r="C2421" s="29">
        <v>333207</v>
      </c>
      <c r="E2421" s="29" t="s">
        <v>808</v>
      </c>
      <c r="F2421" s="29" t="s">
        <v>758</v>
      </c>
      <c r="G2421" s="29" t="s">
        <v>448</v>
      </c>
      <c r="H2421" s="263">
        <v>42543</v>
      </c>
      <c r="J2421" s="292">
        <v>10129.26</v>
      </c>
      <c r="K2421" s="29">
        <v>0</v>
      </c>
      <c r="L2421" s="29">
        <v>1823.27</v>
      </c>
      <c r="M2421" s="29">
        <v>11952.53</v>
      </c>
    </row>
    <row r="2422" spans="2:13">
      <c r="B2422" s="29">
        <v>1</v>
      </c>
      <c r="C2422" s="29">
        <v>333200</v>
      </c>
      <c r="E2422" s="29" t="s">
        <v>808</v>
      </c>
      <c r="F2422" s="29" t="s">
        <v>758</v>
      </c>
      <c r="G2422" s="29" t="s">
        <v>448</v>
      </c>
      <c r="H2422" s="263">
        <v>42543</v>
      </c>
      <c r="J2422" s="292">
        <v>816.03</v>
      </c>
      <c r="K2422" s="29">
        <v>0</v>
      </c>
      <c r="L2422" s="29">
        <v>146.88999999999999</v>
      </c>
      <c r="M2422" s="29">
        <v>962.92</v>
      </c>
    </row>
    <row r="2423" spans="2:13">
      <c r="B2423" s="29">
        <v>1</v>
      </c>
      <c r="C2423" s="29">
        <v>333199</v>
      </c>
      <c r="E2423" s="29" t="s">
        <v>808</v>
      </c>
      <c r="F2423" s="29" t="s">
        <v>758</v>
      </c>
      <c r="G2423" s="29" t="s">
        <v>448</v>
      </c>
      <c r="H2423" s="263">
        <v>42543</v>
      </c>
      <c r="J2423" s="292">
        <v>2529.9499999999998</v>
      </c>
      <c r="K2423" s="29">
        <v>0</v>
      </c>
      <c r="L2423" s="29">
        <v>455.39</v>
      </c>
      <c r="M2423" s="29">
        <v>2985.34</v>
      </c>
    </row>
    <row r="2424" spans="2:13">
      <c r="B2424" s="29">
        <v>1</v>
      </c>
      <c r="C2424" s="29">
        <v>333198</v>
      </c>
      <c r="E2424" s="29" t="s">
        <v>808</v>
      </c>
      <c r="F2424" s="29" t="s">
        <v>758</v>
      </c>
      <c r="G2424" s="29" t="s">
        <v>448</v>
      </c>
      <c r="H2424" s="263">
        <v>42543</v>
      </c>
      <c r="J2424" s="292">
        <v>4509.47</v>
      </c>
      <c r="K2424" s="29">
        <v>0</v>
      </c>
      <c r="L2424" s="29">
        <v>811.7</v>
      </c>
      <c r="M2424" s="29">
        <v>5321.17</v>
      </c>
    </row>
    <row r="2425" spans="2:13">
      <c r="B2425" s="29">
        <v>1</v>
      </c>
      <c r="C2425" s="29">
        <v>333193</v>
      </c>
      <c r="E2425" s="29" t="s">
        <v>808</v>
      </c>
      <c r="F2425" s="29" t="s">
        <v>758</v>
      </c>
      <c r="G2425" s="29" t="s">
        <v>448</v>
      </c>
      <c r="H2425" s="263">
        <v>42543</v>
      </c>
      <c r="J2425" s="292">
        <v>1101.44</v>
      </c>
      <c r="K2425" s="29">
        <v>0</v>
      </c>
      <c r="L2425" s="29">
        <v>198.26</v>
      </c>
      <c r="M2425" s="29">
        <v>1299.7</v>
      </c>
    </row>
    <row r="2426" spans="2:13">
      <c r="B2426" s="29">
        <v>1</v>
      </c>
      <c r="C2426" s="29">
        <v>333178</v>
      </c>
      <c r="E2426" s="29" t="s">
        <v>808</v>
      </c>
      <c r="F2426" s="29" t="s">
        <v>802</v>
      </c>
      <c r="G2426" s="29" t="s">
        <v>382</v>
      </c>
      <c r="H2426" s="263">
        <v>42543</v>
      </c>
      <c r="J2426" s="292">
        <v>1687.58</v>
      </c>
      <c r="K2426" s="29">
        <v>0</v>
      </c>
      <c r="L2426" s="29">
        <v>303.76</v>
      </c>
      <c r="M2426" s="29">
        <v>1991.34</v>
      </c>
    </row>
    <row r="2427" spans="2:13">
      <c r="B2427" s="29">
        <v>1</v>
      </c>
      <c r="C2427" s="29">
        <v>333162</v>
      </c>
      <c r="E2427" s="29" t="s">
        <v>808</v>
      </c>
      <c r="F2427" s="29" t="s">
        <v>758</v>
      </c>
      <c r="G2427" s="29" t="s">
        <v>448</v>
      </c>
      <c r="H2427" s="263">
        <v>42543</v>
      </c>
      <c r="J2427" s="292">
        <v>11857.61</v>
      </c>
      <c r="K2427" s="29">
        <v>0</v>
      </c>
      <c r="L2427" s="29">
        <v>2134.37</v>
      </c>
      <c r="M2427" s="29">
        <v>13991.98</v>
      </c>
    </row>
    <row r="2428" spans="2:13">
      <c r="B2428" s="29">
        <v>1</v>
      </c>
      <c r="C2428" s="29">
        <v>333161</v>
      </c>
      <c r="E2428" s="29" t="s">
        <v>808</v>
      </c>
      <c r="F2428" s="29" t="s">
        <v>758</v>
      </c>
      <c r="G2428" s="29" t="s">
        <v>448</v>
      </c>
      <c r="H2428" s="263">
        <v>42543</v>
      </c>
      <c r="J2428" s="292">
        <v>967.35</v>
      </c>
      <c r="K2428" s="29">
        <v>0</v>
      </c>
      <c r="L2428" s="29">
        <v>174.12</v>
      </c>
      <c r="M2428" s="29">
        <v>1141.47</v>
      </c>
    </row>
    <row r="2429" spans="2:13">
      <c r="B2429" s="29">
        <v>1</v>
      </c>
      <c r="C2429" s="29">
        <v>333401</v>
      </c>
      <c r="E2429" s="29" t="s">
        <v>808</v>
      </c>
      <c r="F2429" s="29" t="s">
        <v>757</v>
      </c>
      <c r="G2429" s="29" t="s">
        <v>448</v>
      </c>
      <c r="H2429" s="263">
        <v>42544</v>
      </c>
      <c r="J2429" s="292">
        <v>462.88</v>
      </c>
      <c r="K2429" s="29">
        <v>0</v>
      </c>
      <c r="L2429" s="29">
        <v>83.32</v>
      </c>
      <c r="M2429" s="29">
        <v>546.20000000000005</v>
      </c>
    </row>
    <row r="2430" spans="2:13">
      <c r="B2430" s="29">
        <v>1</v>
      </c>
      <c r="C2430" s="29">
        <v>333360</v>
      </c>
      <c r="D2430" s="29">
        <v>4</v>
      </c>
      <c r="E2430" s="29">
        <v>30400</v>
      </c>
      <c r="F2430" s="29" t="s">
        <v>759</v>
      </c>
      <c r="G2430" s="29" t="s">
        <v>448</v>
      </c>
      <c r="H2430" s="263">
        <v>42544</v>
      </c>
      <c r="J2430" s="292">
        <v>722.65</v>
      </c>
      <c r="K2430" s="29">
        <v>0</v>
      </c>
      <c r="L2430" s="29">
        <v>130.08000000000001</v>
      </c>
      <c r="M2430" s="29">
        <v>852.73</v>
      </c>
    </row>
    <row r="2431" spans="2:13">
      <c r="B2431" s="29">
        <v>1</v>
      </c>
      <c r="C2431" s="29">
        <v>333338</v>
      </c>
      <c r="E2431" s="29" t="s">
        <v>808</v>
      </c>
      <c r="F2431" s="29" t="s">
        <v>760</v>
      </c>
      <c r="G2431" s="29" t="s">
        <v>448</v>
      </c>
      <c r="H2431" s="263">
        <v>42544</v>
      </c>
      <c r="J2431" s="292">
        <v>419.17</v>
      </c>
      <c r="K2431" s="29">
        <v>0</v>
      </c>
      <c r="L2431" s="29">
        <v>75.45</v>
      </c>
      <c r="M2431" s="29">
        <v>494.62</v>
      </c>
    </row>
    <row r="2432" spans="2:13">
      <c r="B2432" s="29">
        <v>1</v>
      </c>
      <c r="C2432" s="29">
        <v>333438</v>
      </c>
      <c r="E2432" s="29" t="s">
        <v>808</v>
      </c>
      <c r="F2432" s="29" t="s">
        <v>758</v>
      </c>
      <c r="G2432" s="29" t="s">
        <v>448</v>
      </c>
      <c r="H2432" s="263">
        <v>42545</v>
      </c>
      <c r="J2432" s="292">
        <v>1938.05</v>
      </c>
      <c r="K2432" s="29">
        <v>0</v>
      </c>
      <c r="L2432" s="29">
        <v>348.85</v>
      </c>
      <c r="M2432" s="29">
        <v>2286.9</v>
      </c>
    </row>
    <row r="2433" spans="2:13">
      <c r="B2433" s="29">
        <v>1</v>
      </c>
      <c r="C2433" s="29">
        <v>333556</v>
      </c>
      <c r="D2433" s="29">
        <v>4</v>
      </c>
      <c r="E2433" s="29">
        <v>30497</v>
      </c>
      <c r="F2433" s="29" t="s">
        <v>759</v>
      </c>
      <c r="G2433" s="29" t="s">
        <v>448</v>
      </c>
      <c r="H2433" s="263">
        <v>42546</v>
      </c>
      <c r="J2433" s="292">
        <v>869.92</v>
      </c>
      <c r="K2433" s="29">
        <v>0</v>
      </c>
      <c r="L2433" s="29">
        <v>156.59</v>
      </c>
      <c r="M2433" s="29">
        <v>1026.51</v>
      </c>
    </row>
    <row r="2434" spans="2:13">
      <c r="B2434" s="29">
        <v>1</v>
      </c>
      <c r="C2434" s="29">
        <v>333548</v>
      </c>
      <c r="D2434" s="29">
        <v>4</v>
      </c>
      <c r="E2434" s="29">
        <v>30492</v>
      </c>
      <c r="F2434" s="29" t="s">
        <v>759</v>
      </c>
      <c r="G2434" s="29" t="s">
        <v>448</v>
      </c>
      <c r="H2434" s="263">
        <v>42546</v>
      </c>
      <c r="J2434" s="292">
        <v>418.43</v>
      </c>
      <c r="K2434" s="29">
        <v>0</v>
      </c>
      <c r="L2434" s="29">
        <v>75.319999999999993</v>
      </c>
      <c r="M2434" s="29">
        <v>493.75</v>
      </c>
    </row>
    <row r="2435" spans="2:13">
      <c r="B2435" s="29">
        <v>1</v>
      </c>
      <c r="C2435" s="29">
        <v>333524</v>
      </c>
      <c r="E2435" s="29" t="s">
        <v>808</v>
      </c>
      <c r="F2435" s="29" t="s">
        <v>757</v>
      </c>
      <c r="G2435" s="29" t="s">
        <v>448</v>
      </c>
      <c r="H2435" s="263">
        <v>42546</v>
      </c>
      <c r="J2435" s="292">
        <v>379.78</v>
      </c>
      <c r="K2435" s="29">
        <v>0</v>
      </c>
      <c r="L2435" s="29">
        <v>68.36</v>
      </c>
      <c r="M2435" s="29">
        <v>448.14</v>
      </c>
    </row>
    <row r="2436" spans="2:13">
      <c r="B2436" s="29">
        <v>1</v>
      </c>
      <c r="C2436" s="29">
        <v>333635</v>
      </c>
      <c r="E2436" s="29" t="s">
        <v>808</v>
      </c>
      <c r="F2436" s="29" t="s">
        <v>758</v>
      </c>
      <c r="G2436" s="29" t="s">
        <v>448</v>
      </c>
      <c r="H2436" s="263">
        <v>42548</v>
      </c>
      <c r="J2436" s="292">
        <v>541.79999999999995</v>
      </c>
      <c r="K2436" s="29">
        <v>0</v>
      </c>
      <c r="L2436" s="29">
        <v>97.52</v>
      </c>
      <c r="M2436" s="29">
        <v>639.32000000000005</v>
      </c>
    </row>
    <row r="2437" spans="2:13">
      <c r="B2437" s="29">
        <v>1</v>
      </c>
      <c r="C2437" s="29">
        <v>333624</v>
      </c>
      <c r="E2437" s="29" t="s">
        <v>808</v>
      </c>
      <c r="F2437" s="29" t="s">
        <v>758</v>
      </c>
      <c r="G2437" s="29" t="s">
        <v>448</v>
      </c>
      <c r="H2437" s="263">
        <v>42548</v>
      </c>
      <c r="J2437" s="292">
        <v>2799.2</v>
      </c>
      <c r="K2437" s="29">
        <v>0</v>
      </c>
      <c r="L2437" s="29">
        <v>503.86</v>
      </c>
      <c r="M2437" s="29">
        <v>3303.06</v>
      </c>
    </row>
    <row r="2438" spans="2:13">
      <c r="B2438" s="29">
        <v>1</v>
      </c>
      <c r="C2438" s="29">
        <v>333610</v>
      </c>
      <c r="D2438" s="29">
        <v>4</v>
      </c>
      <c r="E2438" s="29">
        <v>30528</v>
      </c>
      <c r="F2438" s="29" t="s">
        <v>759</v>
      </c>
      <c r="G2438" s="29" t="s">
        <v>448</v>
      </c>
      <c r="H2438" s="263">
        <v>42548</v>
      </c>
      <c r="J2438" s="292">
        <v>594.46</v>
      </c>
      <c r="K2438" s="29">
        <v>0</v>
      </c>
      <c r="L2438" s="29">
        <v>107</v>
      </c>
      <c r="M2438" s="29">
        <v>701.46</v>
      </c>
    </row>
    <row r="2439" spans="2:13">
      <c r="B2439" s="29">
        <v>1</v>
      </c>
      <c r="C2439" s="29">
        <v>333609</v>
      </c>
      <c r="D2439" s="29">
        <v>4</v>
      </c>
      <c r="E2439" s="29">
        <v>30527</v>
      </c>
      <c r="F2439" s="29" t="s">
        <v>759</v>
      </c>
      <c r="G2439" s="29" t="s">
        <v>448</v>
      </c>
      <c r="H2439" s="263">
        <v>42548</v>
      </c>
      <c r="J2439" s="292">
        <v>9468.81</v>
      </c>
      <c r="K2439" s="29">
        <v>0</v>
      </c>
      <c r="L2439" s="29">
        <v>1704.39</v>
      </c>
      <c r="M2439" s="29">
        <v>11173.2</v>
      </c>
    </row>
    <row r="2440" spans="2:13">
      <c r="B2440" s="29">
        <v>1</v>
      </c>
      <c r="C2440" s="29">
        <v>333608</v>
      </c>
      <c r="D2440" s="29">
        <v>4</v>
      </c>
      <c r="E2440" s="29">
        <v>30526</v>
      </c>
      <c r="F2440" s="29" t="s">
        <v>759</v>
      </c>
      <c r="G2440" s="29" t="s">
        <v>448</v>
      </c>
      <c r="H2440" s="263">
        <v>42548</v>
      </c>
      <c r="J2440" s="292">
        <v>3970.94</v>
      </c>
      <c r="K2440" s="29">
        <v>0</v>
      </c>
      <c r="L2440" s="29">
        <v>714.77</v>
      </c>
      <c r="M2440" s="29">
        <v>4685.71</v>
      </c>
    </row>
    <row r="2441" spans="2:13">
      <c r="B2441" s="29">
        <v>1</v>
      </c>
      <c r="C2441" s="29">
        <v>333583</v>
      </c>
      <c r="D2441" s="29">
        <v>4</v>
      </c>
      <c r="E2441" s="29">
        <v>30509</v>
      </c>
      <c r="F2441" s="29" t="s">
        <v>759</v>
      </c>
      <c r="G2441" s="29" t="s">
        <v>448</v>
      </c>
      <c r="H2441" s="263">
        <v>42548</v>
      </c>
      <c r="J2441" s="292">
        <v>362.79</v>
      </c>
      <c r="K2441" s="29">
        <v>0</v>
      </c>
      <c r="L2441" s="29">
        <v>65.3</v>
      </c>
      <c r="M2441" s="29">
        <v>428.09</v>
      </c>
    </row>
    <row r="2442" spans="2:13">
      <c r="B2442" s="29">
        <v>1</v>
      </c>
      <c r="C2442" s="29">
        <v>333577</v>
      </c>
      <c r="E2442" s="29" t="s">
        <v>808</v>
      </c>
      <c r="F2442" s="29" t="s">
        <v>809</v>
      </c>
      <c r="G2442" s="29" t="s">
        <v>448</v>
      </c>
      <c r="H2442" s="263">
        <v>42548</v>
      </c>
      <c r="J2442" s="292">
        <v>12998.27</v>
      </c>
      <c r="K2442" s="29">
        <v>0</v>
      </c>
      <c r="L2442" s="29">
        <v>2339.69</v>
      </c>
      <c r="M2442" s="29">
        <v>15337.96</v>
      </c>
    </row>
    <row r="2443" spans="2:13">
      <c r="B2443" s="29">
        <v>1</v>
      </c>
      <c r="C2443" s="29">
        <v>333779</v>
      </c>
      <c r="D2443" s="29">
        <v>4</v>
      </c>
      <c r="E2443" s="29">
        <v>30627</v>
      </c>
      <c r="F2443" s="29" t="s">
        <v>759</v>
      </c>
      <c r="G2443" s="29" t="s">
        <v>448</v>
      </c>
      <c r="H2443" s="263">
        <v>42549</v>
      </c>
      <c r="J2443" s="292">
        <v>993.66</v>
      </c>
      <c r="K2443" s="29">
        <v>0</v>
      </c>
      <c r="L2443" s="29">
        <v>178.86</v>
      </c>
      <c r="M2443" s="29">
        <v>1172.52</v>
      </c>
    </row>
    <row r="2444" spans="2:13">
      <c r="B2444" s="29">
        <v>1</v>
      </c>
      <c r="C2444" s="29">
        <v>333775</v>
      </c>
      <c r="D2444" s="29">
        <v>4</v>
      </c>
      <c r="E2444" s="29">
        <v>30626</v>
      </c>
      <c r="F2444" s="29" t="s">
        <v>759</v>
      </c>
      <c r="G2444" s="29" t="s">
        <v>448</v>
      </c>
      <c r="H2444" s="263">
        <v>42549</v>
      </c>
      <c r="J2444" s="292">
        <v>322.92</v>
      </c>
      <c r="K2444" s="29">
        <v>0</v>
      </c>
      <c r="L2444" s="29">
        <v>58.13</v>
      </c>
      <c r="M2444" s="29">
        <v>381.05</v>
      </c>
    </row>
    <row r="2445" spans="2:13">
      <c r="B2445" s="29">
        <v>1</v>
      </c>
      <c r="C2445" s="29">
        <v>333774</v>
      </c>
      <c r="D2445" s="29">
        <v>4</v>
      </c>
      <c r="E2445" s="29">
        <v>30625</v>
      </c>
      <c r="F2445" s="29" t="s">
        <v>759</v>
      </c>
      <c r="G2445" s="29" t="s">
        <v>448</v>
      </c>
      <c r="H2445" s="263">
        <v>42549</v>
      </c>
      <c r="J2445" s="292">
        <v>2235.9699999999998</v>
      </c>
      <c r="K2445" s="29">
        <v>0</v>
      </c>
      <c r="L2445" s="29">
        <v>402.47</v>
      </c>
      <c r="M2445" s="29">
        <v>2638.44</v>
      </c>
    </row>
    <row r="2446" spans="2:13">
      <c r="B2446" s="29">
        <v>1</v>
      </c>
      <c r="C2446" s="29">
        <v>333763</v>
      </c>
      <c r="E2446" s="29" t="s">
        <v>808</v>
      </c>
      <c r="F2446" s="29" t="s">
        <v>758</v>
      </c>
      <c r="G2446" s="29" t="s">
        <v>448</v>
      </c>
      <c r="H2446" s="263">
        <v>42549</v>
      </c>
      <c r="J2446" s="292">
        <v>184.81</v>
      </c>
      <c r="K2446" s="29">
        <v>0</v>
      </c>
      <c r="L2446" s="29">
        <v>33.270000000000003</v>
      </c>
      <c r="M2446" s="29">
        <v>218.08</v>
      </c>
    </row>
    <row r="2447" spans="2:13">
      <c r="B2447" s="29">
        <v>1</v>
      </c>
      <c r="C2447" s="29">
        <v>333708</v>
      </c>
      <c r="E2447" s="29" t="s">
        <v>808</v>
      </c>
      <c r="F2447" s="29" t="s">
        <v>802</v>
      </c>
      <c r="G2447" s="29" t="s">
        <v>382</v>
      </c>
      <c r="H2447" s="263">
        <v>42549</v>
      </c>
      <c r="J2447" s="292">
        <v>1070.68</v>
      </c>
      <c r="K2447" s="29">
        <v>0</v>
      </c>
      <c r="L2447" s="29">
        <v>192.72</v>
      </c>
      <c r="M2447" s="29">
        <v>1263.4000000000001</v>
      </c>
    </row>
    <row r="2448" spans="2:13">
      <c r="B2448" s="29">
        <v>1</v>
      </c>
      <c r="C2448" s="29">
        <v>333682</v>
      </c>
      <c r="E2448" s="29" t="s">
        <v>808</v>
      </c>
      <c r="F2448" s="29" t="s">
        <v>758</v>
      </c>
      <c r="G2448" s="29" t="s">
        <v>448</v>
      </c>
      <c r="H2448" s="263">
        <v>42549</v>
      </c>
      <c r="J2448" s="292">
        <v>1895.42</v>
      </c>
      <c r="K2448" s="29">
        <v>0</v>
      </c>
      <c r="L2448" s="29">
        <v>341.18</v>
      </c>
      <c r="M2448" s="29">
        <v>2236.6</v>
      </c>
    </row>
    <row r="2449" spans="2:13">
      <c r="B2449" s="29">
        <v>1</v>
      </c>
      <c r="C2449" s="29">
        <v>333681</v>
      </c>
      <c r="E2449" s="29" t="s">
        <v>808</v>
      </c>
      <c r="F2449" s="29" t="s">
        <v>758</v>
      </c>
      <c r="G2449" s="29" t="s">
        <v>448</v>
      </c>
      <c r="H2449" s="263">
        <v>42549</v>
      </c>
      <c r="J2449" s="292">
        <v>6410.14</v>
      </c>
      <c r="K2449" s="29">
        <v>0</v>
      </c>
      <c r="L2449" s="29">
        <v>1153.83</v>
      </c>
      <c r="M2449" s="29">
        <v>7563.97</v>
      </c>
    </row>
    <row r="2450" spans="2:13">
      <c r="B2450" s="29">
        <v>1</v>
      </c>
      <c r="C2450" s="29">
        <v>333680</v>
      </c>
      <c r="E2450" s="29" t="s">
        <v>808</v>
      </c>
      <c r="F2450" s="29" t="s">
        <v>798</v>
      </c>
      <c r="G2450" s="29" t="s">
        <v>448</v>
      </c>
      <c r="H2450" s="263">
        <v>42549</v>
      </c>
      <c r="J2450" s="292">
        <v>419.17</v>
      </c>
      <c r="K2450" s="29">
        <v>0</v>
      </c>
      <c r="L2450" s="29">
        <v>75.45</v>
      </c>
      <c r="M2450" s="29">
        <v>494.62</v>
      </c>
    </row>
    <row r="2451" spans="2:13">
      <c r="B2451" s="29">
        <v>1</v>
      </c>
      <c r="C2451" s="29">
        <v>333678</v>
      </c>
      <c r="E2451" s="29" t="s">
        <v>808</v>
      </c>
      <c r="F2451" s="29" t="s">
        <v>758</v>
      </c>
      <c r="G2451" s="29" t="s">
        <v>448</v>
      </c>
      <c r="H2451" s="263">
        <v>42549</v>
      </c>
      <c r="J2451" s="292">
        <v>259.49</v>
      </c>
      <c r="K2451" s="29">
        <v>0</v>
      </c>
      <c r="L2451" s="29">
        <v>46.71</v>
      </c>
      <c r="M2451" s="29">
        <v>306.2</v>
      </c>
    </row>
    <row r="2452" spans="2:13">
      <c r="B2452" s="29">
        <v>1</v>
      </c>
      <c r="C2452" s="29">
        <v>333663</v>
      </c>
      <c r="E2452" s="29" t="s">
        <v>808</v>
      </c>
      <c r="F2452" s="29" t="s">
        <v>767</v>
      </c>
      <c r="G2452" s="29" t="s">
        <v>448</v>
      </c>
      <c r="H2452" s="263">
        <v>42549</v>
      </c>
      <c r="J2452" s="292">
        <v>181.11</v>
      </c>
      <c r="K2452" s="29">
        <v>0</v>
      </c>
      <c r="L2452" s="29">
        <v>32.6</v>
      </c>
      <c r="M2452" s="29">
        <v>213.71</v>
      </c>
    </row>
    <row r="2453" spans="2:13">
      <c r="B2453" s="29">
        <v>1</v>
      </c>
      <c r="C2453" s="29">
        <v>334140</v>
      </c>
      <c r="E2453" s="29" t="s">
        <v>808</v>
      </c>
      <c r="F2453" s="29" t="s">
        <v>758</v>
      </c>
      <c r="G2453" s="29" t="s">
        <v>448</v>
      </c>
      <c r="H2453" s="263">
        <v>42551</v>
      </c>
      <c r="J2453" s="292">
        <v>447.68</v>
      </c>
      <c r="K2453" s="29">
        <v>0</v>
      </c>
      <c r="L2453" s="29">
        <v>80.58</v>
      </c>
      <c r="M2453" s="29">
        <v>528.26</v>
      </c>
    </row>
    <row r="2454" spans="2:13">
      <c r="B2454" s="29">
        <v>1</v>
      </c>
      <c r="C2454" s="29">
        <v>334061</v>
      </c>
      <c r="E2454" s="29" t="s">
        <v>808</v>
      </c>
      <c r="F2454" s="29" t="s">
        <v>764</v>
      </c>
      <c r="G2454" s="29" t="s">
        <v>448</v>
      </c>
      <c r="H2454" s="263">
        <v>42551</v>
      </c>
      <c r="J2454" s="292">
        <v>23323.84</v>
      </c>
      <c r="K2454" s="29">
        <v>0</v>
      </c>
      <c r="L2454" s="29">
        <v>4198.29</v>
      </c>
      <c r="M2454" s="29">
        <v>27522.13</v>
      </c>
    </row>
    <row r="2455" spans="2:13">
      <c r="B2455" s="29">
        <v>1</v>
      </c>
      <c r="C2455" s="29">
        <v>334016</v>
      </c>
      <c r="E2455" s="29" t="s">
        <v>808</v>
      </c>
      <c r="F2455" s="29" t="s">
        <v>758</v>
      </c>
      <c r="G2455" s="29" t="s">
        <v>448</v>
      </c>
      <c r="H2455" s="263">
        <v>42551</v>
      </c>
      <c r="J2455" s="292">
        <v>247.24</v>
      </c>
      <c r="K2455" s="29">
        <v>0</v>
      </c>
      <c r="L2455" s="29">
        <v>44.5</v>
      </c>
      <c r="M2455" s="29">
        <v>291.74</v>
      </c>
    </row>
    <row r="2456" spans="2:13">
      <c r="B2456" s="29">
        <v>1</v>
      </c>
      <c r="C2456" s="29">
        <v>333970</v>
      </c>
      <c r="E2456" s="29" t="s">
        <v>808</v>
      </c>
      <c r="F2456" s="29" t="s">
        <v>758</v>
      </c>
      <c r="G2456" s="29" t="s">
        <v>448</v>
      </c>
      <c r="H2456" s="263">
        <v>42551</v>
      </c>
      <c r="J2456" s="292">
        <v>1037.95</v>
      </c>
      <c r="K2456" s="29">
        <v>0</v>
      </c>
      <c r="L2456" s="29">
        <v>186.83</v>
      </c>
      <c r="M2456" s="29">
        <v>1224.78</v>
      </c>
    </row>
    <row r="2457" spans="2:13">
      <c r="B2457" s="29">
        <v>1</v>
      </c>
      <c r="C2457" s="29">
        <v>333969</v>
      </c>
      <c r="E2457" s="29" t="s">
        <v>808</v>
      </c>
      <c r="F2457" s="29" t="s">
        <v>758</v>
      </c>
      <c r="G2457" s="29" t="s">
        <v>448</v>
      </c>
      <c r="H2457" s="263">
        <v>42551</v>
      </c>
      <c r="J2457" s="292">
        <v>2798.55</v>
      </c>
      <c r="K2457" s="29">
        <v>0</v>
      </c>
      <c r="L2457" s="29">
        <v>503.74</v>
      </c>
      <c r="M2457" s="29">
        <v>3302.29</v>
      </c>
    </row>
    <row r="2458" spans="2:13">
      <c r="B2458" s="29">
        <v>1</v>
      </c>
      <c r="C2458" s="29">
        <v>333968</v>
      </c>
      <c r="E2458" s="29" t="s">
        <v>808</v>
      </c>
      <c r="F2458" s="29" t="s">
        <v>758</v>
      </c>
      <c r="G2458" s="29" t="s">
        <v>448</v>
      </c>
      <c r="H2458" s="263">
        <v>42551</v>
      </c>
      <c r="J2458" s="292">
        <v>2984.31</v>
      </c>
      <c r="K2458" s="29">
        <v>0</v>
      </c>
      <c r="L2458" s="29">
        <v>537.17999999999995</v>
      </c>
      <c r="M2458" s="29">
        <v>3521.49</v>
      </c>
    </row>
    <row r="2459" spans="2:13">
      <c r="B2459" s="29">
        <v>1</v>
      </c>
      <c r="C2459" s="29">
        <v>333955</v>
      </c>
      <c r="E2459" s="29" t="s">
        <v>808</v>
      </c>
      <c r="F2459" s="29" t="s">
        <v>758</v>
      </c>
      <c r="G2459" s="29" t="s">
        <v>448</v>
      </c>
      <c r="H2459" s="263">
        <v>42551</v>
      </c>
      <c r="J2459" s="292">
        <v>2127.61</v>
      </c>
      <c r="K2459" s="29">
        <v>0</v>
      </c>
      <c r="L2459" s="29">
        <v>382.97</v>
      </c>
      <c r="M2459" s="29">
        <v>2510.58</v>
      </c>
    </row>
    <row r="2460" spans="2:13">
      <c r="B2460" s="29">
        <v>1</v>
      </c>
      <c r="C2460" s="29">
        <v>333954</v>
      </c>
      <c r="E2460" s="29" t="s">
        <v>808</v>
      </c>
      <c r="F2460" s="29" t="s">
        <v>758</v>
      </c>
      <c r="G2460" s="29" t="s">
        <v>448</v>
      </c>
      <c r="H2460" s="263">
        <v>42551</v>
      </c>
      <c r="J2460" s="292">
        <v>345.98</v>
      </c>
      <c r="K2460" s="29">
        <v>0</v>
      </c>
      <c r="L2460" s="29">
        <v>62.28</v>
      </c>
      <c r="M2460" s="29">
        <v>408.26</v>
      </c>
    </row>
    <row r="2461" spans="2:13">
      <c r="B2461" s="29">
        <v>1</v>
      </c>
      <c r="C2461" s="29">
        <v>333886</v>
      </c>
      <c r="E2461" s="29" t="s">
        <v>808</v>
      </c>
      <c r="F2461" s="29" t="s">
        <v>798</v>
      </c>
      <c r="G2461" s="29" t="s">
        <v>448</v>
      </c>
      <c r="H2461" s="263">
        <v>42551</v>
      </c>
      <c r="J2461" s="292">
        <v>133.08000000000001</v>
      </c>
      <c r="K2461" s="29">
        <v>0</v>
      </c>
      <c r="L2461" s="29">
        <v>23.95</v>
      </c>
      <c r="M2461" s="29">
        <v>157.03</v>
      </c>
    </row>
    <row r="2462" spans="2:13">
      <c r="B2462" s="29">
        <v>1</v>
      </c>
      <c r="C2462" s="29">
        <v>333831</v>
      </c>
      <c r="E2462" s="29" t="s">
        <v>808</v>
      </c>
      <c r="F2462" s="29" t="s">
        <v>758</v>
      </c>
      <c r="G2462" s="29" t="s">
        <v>448</v>
      </c>
      <c r="H2462" s="263">
        <v>42551</v>
      </c>
      <c r="J2462" s="292">
        <v>2118.19</v>
      </c>
      <c r="K2462" s="29">
        <v>0</v>
      </c>
      <c r="L2462" s="29">
        <v>381.27</v>
      </c>
      <c r="M2462" s="29">
        <v>2499.46</v>
      </c>
    </row>
  </sheetData>
  <autoFilter ref="A2212:AN2212" xr:uid="{00000000-0009-0000-0000-000026000000}"/>
  <pageMargins left="0.35416666666666702" right="0.35416666666666702" top="0.15763888888888899" bottom="0.15763888888888899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9"/>
  <sheetViews>
    <sheetView zoomScaleNormal="100" workbookViewId="0">
      <pane ySplit="1" topLeftCell="A14" activePane="bottomLeft" state="frozen"/>
      <selection pane="bottomLeft" activeCell="B38" sqref="B38"/>
    </sheetView>
  </sheetViews>
  <sheetFormatPr baseColWidth="10" defaultColWidth="8.85546875" defaultRowHeight="15"/>
  <cols>
    <col min="1" max="1" width="11.5703125" style="65" customWidth="1"/>
    <col min="2" max="2" width="44.85546875" customWidth="1"/>
    <col min="3" max="3" width="11.5703125" bestFit="1" customWidth="1"/>
    <col min="4" max="4" width="10.42578125" bestFit="1" customWidth="1"/>
    <col min="5" max="6" width="11.5703125" bestFit="1" customWidth="1"/>
    <col min="7" max="7" width="7.140625" style="66" bestFit="1" customWidth="1"/>
    <col min="8" max="8" width="8.42578125" bestFit="1" customWidth="1"/>
    <col min="9" max="9" width="8" customWidth="1"/>
    <col min="10" max="10" width="10.42578125" bestFit="1" customWidth="1"/>
    <col min="11" max="11" width="11.5703125" bestFit="1" customWidth="1"/>
    <col min="12" max="12" width="9.140625" customWidth="1"/>
    <col min="13" max="13" width="13.7109375" customWidth="1"/>
    <col min="14" max="1025" width="11.5703125" customWidth="1"/>
  </cols>
  <sheetData>
    <row r="1" spans="1:17">
      <c r="A1" s="67" t="s">
        <v>4</v>
      </c>
      <c r="B1" s="67" t="s">
        <v>5</v>
      </c>
      <c r="C1" s="67" t="s">
        <v>46</v>
      </c>
      <c r="D1" s="67" t="s">
        <v>47</v>
      </c>
      <c r="E1" s="67" t="s">
        <v>7</v>
      </c>
      <c r="F1" s="67" t="s">
        <v>8</v>
      </c>
      <c r="G1" s="67" t="s">
        <v>48</v>
      </c>
      <c r="H1" s="67" t="s">
        <v>52</v>
      </c>
      <c r="I1" s="67" t="s">
        <v>11</v>
      </c>
      <c r="J1" s="67" t="s">
        <v>49</v>
      </c>
      <c r="K1" s="67" t="s">
        <v>50</v>
      </c>
      <c r="L1" s="67" t="s">
        <v>10</v>
      </c>
      <c r="M1" s="67" t="s">
        <v>51</v>
      </c>
      <c r="N1" s="34"/>
      <c r="O1" s="34"/>
      <c r="P1" s="34"/>
      <c r="Q1" s="68" t="s">
        <v>4</v>
      </c>
    </row>
    <row r="2" spans="1:17">
      <c r="A2" s="69">
        <v>505</v>
      </c>
      <c r="B2" s="69" t="s">
        <v>90</v>
      </c>
      <c r="C2" s="339">
        <v>0</v>
      </c>
      <c r="D2" s="339">
        <v>0</v>
      </c>
      <c r="E2" s="339">
        <v>0</v>
      </c>
      <c r="F2" s="339">
        <v>0</v>
      </c>
      <c r="G2" s="340">
        <v>0</v>
      </c>
      <c r="H2" s="339">
        <v>15</v>
      </c>
      <c r="I2" s="339">
        <v>0</v>
      </c>
      <c r="J2" s="339">
        <v>20</v>
      </c>
      <c r="K2" s="339">
        <v>327297.33</v>
      </c>
      <c r="L2" s="339">
        <v>6.41</v>
      </c>
      <c r="M2" s="339">
        <v>20971.82</v>
      </c>
      <c r="N2" s="34"/>
      <c r="O2" s="34"/>
      <c r="P2" s="34"/>
      <c r="Q2" s="10" t="s">
        <v>16</v>
      </c>
    </row>
    <row r="3" spans="1:17">
      <c r="A3" s="315">
        <v>505</v>
      </c>
      <c r="B3" s="315" t="s">
        <v>90</v>
      </c>
      <c r="C3" s="315">
        <v>0</v>
      </c>
      <c r="D3" s="315">
        <v>0</v>
      </c>
      <c r="E3" s="315">
        <v>0</v>
      </c>
      <c r="F3" s="315">
        <v>0</v>
      </c>
      <c r="G3" s="316">
        <v>0</v>
      </c>
      <c r="H3" s="315">
        <v>15</v>
      </c>
      <c r="I3" s="315">
        <v>0</v>
      </c>
      <c r="J3" s="315">
        <v>0</v>
      </c>
      <c r="K3" s="315">
        <v>264594.09999999998</v>
      </c>
      <c r="L3" s="315">
        <v>5.18</v>
      </c>
      <c r="M3" s="315">
        <v>13699.64</v>
      </c>
      <c r="N3" s="54">
        <f>M3*100/K3</f>
        <v>5.1776060010408402</v>
      </c>
      <c r="O3" s="34"/>
      <c r="P3" s="34"/>
      <c r="Q3" s="10" t="s">
        <v>20</v>
      </c>
    </row>
    <row r="4" spans="1:17">
      <c r="A4" s="315" t="s">
        <v>56</v>
      </c>
      <c r="B4" s="315" t="s">
        <v>91</v>
      </c>
      <c r="C4" s="315">
        <v>49601.120000000003</v>
      </c>
      <c r="D4" s="315">
        <v>51.97</v>
      </c>
      <c r="E4" s="315">
        <v>49549.15</v>
      </c>
      <c r="F4" s="315">
        <v>0</v>
      </c>
      <c r="G4" s="316">
        <v>0</v>
      </c>
      <c r="H4" s="315">
        <v>909</v>
      </c>
      <c r="I4" s="315">
        <v>10</v>
      </c>
      <c r="J4" s="315">
        <v>49926.1</v>
      </c>
      <c r="K4" s="315">
        <v>535239.61</v>
      </c>
      <c r="L4" s="315">
        <v>26.23</v>
      </c>
      <c r="M4" s="315">
        <v>140441.54999999999</v>
      </c>
      <c r="N4" s="54">
        <f t="shared" ref="N4:N34" si="0">I4*100/H4</f>
        <v>1.1001100110011002</v>
      </c>
      <c r="O4" s="34"/>
      <c r="P4" s="34"/>
      <c r="Q4" s="10" t="s">
        <v>17</v>
      </c>
    </row>
    <row r="5" spans="1:17">
      <c r="A5" s="315" t="s">
        <v>16</v>
      </c>
      <c r="B5" s="315" t="s">
        <v>828</v>
      </c>
      <c r="C5" s="315">
        <v>142725.16</v>
      </c>
      <c r="D5" s="315">
        <v>2098.69</v>
      </c>
      <c r="E5" s="315">
        <v>140626.47</v>
      </c>
      <c r="F5" s="315">
        <v>160927.46</v>
      </c>
      <c r="G5" s="316">
        <v>87.39</v>
      </c>
      <c r="H5" s="315">
        <v>105</v>
      </c>
      <c r="I5" s="315">
        <v>57</v>
      </c>
      <c r="J5" s="315">
        <v>141097.16</v>
      </c>
      <c r="K5" s="315">
        <v>307761.62</v>
      </c>
      <c r="L5" s="315">
        <v>23.87</v>
      </c>
      <c r="M5" s="315">
        <v>73480.81</v>
      </c>
      <c r="N5" s="54">
        <f t="shared" si="0"/>
        <v>54.285714285714285</v>
      </c>
      <c r="O5" s="34"/>
      <c r="P5" s="34"/>
      <c r="Q5" s="10" t="s">
        <v>21</v>
      </c>
    </row>
    <row r="6" spans="1:17">
      <c r="A6" s="315" t="s">
        <v>17</v>
      </c>
      <c r="B6" s="315" t="s">
        <v>83</v>
      </c>
      <c r="C6" s="315">
        <v>156585.19</v>
      </c>
      <c r="D6" s="315">
        <v>1574.94</v>
      </c>
      <c r="E6" s="315">
        <v>155010.25</v>
      </c>
      <c r="F6" s="315">
        <v>206510.12</v>
      </c>
      <c r="G6" s="316">
        <v>75.06</v>
      </c>
      <c r="H6" s="315">
        <v>52</v>
      </c>
      <c r="I6" s="315">
        <v>36</v>
      </c>
      <c r="J6" s="315">
        <v>200686.73</v>
      </c>
      <c r="K6" s="315">
        <v>368574.69</v>
      </c>
      <c r="L6" s="315">
        <v>4.4400000000000004</v>
      </c>
      <c r="M6" s="315">
        <v>16341.22</v>
      </c>
      <c r="N6" s="54">
        <f t="shared" si="0"/>
        <v>69.230769230769226</v>
      </c>
      <c r="O6" s="34"/>
      <c r="P6" s="70">
        <v>6.1699999999999998E-2</v>
      </c>
      <c r="Q6" s="10" t="s">
        <v>18</v>
      </c>
    </row>
    <row r="7" spans="1:17">
      <c r="A7" s="315" t="s">
        <v>18</v>
      </c>
      <c r="B7" s="315" t="s">
        <v>80</v>
      </c>
      <c r="C7" s="315">
        <v>167709.12</v>
      </c>
      <c r="D7" s="315">
        <v>2137.86</v>
      </c>
      <c r="E7" s="315">
        <v>165571.26</v>
      </c>
      <c r="F7" s="315">
        <v>171400.75</v>
      </c>
      <c r="G7" s="316">
        <v>96.6</v>
      </c>
      <c r="H7" s="315">
        <v>94</v>
      </c>
      <c r="I7" s="315">
        <v>83</v>
      </c>
      <c r="J7" s="315">
        <v>208511.72</v>
      </c>
      <c r="K7" s="315">
        <v>289721.56</v>
      </c>
      <c r="L7" s="315">
        <v>4.6500000000000004</v>
      </c>
      <c r="M7" s="315">
        <v>13477.84</v>
      </c>
      <c r="N7" s="54">
        <f t="shared" si="0"/>
        <v>88.297872340425528</v>
      </c>
      <c r="O7" s="34">
        <f>P7*100/K7</f>
        <v>6.169999999999999</v>
      </c>
      <c r="P7" s="34">
        <f>K7*P6</f>
        <v>17875.820251999998</v>
      </c>
      <c r="Q7" s="10" t="s">
        <v>55</v>
      </c>
    </row>
    <row r="8" spans="1:17">
      <c r="A8" s="315" t="s">
        <v>20</v>
      </c>
      <c r="B8" s="315" t="s">
        <v>82</v>
      </c>
      <c r="C8" s="315">
        <v>285165.05</v>
      </c>
      <c r="D8" s="315">
        <v>4520.38</v>
      </c>
      <c r="E8" s="315">
        <v>280644.67</v>
      </c>
      <c r="F8" s="315">
        <v>443336.18</v>
      </c>
      <c r="G8" s="316">
        <v>63.3</v>
      </c>
      <c r="H8" s="315">
        <v>15</v>
      </c>
      <c r="I8" s="315">
        <v>14</v>
      </c>
      <c r="J8" s="315">
        <v>454604.1</v>
      </c>
      <c r="K8" s="315">
        <v>696268.14</v>
      </c>
      <c r="L8" s="315">
        <v>4</v>
      </c>
      <c r="M8" s="315">
        <v>27826.86</v>
      </c>
      <c r="N8" s="54">
        <f t="shared" si="0"/>
        <v>93.333333333333329</v>
      </c>
      <c r="O8" s="34"/>
      <c r="P8" s="34"/>
      <c r="Q8" s="10" t="s">
        <v>22</v>
      </c>
    </row>
    <row r="9" spans="1:17" s="74" customFormat="1">
      <c r="A9" s="315" t="s">
        <v>21</v>
      </c>
      <c r="B9" s="315" t="s">
        <v>85</v>
      </c>
      <c r="C9" s="315">
        <v>173583.6</v>
      </c>
      <c r="D9" s="315">
        <v>6318.89</v>
      </c>
      <c r="E9" s="315">
        <v>167264.71</v>
      </c>
      <c r="F9" s="315">
        <v>350211.82</v>
      </c>
      <c r="G9" s="316">
        <v>47.76</v>
      </c>
      <c r="H9" s="315">
        <v>15</v>
      </c>
      <c r="I9" s="315">
        <v>10</v>
      </c>
      <c r="J9" s="315">
        <v>451561.19</v>
      </c>
      <c r="K9" s="315">
        <v>692118.64</v>
      </c>
      <c r="L9" s="315">
        <v>1.76</v>
      </c>
      <c r="M9" s="315">
        <v>12189.77</v>
      </c>
      <c r="N9" s="71">
        <f t="shared" si="0"/>
        <v>66.666666666666671</v>
      </c>
      <c r="O9" s="72"/>
      <c r="P9" s="72"/>
      <c r="Q9" s="73" t="s">
        <v>78</v>
      </c>
    </row>
    <row r="10" spans="1:17">
      <c r="A10" s="315" t="s">
        <v>22</v>
      </c>
      <c r="B10" s="315" t="s">
        <v>826</v>
      </c>
      <c r="C10" s="315">
        <v>62516.959999999999</v>
      </c>
      <c r="D10" s="315">
        <v>2930.83</v>
      </c>
      <c r="E10" s="315">
        <v>59586.13</v>
      </c>
      <c r="F10" s="315">
        <v>114356.74</v>
      </c>
      <c r="G10" s="316">
        <v>52.11</v>
      </c>
      <c r="H10" s="315">
        <v>108</v>
      </c>
      <c r="I10" s="315">
        <v>54</v>
      </c>
      <c r="J10" s="315">
        <v>117829.09</v>
      </c>
      <c r="K10" s="315">
        <v>232096.39</v>
      </c>
      <c r="L10" s="315">
        <v>14.29</v>
      </c>
      <c r="M10" s="315">
        <v>33178.550000000003</v>
      </c>
      <c r="N10" s="54">
        <f t="shared" si="0"/>
        <v>50</v>
      </c>
      <c r="O10" s="34"/>
      <c r="P10" s="34"/>
      <c r="Q10" s="10" t="s">
        <v>28</v>
      </c>
    </row>
    <row r="11" spans="1:17">
      <c r="A11" s="315" t="s">
        <v>57</v>
      </c>
      <c r="B11" s="315" t="s">
        <v>92</v>
      </c>
      <c r="C11" s="315">
        <v>52250.71</v>
      </c>
      <c r="D11" s="315">
        <v>561.55999999999995</v>
      </c>
      <c r="E11" s="315">
        <v>51689.15</v>
      </c>
      <c r="F11" s="315">
        <v>200000</v>
      </c>
      <c r="G11" s="316">
        <v>25.84</v>
      </c>
      <c r="H11" s="315">
        <v>158</v>
      </c>
      <c r="I11" s="315">
        <v>11</v>
      </c>
      <c r="J11" s="315">
        <v>125528.4</v>
      </c>
      <c r="K11" s="315">
        <v>102256.22</v>
      </c>
      <c r="L11" s="315">
        <v>39.18</v>
      </c>
      <c r="M11" s="315">
        <v>40068.97</v>
      </c>
      <c r="N11" s="54">
        <f t="shared" si="0"/>
        <v>6.962025316455696</v>
      </c>
      <c r="O11" s="34"/>
      <c r="P11" s="34"/>
      <c r="Q11" s="10" t="s">
        <v>24</v>
      </c>
    </row>
    <row r="12" spans="1:17">
      <c r="A12" s="315" t="s">
        <v>66</v>
      </c>
      <c r="B12" s="315" t="s">
        <v>93</v>
      </c>
      <c r="C12" s="315">
        <v>56147.18</v>
      </c>
      <c r="D12" s="315">
        <v>52228.800000000003</v>
      </c>
      <c r="E12" s="315">
        <v>3918.38</v>
      </c>
      <c r="F12" s="315">
        <v>200000</v>
      </c>
      <c r="G12" s="316">
        <v>1.96</v>
      </c>
      <c r="H12" s="315">
        <v>131</v>
      </c>
      <c r="I12" s="315">
        <v>7</v>
      </c>
      <c r="J12" s="315">
        <v>731803.3</v>
      </c>
      <c r="K12" s="315">
        <v>1263155.19</v>
      </c>
      <c r="L12" s="315">
        <v>86.59</v>
      </c>
      <c r="M12" s="315">
        <v>1093819.8700000001</v>
      </c>
      <c r="N12" s="54">
        <f t="shared" si="0"/>
        <v>5.343511450381679</v>
      </c>
      <c r="O12" s="34"/>
      <c r="P12" s="34"/>
      <c r="Q12" s="10" t="s">
        <v>25</v>
      </c>
    </row>
    <row r="13" spans="1:17">
      <c r="A13" s="315" t="s">
        <v>71</v>
      </c>
      <c r="B13" s="315" t="s">
        <v>85</v>
      </c>
      <c r="C13" s="315">
        <v>0</v>
      </c>
      <c r="D13" s="315">
        <v>0</v>
      </c>
      <c r="E13" s="315">
        <v>0</v>
      </c>
      <c r="F13" s="315">
        <v>0</v>
      </c>
      <c r="G13" s="316">
        <v>0</v>
      </c>
      <c r="H13" s="315">
        <v>2</v>
      </c>
      <c r="I13" s="315">
        <v>0</v>
      </c>
      <c r="J13" s="315">
        <v>0</v>
      </c>
      <c r="K13" s="315">
        <v>0</v>
      </c>
      <c r="L13" s="315">
        <v>0</v>
      </c>
      <c r="M13" s="315">
        <v>0</v>
      </c>
      <c r="N13" s="54">
        <f t="shared" si="0"/>
        <v>0</v>
      </c>
      <c r="O13" s="34"/>
      <c r="P13" s="34"/>
      <c r="Q13" s="10" t="s">
        <v>27</v>
      </c>
    </row>
    <row r="14" spans="1:17">
      <c r="A14" s="315" t="s">
        <v>74</v>
      </c>
      <c r="B14" s="315" t="s">
        <v>94</v>
      </c>
      <c r="C14" s="315">
        <v>0</v>
      </c>
      <c r="D14" s="315">
        <v>0</v>
      </c>
      <c r="E14" s="315">
        <v>0</v>
      </c>
      <c r="F14" s="315">
        <v>0</v>
      </c>
      <c r="G14" s="316">
        <v>0</v>
      </c>
      <c r="H14" s="315">
        <v>9</v>
      </c>
      <c r="I14" s="315">
        <v>0</v>
      </c>
      <c r="J14" s="315">
        <v>0</v>
      </c>
      <c r="K14" s="315">
        <v>0</v>
      </c>
      <c r="L14" s="315">
        <v>0</v>
      </c>
      <c r="M14" s="315">
        <v>0</v>
      </c>
      <c r="N14" s="54">
        <f t="shared" si="0"/>
        <v>0</v>
      </c>
      <c r="O14" s="34"/>
      <c r="P14" s="34"/>
      <c r="Q14" s="10" t="s">
        <v>56</v>
      </c>
    </row>
    <row r="15" spans="1:17">
      <c r="A15" s="315" t="s">
        <v>95</v>
      </c>
      <c r="B15" s="315" t="s">
        <v>96</v>
      </c>
      <c r="C15" s="315">
        <v>33402</v>
      </c>
      <c r="D15" s="315">
        <v>0</v>
      </c>
      <c r="E15" s="315">
        <v>33402</v>
      </c>
      <c r="F15" s="315">
        <v>0</v>
      </c>
      <c r="G15" s="316">
        <v>0</v>
      </c>
      <c r="H15" s="315">
        <v>1</v>
      </c>
      <c r="I15" s="315">
        <v>1</v>
      </c>
      <c r="J15" s="315">
        <v>556242.43999999994</v>
      </c>
      <c r="K15" s="315">
        <v>107817.08</v>
      </c>
      <c r="L15" s="315">
        <v>18.989999999999998</v>
      </c>
      <c r="M15" s="315">
        <v>20476.54</v>
      </c>
      <c r="N15" s="54">
        <f t="shared" si="0"/>
        <v>100</v>
      </c>
      <c r="O15" s="34"/>
      <c r="P15" s="34"/>
      <c r="Q15" s="10" t="s">
        <v>57</v>
      </c>
    </row>
    <row r="16" spans="1:17">
      <c r="A16" s="315" t="s">
        <v>97</v>
      </c>
      <c r="B16" s="315" t="s">
        <v>98</v>
      </c>
      <c r="C16" s="315">
        <v>0</v>
      </c>
      <c r="D16" s="315">
        <v>0</v>
      </c>
      <c r="E16" s="315">
        <v>0</v>
      </c>
      <c r="F16" s="315">
        <v>0</v>
      </c>
      <c r="G16" s="316">
        <v>0</v>
      </c>
      <c r="H16" s="315">
        <v>25</v>
      </c>
      <c r="I16" s="315">
        <v>0</v>
      </c>
      <c r="J16" s="315">
        <v>0</v>
      </c>
      <c r="K16" s="315">
        <v>88437.03</v>
      </c>
      <c r="L16" s="315">
        <v>100</v>
      </c>
      <c r="M16" s="315">
        <v>88437.03</v>
      </c>
      <c r="N16" s="54">
        <f t="shared" si="0"/>
        <v>0</v>
      </c>
      <c r="O16" s="34"/>
      <c r="P16" s="34"/>
      <c r="Q16" s="10" t="s">
        <v>95</v>
      </c>
    </row>
    <row r="17" spans="1:17">
      <c r="A17" s="315" t="s">
        <v>24</v>
      </c>
      <c r="B17" s="315" t="s">
        <v>99</v>
      </c>
      <c r="C17" s="315">
        <v>239358.82</v>
      </c>
      <c r="D17" s="315">
        <v>1697.2</v>
      </c>
      <c r="E17" s="315">
        <v>237661.62</v>
      </c>
      <c r="F17" s="315">
        <v>237721.73</v>
      </c>
      <c r="G17" s="316">
        <v>99.97</v>
      </c>
      <c r="H17" s="315">
        <v>73</v>
      </c>
      <c r="I17" s="315">
        <v>43</v>
      </c>
      <c r="J17" s="315">
        <v>286939.84999999998</v>
      </c>
      <c r="K17" s="315">
        <v>702678.59</v>
      </c>
      <c r="L17" s="315">
        <v>5.45</v>
      </c>
      <c r="M17" s="315">
        <v>38295.089999999997</v>
      </c>
      <c r="N17" s="54">
        <f t="shared" si="0"/>
        <v>58.904109589041099</v>
      </c>
      <c r="O17" s="34"/>
      <c r="P17" s="34"/>
      <c r="Q17" s="10" t="s">
        <v>66</v>
      </c>
    </row>
    <row r="18" spans="1:17">
      <c r="A18" s="315" t="s">
        <v>25</v>
      </c>
      <c r="B18" s="315" t="s">
        <v>100</v>
      </c>
      <c r="C18" s="315">
        <v>116305.54</v>
      </c>
      <c r="D18" s="315">
        <v>1246.77</v>
      </c>
      <c r="E18" s="315">
        <v>115058.77</v>
      </c>
      <c r="F18" s="315">
        <v>133812.47</v>
      </c>
      <c r="G18" s="316">
        <v>85.99</v>
      </c>
      <c r="H18" s="315">
        <v>73</v>
      </c>
      <c r="I18" s="315">
        <v>47</v>
      </c>
      <c r="J18" s="315">
        <v>161610.26999999999</v>
      </c>
      <c r="K18" s="315">
        <v>336089.79</v>
      </c>
      <c r="L18" s="315">
        <v>10.58</v>
      </c>
      <c r="M18" s="315">
        <v>35563.64</v>
      </c>
      <c r="N18" s="54">
        <f t="shared" si="0"/>
        <v>64.38356164383562</v>
      </c>
      <c r="O18" s="34"/>
      <c r="P18" s="34"/>
      <c r="Q18" s="10" t="s">
        <v>71</v>
      </c>
    </row>
    <row r="19" spans="1:17">
      <c r="A19" s="315" t="s">
        <v>27</v>
      </c>
      <c r="B19" s="315" t="s">
        <v>101</v>
      </c>
      <c r="C19" s="315">
        <v>130022.88</v>
      </c>
      <c r="D19" s="315">
        <v>1553.61</v>
      </c>
      <c r="E19" s="315">
        <v>128469.27</v>
      </c>
      <c r="F19" s="315">
        <v>139609.21</v>
      </c>
      <c r="G19" s="316">
        <v>92.02</v>
      </c>
      <c r="H19" s="315">
        <v>65</v>
      </c>
      <c r="I19" s="315">
        <v>33</v>
      </c>
      <c r="J19" s="315">
        <v>147707.32</v>
      </c>
      <c r="K19" s="315">
        <v>395290.44</v>
      </c>
      <c r="L19" s="315">
        <v>13.93</v>
      </c>
      <c r="M19" s="315">
        <v>55068.61</v>
      </c>
      <c r="N19" s="54">
        <f t="shared" si="0"/>
        <v>50.769230769230766</v>
      </c>
      <c r="O19" s="34"/>
      <c r="P19" s="34"/>
      <c r="Q19" s="10" t="s">
        <v>74</v>
      </c>
    </row>
    <row r="20" spans="1:17">
      <c r="A20" s="315" t="s">
        <v>28</v>
      </c>
      <c r="B20" s="315" t="s">
        <v>824</v>
      </c>
      <c r="C20" s="315">
        <v>282029.05</v>
      </c>
      <c r="D20" s="315">
        <v>5570</v>
      </c>
      <c r="E20" s="315">
        <v>276459.05</v>
      </c>
      <c r="F20" s="315">
        <v>276233.59000000003</v>
      </c>
      <c r="G20" s="316">
        <v>100.08</v>
      </c>
      <c r="H20" s="315">
        <v>80</v>
      </c>
      <c r="I20" s="315">
        <v>45</v>
      </c>
      <c r="J20" s="315">
        <v>327057.65000000002</v>
      </c>
      <c r="K20" s="315">
        <v>691894.11</v>
      </c>
      <c r="L20" s="315">
        <v>4.53</v>
      </c>
      <c r="M20" s="315">
        <v>31381.71</v>
      </c>
      <c r="N20" s="54">
        <f t="shared" si="0"/>
        <v>56.25</v>
      </c>
      <c r="O20" s="34"/>
      <c r="P20" s="34"/>
      <c r="Q20" s="10" t="s">
        <v>38</v>
      </c>
    </row>
    <row r="21" spans="1:17">
      <c r="A21" s="315" t="s">
        <v>30</v>
      </c>
      <c r="B21" s="315" t="s">
        <v>810</v>
      </c>
      <c r="C21" s="315">
        <v>82672.45</v>
      </c>
      <c r="D21" s="315">
        <v>1753.98</v>
      </c>
      <c r="E21" s="315">
        <v>80918.47</v>
      </c>
      <c r="F21" s="315">
        <v>160698.41</v>
      </c>
      <c r="G21" s="316">
        <v>50.35</v>
      </c>
      <c r="H21" s="315">
        <v>91</v>
      </c>
      <c r="I21" s="315">
        <v>33</v>
      </c>
      <c r="J21" s="315">
        <v>128132.72</v>
      </c>
      <c r="K21" s="315">
        <v>306158.3</v>
      </c>
      <c r="L21" s="315">
        <v>28.13</v>
      </c>
      <c r="M21" s="315">
        <v>86112.02</v>
      </c>
      <c r="N21" s="54">
        <f t="shared" si="0"/>
        <v>36.263736263736263</v>
      </c>
      <c r="O21" s="34"/>
      <c r="P21" s="34"/>
      <c r="Q21" s="10" t="s">
        <v>37</v>
      </c>
    </row>
    <row r="22" spans="1:17">
      <c r="A22" s="315" t="s">
        <v>35</v>
      </c>
      <c r="B22" s="315" t="s">
        <v>822</v>
      </c>
      <c r="C22" s="315">
        <v>85413.39</v>
      </c>
      <c r="D22" s="315">
        <v>2066.5</v>
      </c>
      <c r="E22" s="315">
        <v>83346.89</v>
      </c>
      <c r="F22" s="315">
        <v>152263.79</v>
      </c>
      <c r="G22" s="316">
        <v>54.74</v>
      </c>
      <c r="H22" s="315">
        <v>48</v>
      </c>
      <c r="I22" s="315">
        <v>22</v>
      </c>
      <c r="J22" s="315">
        <v>164301.71</v>
      </c>
      <c r="K22" s="315">
        <v>272097.44</v>
      </c>
      <c r="L22" s="315">
        <v>8.4600000000000009</v>
      </c>
      <c r="M22" s="315">
        <v>23014.65</v>
      </c>
      <c r="N22" s="54">
        <f t="shared" si="0"/>
        <v>45.833333333333336</v>
      </c>
      <c r="O22" s="34"/>
      <c r="P22" s="34"/>
      <c r="Q22" s="10" t="s">
        <v>39</v>
      </c>
    </row>
    <row r="23" spans="1:17">
      <c r="A23" s="315" t="s">
        <v>31</v>
      </c>
      <c r="B23" s="315" t="s">
        <v>827</v>
      </c>
      <c r="C23" s="315">
        <v>125002.56</v>
      </c>
      <c r="D23" s="315">
        <v>2527.87</v>
      </c>
      <c r="E23" s="315">
        <v>122474.69</v>
      </c>
      <c r="F23" s="315">
        <v>143512.35</v>
      </c>
      <c r="G23" s="316">
        <v>85.34</v>
      </c>
      <c r="H23" s="315">
        <v>79</v>
      </c>
      <c r="I23" s="315">
        <v>29</v>
      </c>
      <c r="J23" s="315">
        <v>118204.35</v>
      </c>
      <c r="K23" s="315">
        <v>359891.08</v>
      </c>
      <c r="L23" s="315">
        <v>26.14</v>
      </c>
      <c r="M23" s="315">
        <v>94070.74</v>
      </c>
      <c r="N23" s="75">
        <f t="shared" si="0"/>
        <v>36.708860759493668</v>
      </c>
      <c r="O23" s="34"/>
      <c r="P23" s="34"/>
      <c r="Q23" s="10" t="s">
        <v>60</v>
      </c>
    </row>
    <row r="24" spans="1:17">
      <c r="A24" s="315" t="s">
        <v>32</v>
      </c>
      <c r="B24" s="315" t="s">
        <v>103</v>
      </c>
      <c r="C24" s="315">
        <v>145280.60999999999</v>
      </c>
      <c r="D24" s="315">
        <v>2513.4499999999998</v>
      </c>
      <c r="E24" s="315">
        <v>142767.16</v>
      </c>
      <c r="F24" s="315">
        <v>228451.88</v>
      </c>
      <c r="G24" s="316">
        <v>62.49</v>
      </c>
      <c r="H24" s="315">
        <v>60</v>
      </c>
      <c r="I24" s="315">
        <v>35</v>
      </c>
      <c r="J24" s="315">
        <v>266571.09999999998</v>
      </c>
      <c r="K24" s="315">
        <v>467883.11</v>
      </c>
      <c r="L24" s="315">
        <v>11.61</v>
      </c>
      <c r="M24" s="315">
        <v>54352.26</v>
      </c>
      <c r="N24" s="54">
        <f t="shared" si="0"/>
        <v>58.333333333333336</v>
      </c>
      <c r="O24" s="34"/>
      <c r="P24" s="34"/>
      <c r="Q24" s="10" t="s">
        <v>61</v>
      </c>
    </row>
    <row r="25" spans="1:17">
      <c r="A25" s="315" t="s">
        <v>34</v>
      </c>
      <c r="B25" s="315" t="s">
        <v>823</v>
      </c>
      <c r="C25" s="315">
        <v>211653.09</v>
      </c>
      <c r="D25" s="315">
        <v>28719.07</v>
      </c>
      <c r="E25" s="315">
        <v>182934.02</v>
      </c>
      <c r="F25" s="315">
        <v>237255.21</v>
      </c>
      <c r="G25" s="316">
        <v>77.099999999999994</v>
      </c>
      <c r="H25" s="315">
        <v>105</v>
      </c>
      <c r="I25" s="315">
        <v>35</v>
      </c>
      <c r="J25" s="315">
        <v>291110.31</v>
      </c>
      <c r="K25" s="315">
        <v>712456.97</v>
      </c>
      <c r="L25" s="315">
        <v>11.22</v>
      </c>
      <c r="M25" s="315">
        <v>79929.37</v>
      </c>
      <c r="N25" s="54">
        <f t="shared" si="0"/>
        <v>33.333333333333336</v>
      </c>
      <c r="O25" s="34"/>
      <c r="P25" s="34"/>
      <c r="Q25" s="10" t="s">
        <v>67</v>
      </c>
    </row>
    <row r="26" spans="1:17">
      <c r="A26" s="315" t="s">
        <v>62</v>
      </c>
      <c r="B26" s="315" t="s">
        <v>104</v>
      </c>
      <c r="C26" s="315">
        <v>2492.3000000000002</v>
      </c>
      <c r="D26" s="315">
        <v>8830.09</v>
      </c>
      <c r="E26" s="315">
        <v>-6337.79</v>
      </c>
      <c r="F26" s="315">
        <v>0</v>
      </c>
      <c r="G26" s="316">
        <v>0</v>
      </c>
      <c r="H26" s="315">
        <v>270</v>
      </c>
      <c r="I26" s="315">
        <v>35</v>
      </c>
      <c r="J26" s="315">
        <v>360.16</v>
      </c>
      <c r="K26" s="315">
        <v>9868.7099999999991</v>
      </c>
      <c r="L26" s="315">
        <v>0.56999999999999995</v>
      </c>
      <c r="M26" s="315">
        <v>56.03</v>
      </c>
      <c r="N26" s="54">
        <f t="shared" si="0"/>
        <v>12.962962962962964</v>
      </c>
      <c r="O26" s="34"/>
      <c r="P26" s="34"/>
      <c r="Q26" s="10" t="s">
        <v>62</v>
      </c>
    </row>
    <row r="27" spans="1:17">
      <c r="A27" s="315" t="s">
        <v>61</v>
      </c>
      <c r="B27" s="315" t="s">
        <v>819</v>
      </c>
      <c r="C27" s="315">
        <v>0</v>
      </c>
      <c r="D27" s="315">
        <v>0</v>
      </c>
      <c r="E27" s="315">
        <v>0</v>
      </c>
      <c r="F27" s="315">
        <v>0</v>
      </c>
      <c r="G27" s="316">
        <v>0</v>
      </c>
      <c r="H27" s="315">
        <v>208</v>
      </c>
      <c r="I27" s="315">
        <v>0</v>
      </c>
      <c r="J27" s="315">
        <v>0</v>
      </c>
      <c r="K27" s="315">
        <v>24256.14</v>
      </c>
      <c r="L27" s="315">
        <v>72.87</v>
      </c>
      <c r="M27" s="315">
        <v>17675.810000000001</v>
      </c>
      <c r="N27" s="54">
        <f t="shared" si="0"/>
        <v>0</v>
      </c>
      <c r="O27" s="34"/>
      <c r="P27" s="34"/>
      <c r="Q27" s="10" t="s">
        <v>34</v>
      </c>
    </row>
    <row r="28" spans="1:17">
      <c r="A28" s="315" t="s">
        <v>37</v>
      </c>
      <c r="B28" s="315" t="s">
        <v>105</v>
      </c>
      <c r="C28" s="315">
        <v>82211.75</v>
      </c>
      <c r="D28" s="315">
        <v>2000.41</v>
      </c>
      <c r="E28" s="315">
        <v>80211.34</v>
      </c>
      <c r="F28" s="315">
        <v>113350</v>
      </c>
      <c r="G28" s="316">
        <v>70.760000000000005</v>
      </c>
      <c r="H28" s="315">
        <v>109</v>
      </c>
      <c r="I28" s="315">
        <v>26</v>
      </c>
      <c r="J28" s="315">
        <v>93200.03</v>
      </c>
      <c r="K28" s="315">
        <v>123805.2</v>
      </c>
      <c r="L28" s="315">
        <v>24.79</v>
      </c>
      <c r="M28" s="315">
        <v>30681.3</v>
      </c>
      <c r="N28" s="54">
        <f t="shared" si="0"/>
        <v>23.853211009174313</v>
      </c>
      <c r="O28" s="34"/>
      <c r="P28" s="34"/>
      <c r="Q28" s="10" t="s">
        <v>31</v>
      </c>
    </row>
    <row r="29" spans="1:17" s="354" customFormat="1">
      <c r="A29" s="315" t="s">
        <v>38</v>
      </c>
      <c r="B29" s="315" t="s">
        <v>106</v>
      </c>
      <c r="C29" s="315">
        <v>617.25</v>
      </c>
      <c r="D29" s="315">
        <v>0</v>
      </c>
      <c r="E29" s="315">
        <v>617.25</v>
      </c>
      <c r="F29" s="315">
        <v>0</v>
      </c>
      <c r="G29" s="316">
        <v>0</v>
      </c>
      <c r="H29" s="315">
        <v>136</v>
      </c>
      <c r="I29" s="315">
        <v>2</v>
      </c>
      <c r="J29" s="315">
        <v>728.35</v>
      </c>
      <c r="K29" s="315">
        <v>0</v>
      </c>
      <c r="L29" s="315">
        <v>0</v>
      </c>
      <c r="M29" s="315">
        <v>0</v>
      </c>
      <c r="N29" s="351">
        <f t="shared" si="0"/>
        <v>1.4705882352941178</v>
      </c>
      <c r="O29" s="352"/>
      <c r="P29" s="352"/>
      <c r="Q29" s="353" t="s">
        <v>63</v>
      </c>
    </row>
    <row r="30" spans="1:17" s="350" customFormat="1">
      <c r="A30" s="315" t="s">
        <v>39</v>
      </c>
      <c r="B30" s="315" t="s">
        <v>107</v>
      </c>
      <c r="C30" s="315">
        <v>74586.100000000006</v>
      </c>
      <c r="D30" s="315">
        <v>1282.29</v>
      </c>
      <c r="E30" s="315">
        <v>73303.81</v>
      </c>
      <c r="F30" s="315">
        <v>83100</v>
      </c>
      <c r="G30" s="316">
        <v>88.21</v>
      </c>
      <c r="H30" s="315">
        <v>204</v>
      </c>
      <c r="I30" s="315">
        <v>117</v>
      </c>
      <c r="J30" s="315">
        <v>100616.91</v>
      </c>
      <c r="K30" s="315">
        <v>18460.400000000001</v>
      </c>
      <c r="L30" s="315">
        <v>1.64</v>
      </c>
      <c r="M30" s="315">
        <v>303.12</v>
      </c>
      <c r="N30" s="347">
        <f t="shared" si="0"/>
        <v>57.352941176470587</v>
      </c>
      <c r="O30" s="348"/>
      <c r="P30" s="348"/>
      <c r="Q30" s="349" t="s">
        <v>32</v>
      </c>
    </row>
    <row r="31" spans="1:17">
      <c r="A31" s="69" t="s">
        <v>60</v>
      </c>
      <c r="B31" s="69" t="s">
        <v>108</v>
      </c>
      <c r="C31" s="339">
        <v>0</v>
      </c>
      <c r="D31" s="339">
        <v>0</v>
      </c>
      <c r="E31" s="339">
        <v>0</v>
      </c>
      <c r="F31" s="339">
        <v>0</v>
      </c>
      <c r="G31" s="340">
        <v>0</v>
      </c>
      <c r="H31" s="339">
        <v>283</v>
      </c>
      <c r="I31" s="339">
        <v>0</v>
      </c>
      <c r="J31" s="339">
        <v>0</v>
      </c>
      <c r="K31" s="339">
        <v>0</v>
      </c>
      <c r="L31" s="339">
        <v>0</v>
      </c>
      <c r="M31" s="339">
        <v>0</v>
      </c>
      <c r="N31" s="54">
        <f t="shared" si="0"/>
        <v>0</v>
      </c>
      <c r="O31" s="34"/>
      <c r="P31" s="34"/>
      <c r="Q31" s="10" t="s">
        <v>30</v>
      </c>
    </row>
    <row r="32" spans="1:17">
      <c r="A32" s="315" t="s">
        <v>67</v>
      </c>
      <c r="B32" s="315" t="s">
        <v>819</v>
      </c>
      <c r="C32" s="341">
        <v>0</v>
      </c>
      <c r="D32" s="341">
        <v>0</v>
      </c>
      <c r="E32" s="341">
        <v>0</v>
      </c>
      <c r="F32" s="341">
        <v>0</v>
      </c>
      <c r="G32" s="342">
        <v>0</v>
      </c>
      <c r="H32" s="341">
        <v>187</v>
      </c>
      <c r="I32" s="341">
        <v>0</v>
      </c>
      <c r="J32" s="341">
        <v>0</v>
      </c>
      <c r="K32" s="341">
        <v>370.19</v>
      </c>
      <c r="L32" s="341">
        <v>0</v>
      </c>
      <c r="M32" s="341">
        <v>0</v>
      </c>
      <c r="N32" s="54">
        <f t="shared" si="0"/>
        <v>0</v>
      </c>
      <c r="O32" s="34"/>
      <c r="P32" s="34"/>
      <c r="Q32" s="10" t="s">
        <v>35</v>
      </c>
    </row>
    <row r="33" spans="1:18">
      <c r="A33" s="315" t="s">
        <v>79</v>
      </c>
      <c r="B33" s="315" t="s">
        <v>109</v>
      </c>
      <c r="C33" s="315">
        <v>67223.850000000006</v>
      </c>
      <c r="D33" s="315">
        <v>6176.21</v>
      </c>
      <c r="E33" s="315">
        <v>61047.64</v>
      </c>
      <c r="F33" s="315">
        <v>40000</v>
      </c>
      <c r="G33" s="316">
        <v>152.62</v>
      </c>
      <c r="H33" s="315">
        <v>503</v>
      </c>
      <c r="I33" s="315">
        <v>8</v>
      </c>
      <c r="J33" s="315">
        <v>118041.07</v>
      </c>
      <c r="K33" s="315">
        <v>211719.41</v>
      </c>
      <c r="L33" s="315">
        <v>14.25</v>
      </c>
      <c r="M33" s="315">
        <v>30169.599999999999</v>
      </c>
      <c r="N33" s="54">
        <f t="shared" si="0"/>
        <v>1.5904572564612327</v>
      </c>
      <c r="O33" s="34"/>
      <c r="P33" s="34"/>
      <c r="Q33" s="10">
        <v>505</v>
      </c>
    </row>
    <row r="34" spans="1:18">
      <c r="A34" s="315" t="s">
        <v>68</v>
      </c>
      <c r="B34" s="315" t="s">
        <v>110</v>
      </c>
      <c r="C34" s="315">
        <v>599874.76</v>
      </c>
      <c r="D34" s="315">
        <v>19224.5</v>
      </c>
      <c r="E34" s="315">
        <v>580650.26</v>
      </c>
      <c r="F34" s="315">
        <v>475000</v>
      </c>
      <c r="G34" s="316">
        <v>122.24</v>
      </c>
      <c r="H34" s="315">
        <v>88</v>
      </c>
      <c r="I34" s="315">
        <v>18</v>
      </c>
      <c r="J34" s="315">
        <v>275021.94</v>
      </c>
      <c r="K34" s="315">
        <v>1202461.47</v>
      </c>
      <c r="L34" s="315">
        <v>31.44</v>
      </c>
      <c r="M34" s="315">
        <v>378022.41</v>
      </c>
      <c r="N34" s="54">
        <f t="shared" si="0"/>
        <v>20.454545454545453</v>
      </c>
      <c r="O34" s="34"/>
      <c r="P34" s="34"/>
      <c r="Q34" s="10" t="s">
        <v>68</v>
      </c>
    </row>
    <row r="35" spans="1:18">
      <c r="A35" s="315" t="s">
        <v>59</v>
      </c>
      <c r="B35" s="315" t="s">
        <v>111</v>
      </c>
      <c r="C35" s="341">
        <v>0</v>
      </c>
      <c r="D35" s="341">
        <v>0</v>
      </c>
      <c r="E35" s="341">
        <v>0</v>
      </c>
      <c r="F35" s="341">
        <v>0</v>
      </c>
      <c r="G35" s="342">
        <v>0</v>
      </c>
      <c r="H35" s="341">
        <v>8</v>
      </c>
      <c r="I35" s="341">
        <v>0</v>
      </c>
      <c r="J35" s="341">
        <v>0</v>
      </c>
      <c r="K35" s="341">
        <v>0</v>
      </c>
      <c r="L35" s="341">
        <v>0</v>
      </c>
      <c r="M35" s="341">
        <v>0</v>
      </c>
      <c r="N35" s="54"/>
      <c r="O35" s="34"/>
      <c r="P35" s="34"/>
      <c r="Q35" s="10"/>
    </row>
    <row r="36" spans="1:18" ht="14.25" customHeight="1">
      <c r="A36" s="10" t="s">
        <v>69</v>
      </c>
      <c r="B36" s="10" t="s">
        <v>70</v>
      </c>
      <c r="C36" s="56">
        <v>0</v>
      </c>
      <c r="D36" s="56">
        <v>0</v>
      </c>
      <c r="E36" s="56">
        <v>0</v>
      </c>
      <c r="F36" s="56">
        <v>0</v>
      </c>
      <c r="G36" s="343">
        <v>0</v>
      </c>
      <c r="H36" s="56">
        <v>0</v>
      </c>
      <c r="I36" s="56">
        <v>0</v>
      </c>
      <c r="J36" s="56">
        <v>0</v>
      </c>
      <c r="K36" s="56">
        <v>0</v>
      </c>
      <c r="L36" s="344">
        <v>0</v>
      </c>
      <c r="M36" s="56">
        <v>0</v>
      </c>
      <c r="N36" s="54" t="e">
        <f>I36*100/H36</f>
        <v>#DIV/0!</v>
      </c>
      <c r="O36" s="34"/>
      <c r="P36" s="34"/>
      <c r="Q36" s="10">
        <v>201</v>
      </c>
    </row>
    <row r="37" spans="1:18" ht="14.25" customHeight="1">
      <c r="A37" s="76"/>
      <c r="B37" s="76"/>
      <c r="C37" s="76"/>
      <c r="D37" s="76"/>
      <c r="E37" s="76"/>
      <c r="F37" s="76"/>
      <c r="G37" s="77"/>
      <c r="H37" s="76"/>
      <c r="I37" s="76"/>
      <c r="J37" s="76"/>
      <c r="K37" s="76"/>
      <c r="L37" s="78"/>
      <c r="M37" s="76"/>
      <c r="N37" s="54"/>
      <c r="O37" s="34"/>
      <c r="P37" s="34"/>
      <c r="Q37" s="76"/>
    </row>
    <row r="38" spans="1:18" ht="14.25" customHeight="1">
      <c r="A38" s="76"/>
      <c r="B38" s="76"/>
      <c r="C38" s="76"/>
      <c r="D38" s="76"/>
      <c r="E38" s="76"/>
      <c r="F38" s="76"/>
      <c r="G38" s="77"/>
      <c r="H38" s="76"/>
      <c r="I38" s="76"/>
      <c r="J38" s="76"/>
      <c r="K38" s="76"/>
      <c r="L38" s="78"/>
      <c r="M38" s="76"/>
      <c r="N38" s="54"/>
      <c r="O38" s="34"/>
      <c r="P38" s="34"/>
      <c r="Q38" s="76"/>
    </row>
    <row r="39" spans="1:18">
      <c r="A39" s="34">
        <v>1</v>
      </c>
      <c r="B39" s="34">
        <v>2</v>
      </c>
      <c r="C39" s="34">
        <v>3</v>
      </c>
      <c r="D39" s="34">
        <v>4</v>
      </c>
      <c r="E39" s="34">
        <v>5</v>
      </c>
      <c r="F39" s="34">
        <v>6</v>
      </c>
      <c r="G39" s="79">
        <v>7</v>
      </c>
      <c r="H39" s="34">
        <v>8</v>
      </c>
      <c r="I39" s="34">
        <v>9</v>
      </c>
      <c r="J39" s="34">
        <v>10</v>
      </c>
      <c r="K39" s="34">
        <v>11</v>
      </c>
      <c r="L39" s="34">
        <v>12</v>
      </c>
      <c r="M39" s="34">
        <v>13</v>
      </c>
      <c r="N39" s="34">
        <v>14</v>
      </c>
      <c r="O39" s="34">
        <v>15</v>
      </c>
      <c r="P39" s="34">
        <v>16</v>
      </c>
      <c r="Q39" s="34">
        <v>17</v>
      </c>
      <c r="R39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5"/>
  <sheetViews>
    <sheetView zoomScale="120" zoomScaleNormal="120" workbookViewId="0">
      <selection activeCell="J10" sqref="J10"/>
    </sheetView>
  </sheetViews>
  <sheetFormatPr baseColWidth="10" defaultColWidth="8.85546875" defaultRowHeight="15"/>
  <cols>
    <col min="1" max="7" width="9.140625" style="29" customWidth="1"/>
    <col min="8" max="8" width="8.7109375" style="29" customWidth="1"/>
    <col min="9" max="10" width="9.140625" style="29" customWidth="1"/>
    <col min="11" max="11" width="5.42578125" style="29" customWidth="1"/>
    <col min="12" max="1025" width="9.140625" style="29" customWidth="1"/>
  </cols>
  <sheetData>
    <row r="1" spans="2:10">
      <c r="B1" s="80" t="s">
        <v>112</v>
      </c>
      <c r="C1" s="81"/>
      <c r="D1" s="81"/>
      <c r="E1" s="81"/>
      <c r="F1" s="82"/>
      <c r="G1" s="82"/>
      <c r="H1" s="81"/>
      <c r="I1" s="81"/>
      <c r="J1" s="81"/>
    </row>
    <row r="2" spans="2:10">
      <c r="B2" s="80" t="s">
        <v>113</v>
      </c>
      <c r="C2" s="81"/>
      <c r="D2" s="81"/>
      <c r="E2" s="81"/>
      <c r="F2" s="82"/>
      <c r="G2" s="82"/>
      <c r="H2" s="81"/>
      <c r="I2" s="81"/>
      <c r="J2" s="81"/>
    </row>
    <row r="3" spans="2:10">
      <c r="B3" s="80" t="s">
        <v>114</v>
      </c>
      <c r="C3" s="81"/>
      <c r="D3" s="81"/>
      <c r="E3" s="81"/>
      <c r="F3" s="82"/>
      <c r="G3" s="82"/>
      <c r="H3" s="81"/>
      <c r="I3" s="81"/>
      <c r="J3" s="81"/>
    </row>
    <row r="4" spans="2:10">
      <c r="B4" s="81" t="s">
        <v>115</v>
      </c>
      <c r="C4" s="81"/>
      <c r="D4" s="81"/>
      <c r="E4" s="81"/>
      <c r="F4" s="82"/>
      <c r="G4" s="82"/>
      <c r="H4" s="81"/>
      <c r="I4" s="81"/>
      <c r="J4" s="83">
        <v>43313</v>
      </c>
    </row>
    <row r="5" spans="2:10">
      <c r="B5" s="81" t="s">
        <v>116</v>
      </c>
      <c r="C5" s="81"/>
      <c r="D5" s="84" t="s">
        <v>205</v>
      </c>
      <c r="E5" s="81"/>
      <c r="F5" s="82"/>
      <c r="G5" s="82"/>
      <c r="H5" s="81"/>
      <c r="I5" s="81"/>
      <c r="J5" s="81"/>
    </row>
    <row r="6" spans="2:10">
      <c r="B6" s="81"/>
      <c r="C6" s="81"/>
      <c r="D6" s="81"/>
      <c r="E6" s="81"/>
      <c r="F6" s="82"/>
      <c r="G6" s="82"/>
      <c r="H6" s="81"/>
      <c r="I6" s="81"/>
      <c r="J6" s="80" t="s">
        <v>118</v>
      </c>
    </row>
    <row r="7" spans="2:10">
      <c r="B7" s="81" t="s">
        <v>119</v>
      </c>
      <c r="C7" s="81"/>
      <c r="D7" s="81"/>
      <c r="E7" s="81"/>
      <c r="F7" s="81"/>
      <c r="G7" s="81"/>
      <c r="H7" s="81"/>
      <c r="I7" s="81"/>
      <c r="J7" s="85">
        <v>930</v>
      </c>
    </row>
    <row r="8" spans="2:10" ht="22.5" customHeight="1">
      <c r="B8" s="81" t="s">
        <v>120</v>
      </c>
      <c r="C8" s="81"/>
      <c r="D8" s="81"/>
      <c r="E8" s="81"/>
      <c r="F8" s="86" t="s">
        <v>121</v>
      </c>
      <c r="G8" s="81"/>
      <c r="H8" s="86" t="s">
        <v>122</v>
      </c>
      <c r="I8" s="86" t="s">
        <v>123</v>
      </c>
      <c r="J8" s="85">
        <v>200</v>
      </c>
    </row>
    <row r="9" spans="2:10" ht="12.75" customHeight="1">
      <c r="B9" s="81" t="s">
        <v>124</v>
      </c>
      <c r="C9" s="81"/>
      <c r="D9" s="81"/>
      <c r="E9" s="81"/>
      <c r="F9" s="82">
        <v>200</v>
      </c>
      <c r="G9" s="81"/>
      <c r="H9" s="82">
        <v>85</v>
      </c>
      <c r="I9" s="82">
        <f>H18</f>
        <v>30.818217845854608</v>
      </c>
      <c r="J9" s="85">
        <v>100</v>
      </c>
    </row>
    <row r="10" spans="2:10" ht="12.75" customHeight="1">
      <c r="B10" s="81" t="s">
        <v>125</v>
      </c>
      <c r="C10" s="81"/>
      <c r="D10" s="81"/>
      <c r="E10" s="81"/>
      <c r="F10" s="82">
        <v>200</v>
      </c>
      <c r="G10" s="81"/>
      <c r="H10" s="82">
        <v>5</v>
      </c>
      <c r="I10" s="82">
        <f>H21</f>
        <v>39.860780527614168</v>
      </c>
      <c r="J10" s="85">
        <v>0</v>
      </c>
    </row>
    <row r="11" spans="2:10" ht="12.75" customHeight="1">
      <c r="B11" s="81" t="s">
        <v>126</v>
      </c>
      <c r="C11" s="81"/>
      <c r="D11" s="81"/>
      <c r="E11" s="81"/>
      <c r="F11" s="82">
        <v>200</v>
      </c>
      <c r="G11" s="81"/>
      <c r="H11" s="82">
        <v>90</v>
      </c>
      <c r="I11" s="82">
        <v>60</v>
      </c>
      <c r="J11" s="85">
        <f>IF(I11&gt;=H11,F19*F11%,0)</f>
        <v>0</v>
      </c>
    </row>
    <row r="12" spans="2:10" ht="12.75" customHeight="1">
      <c r="B12" s="81" t="s">
        <v>127</v>
      </c>
      <c r="C12" s="81"/>
      <c r="D12" s="81"/>
      <c r="E12" s="81"/>
      <c r="F12" s="81"/>
      <c r="G12" s="81"/>
      <c r="H12" s="81"/>
      <c r="I12" s="81"/>
      <c r="J12" s="85">
        <v>0</v>
      </c>
    </row>
    <row r="13" spans="2:10" ht="12.75" customHeight="1">
      <c r="B13" s="81" t="s">
        <v>128</v>
      </c>
      <c r="C13" s="81"/>
      <c r="D13" s="81"/>
      <c r="E13" s="81"/>
      <c r="F13" s="82"/>
      <c r="G13" s="81"/>
      <c r="H13" s="81"/>
      <c r="I13" s="81"/>
      <c r="J13" s="85">
        <v>0</v>
      </c>
    </row>
    <row r="14" spans="2:10">
      <c r="B14" s="81"/>
      <c r="C14" s="81"/>
      <c r="D14" s="81"/>
      <c r="E14" s="81"/>
      <c r="F14" s="82"/>
      <c r="G14" s="81"/>
      <c r="H14" s="81"/>
      <c r="I14" s="81"/>
      <c r="J14" s="85"/>
    </row>
    <row r="15" spans="2:10">
      <c r="B15" s="87" t="s">
        <v>129</v>
      </c>
      <c r="C15" s="88"/>
      <c r="D15" s="88"/>
      <c r="E15" s="88"/>
      <c r="F15" s="89"/>
      <c r="G15" s="88"/>
      <c r="H15" s="88"/>
      <c r="I15" s="88"/>
      <c r="J15" s="90">
        <f>SUM(J7:J14)</f>
        <v>1230</v>
      </c>
    </row>
    <row r="16" spans="2:10">
      <c r="B16" s="81" t="s">
        <v>130</v>
      </c>
      <c r="C16" s="81"/>
      <c r="D16" s="81"/>
      <c r="E16" s="81"/>
      <c r="F16" s="82"/>
      <c r="G16" s="81"/>
      <c r="H16" s="81"/>
      <c r="I16" s="81"/>
      <c r="J16" s="81"/>
    </row>
    <row r="17" spans="2:10">
      <c r="B17" s="81"/>
      <c r="C17" s="81" t="s">
        <v>131</v>
      </c>
      <c r="D17" s="81"/>
      <c r="E17" s="81"/>
      <c r="F17" s="82">
        <v>411300</v>
      </c>
      <c r="G17" s="81"/>
      <c r="H17" s="81"/>
      <c r="I17" s="81"/>
      <c r="J17" s="81"/>
    </row>
    <row r="18" spans="2:10">
      <c r="B18" s="81"/>
      <c r="C18" s="81" t="s">
        <v>132</v>
      </c>
      <c r="D18" s="81"/>
      <c r="E18" s="81"/>
      <c r="F18" s="82">
        <v>126755.33</v>
      </c>
      <c r="G18" s="91" t="s">
        <v>133</v>
      </c>
      <c r="H18" s="82">
        <f>F18*100/F17</f>
        <v>30.818217845854608</v>
      </c>
      <c r="I18" s="91"/>
      <c r="J18" s="81"/>
    </row>
    <row r="19" spans="2:10">
      <c r="B19" s="81"/>
      <c r="C19" s="81"/>
      <c r="D19" s="81"/>
      <c r="E19" s="81"/>
      <c r="F19" s="82"/>
      <c r="G19" s="91"/>
      <c r="H19" s="81"/>
      <c r="I19" s="91"/>
      <c r="J19" s="81"/>
    </row>
    <row r="20" spans="2:10">
      <c r="B20" s="81"/>
      <c r="C20" s="81" t="s">
        <v>134</v>
      </c>
      <c r="D20" s="81"/>
      <c r="E20" s="81"/>
      <c r="F20" s="82">
        <v>453209.59</v>
      </c>
      <c r="G20" s="91"/>
      <c r="H20" s="81"/>
      <c r="I20" s="91"/>
      <c r="J20" s="81"/>
    </row>
    <row r="21" spans="2:10">
      <c r="B21" s="81"/>
      <c r="C21" s="81" t="s">
        <v>135</v>
      </c>
      <c r="D21" s="81"/>
      <c r="E21" s="81"/>
      <c r="F21" s="82">
        <v>180652.88</v>
      </c>
      <c r="G21" s="91" t="s">
        <v>136</v>
      </c>
      <c r="H21" s="82">
        <f>F21*100/F20</f>
        <v>39.860780527614168</v>
      </c>
      <c r="I21" s="91"/>
      <c r="J21" s="82"/>
    </row>
    <row r="22" spans="2:10">
      <c r="B22" s="81"/>
      <c r="C22" s="81" t="s">
        <v>137</v>
      </c>
      <c r="D22" s="81"/>
      <c r="E22" s="81"/>
      <c r="F22" s="82">
        <v>260387.05</v>
      </c>
      <c r="G22" s="91"/>
      <c r="H22" s="81"/>
      <c r="I22" s="91"/>
      <c r="J22" s="81"/>
    </row>
    <row r="27" spans="2:10" ht="14.25" customHeight="1"/>
    <row r="28" spans="2:10" ht="11.25" customHeight="1"/>
    <row r="29" spans="2:10" ht="11.25" customHeight="1"/>
    <row r="30" spans="2:10" ht="11.25" customHeight="1"/>
    <row r="31" spans="2:10" ht="11.25" customHeight="1"/>
    <row r="32" spans="2:10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</sheetData>
  <pageMargins left="0.39374999999999999" right="0.78749999999999998" top="1.1812499999999999" bottom="0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0"/>
  <sheetViews>
    <sheetView tabSelected="1" zoomScale="120" zoomScaleNormal="120" workbookViewId="0">
      <selection activeCell="J18" sqref="J18"/>
    </sheetView>
  </sheetViews>
  <sheetFormatPr baseColWidth="10" defaultColWidth="8.85546875" defaultRowHeight="15"/>
  <cols>
    <col min="1" max="1" width="6.140625" style="29" customWidth="1"/>
    <col min="2" max="2" width="5.5703125" style="29" customWidth="1"/>
    <col min="3" max="3" width="11.140625" style="29" customWidth="1"/>
    <col min="4" max="4" width="3.7109375" style="29" customWidth="1"/>
    <col min="5" max="5" width="2.7109375" style="29" customWidth="1"/>
    <col min="6" max="6" width="9.140625" style="29" customWidth="1"/>
    <col min="7" max="7" width="8" style="29" customWidth="1"/>
    <col min="8" max="8" width="8.7109375" style="29" customWidth="1"/>
    <col min="9" max="9" width="7.28515625" style="29" customWidth="1"/>
    <col min="10" max="10" width="8.85546875" style="29" customWidth="1"/>
    <col min="11" max="11" width="5.42578125" style="29" customWidth="1"/>
    <col min="12" max="12" width="23.42578125" style="29" customWidth="1"/>
    <col min="13" max="13" width="8.5703125" style="29" customWidth="1"/>
    <col min="14" max="14" width="8.7109375" style="29" customWidth="1"/>
    <col min="15" max="1025" width="21.7109375" style="29" customWidth="1"/>
  </cols>
  <sheetData>
    <row r="1" spans="2:10">
      <c r="B1" s="80" t="s">
        <v>112</v>
      </c>
      <c r="C1" s="81"/>
      <c r="D1" s="81"/>
      <c r="E1" s="81"/>
      <c r="F1" s="82"/>
      <c r="G1" s="82"/>
      <c r="H1" s="81"/>
      <c r="I1" s="81"/>
      <c r="J1" s="81"/>
    </row>
    <row r="2" spans="2:10">
      <c r="B2" s="80" t="s">
        <v>113</v>
      </c>
      <c r="C2" s="81"/>
      <c r="D2" s="81"/>
      <c r="E2" s="81"/>
      <c r="F2" s="82"/>
      <c r="G2" s="82"/>
      <c r="H2" s="81"/>
      <c r="I2" s="81"/>
      <c r="J2" s="81"/>
    </row>
    <row r="3" spans="2:10">
      <c r="B3" s="80" t="s">
        <v>114</v>
      </c>
      <c r="C3" s="81"/>
      <c r="D3" s="81"/>
      <c r="E3" s="81"/>
      <c r="F3" s="82"/>
      <c r="G3" s="82"/>
      <c r="H3" s="81"/>
      <c r="I3" s="81"/>
      <c r="J3" s="81"/>
    </row>
    <row r="4" spans="2:10">
      <c r="B4" s="81" t="s">
        <v>115</v>
      </c>
      <c r="C4" s="81"/>
      <c r="D4" s="81"/>
      <c r="E4" s="81"/>
      <c r="F4" s="82"/>
      <c r="G4" s="82"/>
      <c r="H4" s="81"/>
      <c r="I4" s="81"/>
      <c r="J4" s="83">
        <v>43800</v>
      </c>
    </row>
    <row r="5" spans="2:10">
      <c r="B5" s="81" t="s">
        <v>116</v>
      </c>
      <c r="C5" s="81"/>
      <c r="D5" s="84" t="s">
        <v>206</v>
      </c>
      <c r="E5" s="81"/>
      <c r="F5" s="82"/>
      <c r="G5" s="82"/>
      <c r="H5" s="81"/>
      <c r="I5" s="81"/>
      <c r="J5" s="81"/>
    </row>
    <row r="6" spans="2:10">
      <c r="B6" s="81"/>
      <c r="C6" s="81"/>
      <c r="D6" s="81"/>
      <c r="E6" s="81"/>
      <c r="F6" s="82"/>
      <c r="G6" s="82"/>
      <c r="H6" s="81"/>
      <c r="I6" s="81"/>
      <c r="J6" s="80" t="s">
        <v>118</v>
      </c>
    </row>
    <row r="7" spans="2:10">
      <c r="B7" s="81" t="s">
        <v>119</v>
      </c>
      <c r="C7" s="81"/>
      <c r="D7" s="81"/>
      <c r="E7" s="81"/>
      <c r="F7" s="81"/>
      <c r="G7" s="81"/>
      <c r="H7" s="81"/>
      <c r="I7" s="81"/>
      <c r="J7" s="85">
        <v>1500</v>
      </c>
    </row>
    <row r="8" spans="2:10" ht="22.5" customHeight="1">
      <c r="B8" s="81" t="s">
        <v>120</v>
      </c>
      <c r="C8" s="81"/>
      <c r="D8" s="81"/>
      <c r="E8" s="81"/>
      <c r="F8" s="86" t="s">
        <v>121</v>
      </c>
      <c r="G8" s="81"/>
      <c r="H8" s="86" t="s">
        <v>122</v>
      </c>
      <c r="I8" s="86" t="s">
        <v>123</v>
      </c>
      <c r="J8" s="85">
        <v>400</v>
      </c>
    </row>
    <row r="9" spans="2:10" ht="12.75" customHeight="1">
      <c r="B9" s="81" t="s">
        <v>124</v>
      </c>
      <c r="C9" s="81"/>
      <c r="D9" s="81"/>
      <c r="E9" s="81"/>
      <c r="F9" s="82">
        <v>200</v>
      </c>
      <c r="G9" s="81"/>
      <c r="H9" s="82">
        <v>85</v>
      </c>
      <c r="I9" s="82">
        <f>H18</f>
        <v>74.099171907111511</v>
      </c>
      <c r="J9" s="85">
        <v>0</v>
      </c>
    </row>
    <row r="10" spans="2:10" ht="12.75" customHeight="1">
      <c r="B10" s="81" t="s">
        <v>125</v>
      </c>
      <c r="C10" s="81"/>
      <c r="D10" s="81"/>
      <c r="E10" s="81"/>
      <c r="F10" s="82">
        <v>200</v>
      </c>
      <c r="G10" s="81"/>
      <c r="H10" s="82">
        <v>5</v>
      </c>
      <c r="I10" s="82">
        <f>H21</f>
        <v>9.870956350665347</v>
      </c>
      <c r="J10" s="118">
        <v>200</v>
      </c>
    </row>
    <row r="11" spans="2:10" ht="12.75" customHeight="1">
      <c r="B11" s="81" t="s">
        <v>126</v>
      </c>
      <c r="C11" s="81"/>
      <c r="D11" s="81"/>
      <c r="E11" s="81"/>
      <c r="F11" s="82">
        <v>200</v>
      </c>
      <c r="G11" s="81"/>
      <c r="H11" s="82">
        <v>90</v>
      </c>
      <c r="I11" s="82">
        <v>60</v>
      </c>
      <c r="J11" s="85">
        <f>IF(I11&gt;=H11,F18*F11%,0)</f>
        <v>0</v>
      </c>
    </row>
    <row r="12" spans="2:10" ht="12.75" customHeight="1">
      <c r="B12" s="81" t="s">
        <v>127</v>
      </c>
      <c r="C12" s="81"/>
      <c r="D12" s="81"/>
      <c r="E12" s="81"/>
      <c r="F12" s="81"/>
      <c r="G12" s="81"/>
      <c r="H12" s="81"/>
      <c r="I12" s="81"/>
      <c r="J12" s="85">
        <v>0</v>
      </c>
    </row>
    <row r="13" spans="2:10" ht="12.75" customHeight="1">
      <c r="B13" s="81" t="s">
        <v>128</v>
      </c>
      <c r="C13" s="81"/>
      <c r="D13" s="81"/>
      <c r="E13" s="81"/>
      <c r="F13" s="82"/>
      <c r="G13" s="81"/>
      <c r="H13" s="81"/>
      <c r="I13" s="81"/>
      <c r="J13" s="85">
        <v>0</v>
      </c>
    </row>
    <row r="14" spans="2:10">
      <c r="B14" s="81"/>
      <c r="C14" s="81"/>
      <c r="D14" s="81"/>
      <c r="E14" s="81"/>
      <c r="F14" s="82"/>
      <c r="G14" s="81"/>
      <c r="H14" s="81"/>
      <c r="I14" s="81"/>
      <c r="J14" s="85"/>
    </row>
    <row r="15" spans="2:10">
      <c r="B15" s="87" t="s">
        <v>129</v>
      </c>
      <c r="C15" s="88"/>
      <c r="D15" s="88"/>
      <c r="E15" s="88"/>
      <c r="F15" s="89"/>
      <c r="G15" s="88"/>
      <c r="H15" s="88"/>
      <c r="I15" s="88"/>
      <c r="J15" s="90">
        <f>SUM(J7:J14)</f>
        <v>2100</v>
      </c>
    </row>
    <row r="16" spans="2:10">
      <c r="B16" s="81" t="s">
        <v>130</v>
      </c>
      <c r="C16" s="81"/>
      <c r="D16" s="81"/>
      <c r="E16" s="81"/>
      <c r="F16" s="82"/>
      <c r="G16" s="81"/>
      <c r="H16" s="81"/>
      <c r="I16" s="81"/>
      <c r="J16" s="81"/>
    </row>
    <row r="17" spans="2:10">
      <c r="B17" s="81"/>
      <c r="C17" s="81" t="s">
        <v>131</v>
      </c>
      <c r="D17" s="81"/>
      <c r="E17" s="81"/>
      <c r="F17" s="82">
        <v>3156301.71</v>
      </c>
      <c r="G17" s="81"/>
      <c r="H17" s="81"/>
      <c r="I17" s="81"/>
      <c r="J17" s="81"/>
    </row>
    <row r="18" spans="2:10">
      <c r="B18" s="81"/>
      <c r="C18" s="81" t="s">
        <v>132</v>
      </c>
      <c r="D18" s="81"/>
      <c r="E18" s="81"/>
      <c r="F18" s="82">
        <v>2338793.4300000002</v>
      </c>
      <c r="G18" s="91" t="s">
        <v>133</v>
      </c>
      <c r="H18" s="82">
        <f>F18*100/F17</f>
        <v>74.099171907111511</v>
      </c>
      <c r="I18" s="91"/>
      <c r="J18" s="81"/>
    </row>
    <row r="19" spans="2:10">
      <c r="B19" s="81"/>
      <c r="C19" s="81"/>
      <c r="D19" s="81"/>
      <c r="E19" s="81"/>
      <c r="F19" s="82"/>
      <c r="G19" s="91"/>
      <c r="H19" s="81"/>
      <c r="I19" s="91"/>
      <c r="J19" s="81"/>
    </row>
    <row r="20" spans="2:10">
      <c r="B20" s="81"/>
      <c r="C20" s="81" t="s">
        <v>134</v>
      </c>
      <c r="D20" s="81"/>
      <c r="E20" s="81"/>
      <c r="F20" s="82">
        <v>6830980.8700000001</v>
      </c>
      <c r="G20" s="91"/>
      <c r="H20" s="81"/>
      <c r="I20" s="91"/>
      <c r="J20" s="81"/>
    </row>
    <row r="21" spans="2:10">
      <c r="B21" s="81"/>
      <c r="C21" s="81" t="s">
        <v>135</v>
      </c>
      <c r="D21" s="81"/>
      <c r="E21" s="81"/>
      <c r="F21" s="82">
        <v>674283.14</v>
      </c>
      <c r="G21" s="91" t="s">
        <v>136</v>
      </c>
      <c r="H21" s="82">
        <f>F21*100/F20</f>
        <v>9.870956350665347</v>
      </c>
      <c r="I21" s="91"/>
      <c r="J21" s="82"/>
    </row>
    <row r="22" spans="2:10">
      <c r="B22" s="81"/>
      <c r="C22" s="81" t="s">
        <v>137</v>
      </c>
      <c r="D22" s="81"/>
      <c r="E22" s="81"/>
      <c r="F22" s="82">
        <v>3465925.27</v>
      </c>
      <c r="G22" s="91"/>
      <c r="H22" s="81"/>
      <c r="I22" s="91"/>
      <c r="J22" s="81"/>
    </row>
    <row r="27" spans="2:10" ht="14.25" customHeight="1"/>
    <row r="28" spans="2:10" ht="11.25" customHeight="1"/>
    <row r="29" spans="2:10" ht="11.25" customHeight="1"/>
    <row r="30" spans="2:10" ht="11.25" customHeight="1"/>
    <row r="31" spans="2:10" ht="11.25" customHeight="1"/>
    <row r="32" spans="2:10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</sheetData>
  <pageMargins left="0.78749999999999998" right="0.39374999999999999" top="1.1812499999999999" bottom="0" header="0.51180555555555496" footer="0.51180555555555496"/>
  <pageSetup scale="105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5"/>
  <sheetViews>
    <sheetView zoomScale="120" zoomScaleNormal="120" workbookViewId="0">
      <selection activeCell="A2" sqref="A2"/>
    </sheetView>
  </sheetViews>
  <sheetFormatPr baseColWidth="10" defaultColWidth="8.85546875" defaultRowHeight="15"/>
  <cols>
    <col min="1" max="1" width="2.7109375" style="29" customWidth="1"/>
    <col min="2" max="2" width="15.7109375" style="29" customWidth="1"/>
    <col min="3" max="3" width="8.28515625" style="29" customWidth="1"/>
    <col min="4" max="5" width="9.140625" style="29" customWidth="1"/>
    <col min="6" max="6" width="5.85546875" style="29" customWidth="1"/>
    <col min="7" max="8" width="9.140625" style="29" customWidth="1"/>
    <col min="9" max="9" width="7.85546875" style="29" customWidth="1"/>
    <col min="10" max="10" width="9.140625" style="29" customWidth="1"/>
    <col min="11" max="11" width="4.5703125" style="29" customWidth="1"/>
    <col min="12" max="12" width="17.7109375" style="29" customWidth="1"/>
    <col min="13" max="1025" width="9.140625" style="29" customWidth="1"/>
  </cols>
  <sheetData>
    <row r="1" spans="1:14" ht="3" customHeight="1">
      <c r="A1" s="80"/>
      <c r="B1" s="81"/>
      <c r="C1" s="81"/>
      <c r="D1" s="81"/>
      <c r="E1" s="81"/>
      <c r="F1" s="81"/>
      <c r="G1" s="81"/>
      <c r="H1" s="81"/>
      <c r="I1" s="81"/>
    </row>
    <row r="2" spans="1:14">
      <c r="A2" s="80" t="s">
        <v>113</v>
      </c>
      <c r="B2" s="81"/>
      <c r="C2" s="81"/>
      <c r="D2" s="81"/>
      <c r="E2" s="81"/>
      <c r="F2" s="81"/>
      <c r="G2" s="81"/>
      <c r="H2" s="81"/>
      <c r="I2" s="81"/>
    </row>
    <row r="3" spans="1:14">
      <c r="A3" s="80" t="s">
        <v>114</v>
      </c>
      <c r="B3" s="81"/>
      <c r="C3" s="81"/>
      <c r="D3" s="81"/>
      <c r="E3" s="81"/>
      <c r="F3" s="81"/>
      <c r="G3" s="81"/>
      <c r="H3" s="81"/>
      <c r="I3" s="81"/>
    </row>
    <row r="4" spans="1:14" ht="6.75" customHeight="1">
      <c r="A4" s="81"/>
      <c r="B4" s="81"/>
      <c r="C4" s="81"/>
      <c r="D4" s="81"/>
      <c r="E4" s="81"/>
      <c r="F4" s="81"/>
      <c r="G4" s="81"/>
      <c r="H4" s="81"/>
      <c r="I4" s="81"/>
    </row>
    <row r="5" spans="1:14">
      <c r="A5" s="81" t="s">
        <v>115</v>
      </c>
      <c r="B5" s="81"/>
      <c r="C5" s="81"/>
      <c r="D5" s="81"/>
      <c r="E5" s="81"/>
      <c r="F5" s="81"/>
      <c r="G5" s="81"/>
      <c r="H5" s="81"/>
      <c r="I5" s="83">
        <v>42826</v>
      </c>
    </row>
    <row r="6" spans="1:14" ht="6.75" customHeight="1">
      <c r="A6" s="81"/>
      <c r="B6" s="81"/>
      <c r="C6" s="81"/>
      <c r="D6" s="81"/>
      <c r="E6" s="81"/>
      <c r="F6" s="81"/>
      <c r="G6" s="81"/>
      <c r="H6" s="81"/>
      <c r="I6" s="119"/>
    </row>
    <row r="7" spans="1:14">
      <c r="A7" s="81" t="s">
        <v>116</v>
      </c>
      <c r="B7" s="81"/>
      <c r="C7" s="84" t="s">
        <v>207</v>
      </c>
      <c r="D7" s="81"/>
      <c r="E7" s="81"/>
      <c r="F7" s="81"/>
      <c r="G7" s="81"/>
      <c r="H7" s="81"/>
      <c r="I7" s="81"/>
    </row>
    <row r="8" spans="1:14" ht="12.75" customHeight="1">
      <c r="A8" s="81"/>
      <c r="B8" s="81"/>
      <c r="C8" s="81"/>
      <c r="D8" s="81"/>
      <c r="E8" s="81"/>
      <c r="F8" s="81"/>
      <c r="G8" s="81"/>
      <c r="H8" s="81"/>
      <c r="I8" s="80" t="s">
        <v>118</v>
      </c>
    </row>
    <row r="9" spans="1:14" ht="11.25" customHeight="1">
      <c r="A9" s="81"/>
      <c r="B9" s="81" t="s">
        <v>208</v>
      </c>
      <c r="C9" s="81"/>
      <c r="D9" s="81"/>
      <c r="E9" s="81"/>
      <c r="F9" s="81"/>
      <c r="G9" s="81"/>
      <c r="H9" s="81"/>
      <c r="I9" s="81"/>
    </row>
    <row r="10" spans="1:14" ht="11.25" customHeight="1">
      <c r="A10" s="120"/>
      <c r="B10" s="121" t="s">
        <v>209</v>
      </c>
      <c r="C10" s="81"/>
      <c r="D10" s="81"/>
      <c r="E10" s="122">
        <v>0</v>
      </c>
      <c r="F10" s="81"/>
      <c r="G10" s="81"/>
      <c r="H10" s="123">
        <v>0.01</v>
      </c>
      <c r="I10" s="81">
        <f>H10*E10</f>
        <v>0</v>
      </c>
    </row>
    <row r="11" spans="1:14" ht="6" customHeight="1">
      <c r="A11" s="81"/>
      <c r="B11" s="81"/>
      <c r="C11" s="81"/>
      <c r="D11" s="81"/>
      <c r="E11" s="81"/>
      <c r="F11" s="81"/>
      <c r="G11" s="81"/>
      <c r="H11" s="81"/>
      <c r="I11" s="81"/>
    </row>
    <row r="12" spans="1:14">
      <c r="A12" s="87" t="s">
        <v>129</v>
      </c>
      <c r="B12" s="88"/>
      <c r="C12" s="88"/>
      <c r="D12" s="88"/>
      <c r="E12" s="88"/>
      <c r="F12" s="88"/>
      <c r="G12" s="88"/>
      <c r="H12" s="88"/>
      <c r="I12" s="90">
        <f>SUM(I9:I11)</f>
        <v>0</v>
      </c>
    </row>
    <row r="13" spans="1:14" ht="9" customHeight="1">
      <c r="A13" s="81"/>
      <c r="B13" s="81"/>
      <c r="C13" s="81"/>
      <c r="D13" s="81"/>
      <c r="E13" s="81"/>
      <c r="F13" s="81"/>
      <c r="G13" s="81"/>
      <c r="H13" s="81"/>
      <c r="I13" s="81"/>
    </row>
    <row r="14" spans="1:14" ht="12.75" customHeight="1">
      <c r="A14" s="81" t="s">
        <v>130</v>
      </c>
      <c r="B14" s="81"/>
      <c r="C14" s="81"/>
      <c r="D14" s="81"/>
      <c r="E14" s="81"/>
      <c r="F14" s="81"/>
      <c r="G14" s="81"/>
      <c r="H14" s="81"/>
      <c r="I14" s="81"/>
    </row>
    <row r="15" spans="1:14" ht="12.75" customHeight="1">
      <c r="A15" s="81"/>
      <c r="B15" s="81" t="s">
        <v>131</v>
      </c>
      <c r="C15" s="81"/>
      <c r="D15" s="81"/>
      <c r="E15" s="82">
        <f>AVANCEVENDEDOR!G70</f>
        <v>326450</v>
      </c>
      <c r="F15" s="82"/>
      <c r="G15" s="81"/>
      <c r="H15" s="81"/>
      <c r="I15" s="81"/>
      <c r="N15" s="29">
        <v>350</v>
      </c>
    </row>
    <row r="16" spans="1:14" ht="12.75" customHeight="1">
      <c r="A16" s="81"/>
      <c r="B16" s="81" t="s">
        <v>132</v>
      </c>
      <c r="C16" s="81"/>
      <c r="D16" s="81"/>
      <c r="E16" s="82">
        <f>AVANCEVENDEDOR!F70</f>
        <v>251080</v>
      </c>
      <c r="F16" s="82"/>
      <c r="G16" s="91" t="s">
        <v>133</v>
      </c>
      <c r="H16" s="82">
        <f>+E16*100/E15</f>
        <v>76.91223770868433</v>
      </c>
      <c r="I16" s="81"/>
      <c r="N16" s="29">
        <v>130</v>
      </c>
    </row>
    <row r="17" spans="1:15" ht="12.75" customHeight="1">
      <c r="A17" s="81"/>
      <c r="B17" s="81"/>
      <c r="C17" s="81"/>
      <c r="D17" s="81"/>
      <c r="E17" s="81"/>
      <c r="F17" s="81"/>
      <c r="G17" s="91"/>
      <c r="H17" s="81"/>
      <c r="I17" s="81"/>
      <c r="N17" s="29">
        <f>N16+N15</f>
        <v>480</v>
      </c>
    </row>
    <row r="18" spans="1:15" ht="12.75" customHeight="1">
      <c r="A18" s="81"/>
      <c r="B18" s="81" t="s">
        <v>134</v>
      </c>
      <c r="C18" s="81"/>
      <c r="D18" s="81"/>
      <c r="E18" s="82">
        <f>AVANCEVENDEDOR!J70</f>
        <v>586746.33000000007</v>
      </c>
      <c r="F18" s="82"/>
      <c r="G18" s="91"/>
      <c r="H18" s="81"/>
      <c r="I18" s="81"/>
    </row>
    <row r="19" spans="1:15" ht="12.75" customHeight="1">
      <c r="A19" s="81"/>
      <c r="B19" s="81" t="s">
        <v>135</v>
      </c>
      <c r="C19" s="81"/>
      <c r="D19" s="81"/>
      <c r="E19" s="82">
        <f>AVANCEVENDEDOR!K70</f>
        <v>67824.350000000006</v>
      </c>
      <c r="F19" s="82"/>
      <c r="G19" s="91" t="s">
        <v>136</v>
      </c>
      <c r="H19" s="82">
        <f>+E19*100/E18</f>
        <v>11.5593991018231</v>
      </c>
      <c r="I19" s="82"/>
    </row>
    <row r="20" spans="1:15" ht="12.75" customHeight="1">
      <c r="A20" s="81"/>
      <c r="B20" s="81" t="s">
        <v>137</v>
      </c>
      <c r="C20" s="81"/>
      <c r="D20" s="81"/>
      <c r="E20" s="82">
        <f>AVANCEVENDEDOR!I70</f>
        <v>368518.39</v>
      </c>
      <c r="F20" s="82"/>
      <c r="G20" s="91"/>
      <c r="H20" s="81"/>
      <c r="I20" s="81"/>
    </row>
    <row r="21" spans="1:15" ht="12.75" customHeight="1">
      <c r="A21" s="81"/>
      <c r="B21" s="81"/>
      <c r="C21" s="81"/>
      <c r="D21" s="81"/>
      <c r="E21" s="81"/>
      <c r="F21" s="81"/>
      <c r="G21" s="91"/>
      <c r="H21" s="81"/>
      <c r="I21" s="81"/>
    </row>
    <row r="22" spans="1:15" ht="12.75" customHeight="1">
      <c r="A22" s="81"/>
      <c r="B22" s="81" t="s">
        <v>138</v>
      </c>
      <c r="C22" s="81"/>
      <c r="D22" s="81"/>
      <c r="E22" s="124">
        <v>12</v>
      </c>
      <c r="F22" s="82"/>
      <c r="G22" s="81"/>
      <c r="H22" s="82"/>
      <c r="I22" s="81"/>
    </row>
    <row r="23" spans="1:15" ht="12.75" customHeight="1">
      <c r="A23" s="81"/>
      <c r="B23" s="81" t="s">
        <v>139</v>
      </c>
      <c r="C23" s="81"/>
      <c r="D23" s="81"/>
      <c r="E23" s="124">
        <f>G37</f>
        <v>2</v>
      </c>
      <c r="F23" s="82"/>
      <c r="G23" s="91" t="s">
        <v>140</v>
      </c>
      <c r="H23" s="82">
        <f>+E23*100/E22</f>
        <v>16.666666666666668</v>
      </c>
      <c r="I23" s="81"/>
    </row>
    <row r="24" spans="1:15">
      <c r="A24" s="81"/>
      <c r="B24" s="81"/>
      <c r="C24" s="81"/>
      <c r="D24" s="81"/>
      <c r="E24" s="81"/>
      <c r="F24" s="81"/>
      <c r="G24" s="81"/>
      <c r="H24" s="81"/>
      <c r="I24" s="81"/>
      <c r="M24" s="97" t="s">
        <v>146</v>
      </c>
      <c r="N24" s="97" t="s">
        <v>210</v>
      </c>
    </row>
    <row r="25" spans="1:15" ht="13.5" customHeight="1">
      <c r="B25" s="125" t="s">
        <v>211</v>
      </c>
      <c r="C25" s="126" t="s">
        <v>210</v>
      </c>
      <c r="D25" s="125" t="s">
        <v>212</v>
      </c>
      <c r="E25" s="367" t="s">
        <v>213</v>
      </c>
      <c r="F25" s="367"/>
      <c r="G25" s="127"/>
      <c r="H25" s="81"/>
      <c r="I25" s="81"/>
      <c r="J25" s="29">
        <v>1</v>
      </c>
      <c r="K25" s="103">
        <v>32</v>
      </c>
      <c r="L25" s="128" t="s">
        <v>159</v>
      </c>
      <c r="M25" s="129">
        <v>10176.83</v>
      </c>
      <c r="N25" s="129">
        <v>20000</v>
      </c>
      <c r="O25" s="130">
        <v>11000</v>
      </c>
    </row>
    <row r="26" spans="1:15" ht="14.25" customHeight="1">
      <c r="A26" s="131">
        <f t="shared" ref="A26:A36" si="0">K25</f>
        <v>32</v>
      </c>
      <c r="B26" s="132" t="str">
        <f t="shared" ref="B26:B36" si="1">L25</f>
        <v>EGO</v>
      </c>
      <c r="C26" s="130">
        <f t="shared" ref="C26:C36" si="2">N25</f>
        <v>20000</v>
      </c>
      <c r="D26" s="133">
        <f t="shared" ref="D26:D36" si="3">M25</f>
        <v>10176.83</v>
      </c>
      <c r="E26" s="133">
        <f t="shared" ref="E26:E37" si="4">D26*100/C26</f>
        <v>50.884149999999998</v>
      </c>
      <c r="F26" s="134" t="s">
        <v>48</v>
      </c>
      <c r="G26" s="134">
        <f t="shared" ref="G26:G36" si="5">IF(E26&gt;=85,1,0)</f>
        <v>0</v>
      </c>
      <c r="H26" s="81"/>
      <c r="I26" s="81"/>
      <c r="J26" s="29">
        <v>2</v>
      </c>
      <c r="K26" s="103">
        <v>298</v>
      </c>
      <c r="L26" s="128" t="s">
        <v>162</v>
      </c>
      <c r="M26" s="129">
        <v>1886.44</v>
      </c>
      <c r="N26" s="129">
        <v>2300</v>
      </c>
      <c r="O26" s="130">
        <v>1000</v>
      </c>
    </row>
    <row r="27" spans="1:15" ht="14.25" customHeight="1">
      <c r="A27" s="131">
        <f t="shared" si="0"/>
        <v>298</v>
      </c>
      <c r="B27" s="132" t="str">
        <f t="shared" si="1"/>
        <v>GENOMMA LAB</v>
      </c>
      <c r="C27" s="130">
        <f t="shared" si="2"/>
        <v>2300</v>
      </c>
      <c r="D27" s="133">
        <f t="shared" si="3"/>
        <v>1886.44</v>
      </c>
      <c r="E27" s="133">
        <f t="shared" si="4"/>
        <v>82.01913043478261</v>
      </c>
      <c r="F27" s="134" t="s">
        <v>48</v>
      </c>
      <c r="G27" s="134">
        <f t="shared" si="5"/>
        <v>0</v>
      </c>
      <c r="H27" s="81"/>
      <c r="I27" s="81"/>
      <c r="J27" s="29">
        <v>3</v>
      </c>
      <c r="K27" s="103">
        <v>49</v>
      </c>
      <c r="L27" s="128" t="s">
        <v>214</v>
      </c>
      <c r="M27" s="129">
        <v>1056</v>
      </c>
      <c r="N27" s="129">
        <v>2000</v>
      </c>
      <c r="O27" s="130">
        <v>200</v>
      </c>
    </row>
    <row r="28" spans="1:15" ht="14.25" customHeight="1">
      <c r="A28" s="131">
        <f t="shared" si="0"/>
        <v>49</v>
      </c>
      <c r="B28" s="132" t="str">
        <f t="shared" si="1"/>
        <v>HAWAIIAN TROPIC</v>
      </c>
      <c r="C28" s="130">
        <f t="shared" si="2"/>
        <v>2000</v>
      </c>
      <c r="D28" s="133">
        <f t="shared" si="3"/>
        <v>1056</v>
      </c>
      <c r="E28" s="133">
        <f t="shared" si="4"/>
        <v>52.8</v>
      </c>
      <c r="F28" s="134" t="s">
        <v>48</v>
      </c>
      <c r="G28" s="134">
        <f t="shared" si="5"/>
        <v>0</v>
      </c>
      <c r="H28" s="81"/>
      <c r="I28" s="81"/>
      <c r="J28" s="29">
        <v>4</v>
      </c>
      <c r="K28" s="103">
        <v>52</v>
      </c>
      <c r="L28" s="128" t="s">
        <v>215</v>
      </c>
      <c r="M28" s="129">
        <v>33971.17</v>
      </c>
      <c r="N28" s="129">
        <v>85000</v>
      </c>
      <c r="O28" s="130">
        <v>112000</v>
      </c>
    </row>
    <row r="29" spans="1:15" ht="14.25" customHeight="1">
      <c r="A29" s="131">
        <f t="shared" si="0"/>
        <v>52</v>
      </c>
      <c r="B29" s="132" t="str">
        <f t="shared" si="1"/>
        <v>IACSA</v>
      </c>
      <c r="C29" s="130">
        <f t="shared" si="2"/>
        <v>85000</v>
      </c>
      <c r="D29" s="133">
        <f t="shared" si="3"/>
        <v>33971.17</v>
      </c>
      <c r="E29" s="133">
        <f t="shared" si="4"/>
        <v>39.966082352941179</v>
      </c>
      <c r="F29" s="134" t="s">
        <v>48</v>
      </c>
      <c r="G29" s="134">
        <f t="shared" si="5"/>
        <v>0</v>
      </c>
      <c r="H29" s="81"/>
      <c r="I29" s="81"/>
      <c r="J29" s="29">
        <v>5</v>
      </c>
      <c r="K29" s="103">
        <v>80</v>
      </c>
      <c r="L29" s="128" t="s">
        <v>178</v>
      </c>
      <c r="M29" s="129">
        <v>4395.2</v>
      </c>
      <c r="N29" s="129">
        <v>25000</v>
      </c>
      <c r="O29" s="130">
        <v>18000</v>
      </c>
    </row>
    <row r="30" spans="1:15" ht="14.25" customHeight="1">
      <c r="A30" s="131">
        <f t="shared" si="0"/>
        <v>80</v>
      </c>
      <c r="B30" s="132" t="str">
        <f t="shared" si="1"/>
        <v>MEDIFARMA CONSUMO</v>
      </c>
      <c r="C30" s="130">
        <f t="shared" si="2"/>
        <v>25000</v>
      </c>
      <c r="D30" s="133">
        <f t="shared" si="3"/>
        <v>4395.2</v>
      </c>
      <c r="E30" s="133">
        <f t="shared" si="4"/>
        <v>17.5808</v>
      </c>
      <c r="F30" s="134" t="s">
        <v>48</v>
      </c>
      <c r="G30" s="134">
        <f t="shared" si="5"/>
        <v>0</v>
      </c>
      <c r="H30" s="81"/>
      <c r="I30" s="81"/>
      <c r="J30" s="29">
        <v>6</v>
      </c>
      <c r="K30" s="103">
        <v>81</v>
      </c>
      <c r="L30" s="128" t="s">
        <v>179</v>
      </c>
      <c r="M30" s="129">
        <v>89984.33</v>
      </c>
      <c r="N30" s="129">
        <v>90000</v>
      </c>
      <c r="O30" s="130">
        <v>8500</v>
      </c>
    </row>
    <row r="31" spans="1:15" ht="14.25" customHeight="1">
      <c r="A31" s="131">
        <f t="shared" si="0"/>
        <v>81</v>
      </c>
      <c r="B31" s="132" t="str">
        <f t="shared" si="1"/>
        <v>MEDIFARMA FARPASA</v>
      </c>
      <c r="C31" s="130">
        <f t="shared" si="2"/>
        <v>90000</v>
      </c>
      <c r="D31" s="133">
        <f t="shared" si="3"/>
        <v>89984.33</v>
      </c>
      <c r="E31" s="133">
        <f t="shared" si="4"/>
        <v>99.982588888888884</v>
      </c>
      <c r="F31" s="134" t="s">
        <v>48</v>
      </c>
      <c r="G31" s="134">
        <f t="shared" si="5"/>
        <v>1</v>
      </c>
      <c r="H31" s="81"/>
      <c r="I31" s="81"/>
      <c r="J31" s="29">
        <v>7</v>
      </c>
      <c r="K31" s="103">
        <v>84</v>
      </c>
      <c r="L31" s="128" t="s">
        <v>182</v>
      </c>
      <c r="M31" s="129">
        <v>610.27</v>
      </c>
      <c r="N31" s="129">
        <v>2700</v>
      </c>
      <c r="O31" s="130">
        <v>60800</v>
      </c>
    </row>
    <row r="32" spans="1:15" ht="14.25" customHeight="1">
      <c r="A32" s="131">
        <f t="shared" si="0"/>
        <v>84</v>
      </c>
      <c r="B32" s="132" t="str">
        <f t="shared" si="1"/>
        <v>MEDIFARMA ZAIDMAN</v>
      </c>
      <c r="C32" s="130">
        <f t="shared" si="2"/>
        <v>2700</v>
      </c>
      <c r="D32" s="133">
        <f t="shared" si="3"/>
        <v>610.27</v>
      </c>
      <c r="E32" s="133">
        <f t="shared" si="4"/>
        <v>22.602592592592593</v>
      </c>
      <c r="F32" s="134" t="s">
        <v>48</v>
      </c>
      <c r="G32" s="134">
        <f t="shared" si="5"/>
        <v>0</v>
      </c>
      <c r="H32" s="81"/>
      <c r="I32" s="81"/>
      <c r="J32" s="29">
        <v>8</v>
      </c>
      <c r="K32" s="103">
        <v>106</v>
      </c>
      <c r="L32" s="128" t="s">
        <v>216</v>
      </c>
      <c r="M32" s="129">
        <v>11512.62</v>
      </c>
      <c r="N32" s="129">
        <v>16000</v>
      </c>
      <c r="O32" s="130">
        <v>4000</v>
      </c>
    </row>
    <row r="33" spans="1:17" ht="14.25" customHeight="1">
      <c r="A33" s="131">
        <f t="shared" si="0"/>
        <v>106</v>
      </c>
      <c r="B33" s="132" t="str">
        <f t="shared" si="1"/>
        <v>RECKITT BENCKISER</v>
      </c>
      <c r="C33" s="130">
        <f t="shared" si="2"/>
        <v>16000</v>
      </c>
      <c r="D33" s="133">
        <f t="shared" si="3"/>
        <v>11512.62</v>
      </c>
      <c r="E33" s="133">
        <f t="shared" si="4"/>
        <v>71.953874999999996</v>
      </c>
      <c r="F33" s="134" t="s">
        <v>48</v>
      </c>
      <c r="G33" s="134">
        <f t="shared" si="5"/>
        <v>0</v>
      </c>
      <c r="H33" s="81"/>
      <c r="I33" s="81"/>
      <c r="J33" s="29">
        <v>9</v>
      </c>
      <c r="K33" s="103">
        <v>253</v>
      </c>
      <c r="L33" s="128" t="s">
        <v>191</v>
      </c>
      <c r="M33" s="129">
        <v>9056.2199999999993</v>
      </c>
      <c r="N33" s="129">
        <v>9000</v>
      </c>
      <c r="O33" s="130">
        <v>1500</v>
      </c>
    </row>
    <row r="34" spans="1:17" ht="14.25" customHeight="1">
      <c r="A34" s="131">
        <f t="shared" si="0"/>
        <v>253</v>
      </c>
      <c r="B34" s="132" t="str">
        <f t="shared" si="1"/>
        <v>SANCELA - TENA</v>
      </c>
      <c r="C34" s="130">
        <f t="shared" si="2"/>
        <v>9000</v>
      </c>
      <c r="D34" s="133">
        <f t="shared" si="3"/>
        <v>9056.2199999999993</v>
      </c>
      <c r="E34" s="133">
        <f t="shared" si="4"/>
        <v>100.62466666666666</v>
      </c>
      <c r="F34" s="134" t="s">
        <v>48</v>
      </c>
      <c r="G34" s="134">
        <f t="shared" si="5"/>
        <v>1</v>
      </c>
      <c r="H34" s="81"/>
      <c r="I34" s="81"/>
      <c r="J34" s="29">
        <v>10</v>
      </c>
      <c r="K34" s="103">
        <v>109</v>
      </c>
      <c r="L34" s="128" t="s">
        <v>192</v>
      </c>
      <c r="M34" s="129">
        <v>66999.009999999995</v>
      </c>
      <c r="N34" s="129">
        <v>105000</v>
      </c>
      <c r="O34" s="130">
        <v>19500</v>
      </c>
    </row>
    <row r="35" spans="1:17" ht="14.25" customHeight="1">
      <c r="A35" s="131">
        <f t="shared" si="0"/>
        <v>109</v>
      </c>
      <c r="B35" s="132" t="str">
        <f t="shared" si="1"/>
        <v>SANCELA-NOSOTRAS</v>
      </c>
      <c r="C35" s="130">
        <f t="shared" si="2"/>
        <v>105000</v>
      </c>
      <c r="D35" s="133">
        <f t="shared" si="3"/>
        <v>66999.009999999995</v>
      </c>
      <c r="E35" s="133">
        <f t="shared" si="4"/>
        <v>63.808580952380943</v>
      </c>
      <c r="F35" s="134" t="s">
        <v>48</v>
      </c>
      <c r="G35" s="134">
        <f t="shared" si="5"/>
        <v>0</v>
      </c>
      <c r="H35" s="81"/>
      <c r="I35" s="81"/>
      <c r="J35" s="29">
        <v>11</v>
      </c>
      <c r="K35" s="103">
        <v>264</v>
      </c>
      <c r="L35" s="128" t="s">
        <v>194</v>
      </c>
      <c r="M35" s="129">
        <v>13850.9</v>
      </c>
      <c r="N35" s="129">
        <v>56000</v>
      </c>
      <c r="O35" s="130">
        <v>26500</v>
      </c>
    </row>
    <row r="36" spans="1:17" ht="14.25" customHeight="1">
      <c r="A36" s="131">
        <f t="shared" si="0"/>
        <v>264</v>
      </c>
      <c r="B36" s="132" t="str">
        <f t="shared" si="1"/>
        <v>SAVITAL</v>
      </c>
      <c r="C36" s="130">
        <f t="shared" si="2"/>
        <v>56000</v>
      </c>
      <c r="D36" s="133">
        <f t="shared" si="3"/>
        <v>13850.9</v>
      </c>
      <c r="E36" s="133">
        <f t="shared" si="4"/>
        <v>24.733750000000001</v>
      </c>
      <c r="F36" s="134" t="s">
        <v>48</v>
      </c>
      <c r="G36" s="134">
        <f t="shared" si="5"/>
        <v>0</v>
      </c>
      <c r="H36" s="81"/>
      <c r="I36" s="81"/>
      <c r="J36" s="29">
        <v>12</v>
      </c>
      <c r="K36" s="103">
        <v>114</v>
      </c>
      <c r="L36" s="128" t="s">
        <v>195</v>
      </c>
      <c r="M36" s="129">
        <v>30951.51</v>
      </c>
      <c r="N36" s="129">
        <v>31000</v>
      </c>
      <c r="O36" s="130">
        <v>14900</v>
      </c>
    </row>
    <row r="37" spans="1:17">
      <c r="A37" s="135"/>
      <c r="B37" s="136" t="s">
        <v>204</v>
      </c>
      <c r="C37" s="137">
        <f>E15</f>
        <v>326450</v>
      </c>
      <c r="D37" s="137">
        <f>E16</f>
        <v>251080</v>
      </c>
      <c r="E37" s="137">
        <f t="shared" si="4"/>
        <v>76.91223770868433</v>
      </c>
      <c r="F37" s="138"/>
      <c r="G37" s="139">
        <f>SUM(G26:G36)</f>
        <v>2</v>
      </c>
      <c r="M37" s="134"/>
      <c r="N37" s="134"/>
    </row>
    <row r="38" spans="1:17">
      <c r="P38" s="29">
        <v>250</v>
      </c>
      <c r="Q38" s="29">
        <v>62</v>
      </c>
    </row>
    <row r="39" spans="1:17">
      <c r="Q39" s="29">
        <f>Q38*P38</f>
        <v>15500</v>
      </c>
    </row>
    <row r="45" spans="1:17">
      <c r="E45" s="29">
        <f>57-33</f>
        <v>24</v>
      </c>
    </row>
  </sheetData>
  <mergeCells count="1">
    <mergeCell ref="E25:F25"/>
  </mergeCells>
  <pageMargins left="0.7" right="0.7" top="0.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61"/>
  <sheetViews>
    <sheetView zoomScale="120" zoomScaleNormal="120" workbookViewId="0">
      <selection activeCell="C7" sqref="C7"/>
    </sheetView>
  </sheetViews>
  <sheetFormatPr baseColWidth="10" defaultColWidth="8.85546875" defaultRowHeight="15"/>
  <cols>
    <col min="1" max="1" width="2.7109375" style="29" customWidth="1"/>
    <col min="2" max="2" width="19" style="29" customWidth="1"/>
    <col min="3" max="3" width="9.85546875" style="29" customWidth="1"/>
    <col min="4" max="4" width="12.140625" style="29" customWidth="1"/>
    <col min="5" max="5" width="9" style="29" customWidth="1"/>
    <col min="6" max="6" width="3.28515625" style="29" customWidth="1"/>
    <col min="7" max="7" width="10.5703125" style="29" customWidth="1"/>
    <col min="8" max="8" width="10" style="29" customWidth="1"/>
    <col min="9" max="9" width="9.5703125" style="29" customWidth="1"/>
    <col min="10" max="10" width="11.42578125" style="29"/>
    <col min="11" max="11" width="4.5703125" style="29" customWidth="1"/>
    <col min="12" max="1025" width="11.42578125" style="29"/>
  </cols>
  <sheetData>
    <row r="1" spans="1:9" ht="3" customHeight="1">
      <c r="A1" s="80"/>
      <c r="B1" s="81"/>
      <c r="C1" s="81"/>
      <c r="D1" s="81"/>
      <c r="E1" s="81"/>
      <c r="F1" s="81"/>
      <c r="G1" s="81"/>
      <c r="H1" s="81"/>
      <c r="I1" s="81"/>
    </row>
    <row r="2" spans="1:9">
      <c r="A2" s="80" t="s">
        <v>113</v>
      </c>
      <c r="B2" s="81"/>
      <c r="C2" s="81"/>
      <c r="D2" s="81"/>
      <c r="E2" s="81"/>
      <c r="F2" s="81"/>
      <c r="G2" s="81"/>
      <c r="H2" s="81"/>
      <c r="I2" s="81"/>
    </row>
    <row r="3" spans="1:9">
      <c r="A3" s="80" t="s">
        <v>114</v>
      </c>
      <c r="B3" s="81"/>
      <c r="C3" s="81"/>
      <c r="D3" s="81"/>
      <c r="E3" s="81"/>
      <c r="F3" s="81"/>
      <c r="G3" s="81"/>
      <c r="H3" s="81"/>
      <c r="I3" s="81"/>
    </row>
    <row r="4" spans="1:9" ht="6.75" customHeight="1">
      <c r="A4" s="81"/>
      <c r="B4" s="81"/>
      <c r="C4" s="81"/>
      <c r="D4" s="81"/>
      <c r="E4" s="81"/>
      <c r="F4" s="81"/>
      <c r="G4" s="81"/>
      <c r="H4" s="81"/>
      <c r="I4" s="81"/>
    </row>
    <row r="5" spans="1:9">
      <c r="A5" s="81" t="s">
        <v>115</v>
      </c>
      <c r="B5" s="81"/>
      <c r="C5" s="81"/>
      <c r="D5" s="81"/>
      <c r="E5" s="81"/>
      <c r="F5" s="81"/>
      <c r="G5" s="81"/>
      <c r="H5" s="81"/>
      <c r="I5" s="83">
        <v>42491</v>
      </c>
    </row>
    <row r="6" spans="1:9" ht="6.75" customHeight="1">
      <c r="A6" s="81"/>
      <c r="B6" s="81"/>
      <c r="C6" s="81"/>
      <c r="D6" s="81"/>
      <c r="E6" s="81"/>
      <c r="F6" s="81"/>
      <c r="G6" s="81"/>
      <c r="H6" s="81"/>
      <c r="I6" s="119"/>
    </row>
    <row r="7" spans="1:9">
      <c r="A7" s="81" t="s">
        <v>116</v>
      </c>
      <c r="B7" s="81"/>
      <c r="C7" s="84" t="s">
        <v>217</v>
      </c>
      <c r="D7" s="81"/>
      <c r="E7" s="81"/>
      <c r="F7" s="81"/>
      <c r="G7" s="81"/>
      <c r="H7" s="81"/>
      <c r="I7" s="81"/>
    </row>
    <row r="8" spans="1:9" ht="12.75" customHeight="1">
      <c r="A8" s="81"/>
      <c r="B8" s="81"/>
      <c r="C8" s="81"/>
      <c r="D8" s="81"/>
      <c r="E8" s="81"/>
      <c r="F8" s="81"/>
      <c r="G8" s="81"/>
      <c r="H8" s="81"/>
      <c r="I8" s="80" t="s">
        <v>118</v>
      </c>
    </row>
    <row r="9" spans="1:9" ht="6.75" customHeight="1">
      <c r="A9" s="81"/>
      <c r="B9" s="81"/>
      <c r="C9" s="81"/>
      <c r="D9" s="81"/>
      <c r="E9" s="81"/>
      <c r="F9" s="81"/>
      <c r="G9" s="81"/>
      <c r="H9" s="81"/>
      <c r="I9" s="81"/>
    </row>
    <row r="10" spans="1:9" ht="11.25" customHeight="1">
      <c r="A10" s="81" t="s">
        <v>119</v>
      </c>
      <c r="B10" s="81"/>
      <c r="C10" s="81"/>
      <c r="D10" s="81"/>
      <c r="E10" s="81"/>
      <c r="F10" s="81"/>
      <c r="G10" s="81"/>
      <c r="H10" s="81"/>
      <c r="I10" s="85">
        <v>750</v>
      </c>
    </row>
    <row r="11" spans="1:9" ht="11.25" customHeight="1">
      <c r="A11" s="81" t="s">
        <v>120</v>
      </c>
      <c r="B11" s="81"/>
      <c r="C11" s="81"/>
      <c r="D11" s="81"/>
      <c r="E11" s="86" t="s">
        <v>121</v>
      </c>
      <c r="F11" s="81"/>
      <c r="G11" s="86" t="s">
        <v>122</v>
      </c>
      <c r="H11" s="86" t="s">
        <v>123</v>
      </c>
      <c r="I11" s="85">
        <v>200</v>
      </c>
    </row>
    <row r="12" spans="1:9" ht="11.25" customHeight="1">
      <c r="A12" s="81" t="s">
        <v>124</v>
      </c>
      <c r="B12" s="81"/>
      <c r="C12" s="81"/>
      <c r="D12" s="81"/>
      <c r="E12" s="82">
        <v>400</v>
      </c>
      <c r="F12" s="81"/>
      <c r="G12" s="82">
        <v>85</v>
      </c>
      <c r="H12" s="82">
        <f>+H25</f>
        <v>76.91223770868433</v>
      </c>
      <c r="I12" s="85">
        <f>IF(H12&gt;G12,E12,0)</f>
        <v>0</v>
      </c>
    </row>
    <row r="13" spans="1:9" ht="11.25" customHeight="1">
      <c r="A13" s="81" t="s">
        <v>125</v>
      </c>
      <c r="B13" s="81"/>
      <c r="C13" s="81"/>
      <c r="D13" s="81"/>
      <c r="E13" s="82">
        <v>400</v>
      </c>
      <c r="F13" s="81"/>
      <c r="G13" s="82">
        <v>5</v>
      </c>
      <c r="H13" s="82">
        <f>+H28</f>
        <v>11.5593991018231</v>
      </c>
      <c r="I13" s="85">
        <v>0</v>
      </c>
    </row>
    <row r="14" spans="1:9" ht="11.25" customHeight="1">
      <c r="A14" s="81" t="s">
        <v>126</v>
      </c>
      <c r="B14" s="81"/>
      <c r="C14" s="81"/>
      <c r="D14" s="81"/>
      <c r="E14" s="82">
        <v>200</v>
      </c>
      <c r="F14" s="81"/>
      <c r="G14" s="82">
        <v>90</v>
      </c>
      <c r="H14" s="82">
        <f>+H32</f>
        <v>43.75</v>
      </c>
      <c r="I14" s="85">
        <f>IF(H14&gt;=G14,E25*E14%,0)</f>
        <v>0</v>
      </c>
    </row>
    <row r="15" spans="1:9" ht="11.25" customHeight="1">
      <c r="A15" s="81" t="s">
        <v>127</v>
      </c>
      <c r="B15" s="81"/>
      <c r="C15" s="81"/>
      <c r="D15" s="81"/>
      <c r="E15" s="81"/>
      <c r="F15" s="81"/>
      <c r="G15" s="81"/>
      <c r="H15" s="81"/>
      <c r="I15" s="85">
        <v>150</v>
      </c>
    </row>
    <row r="16" spans="1:9" ht="11.25" customHeight="1">
      <c r="A16" s="81" t="s">
        <v>128</v>
      </c>
      <c r="B16" s="81"/>
      <c r="C16" s="81"/>
      <c r="D16" s="81"/>
      <c r="E16" s="81"/>
      <c r="F16" s="81"/>
      <c r="G16" s="81"/>
      <c r="H16" s="81"/>
      <c r="I16" s="81"/>
    </row>
    <row r="17" spans="1:9" ht="11.25" customHeight="1">
      <c r="A17" s="81"/>
      <c r="B17" s="81"/>
      <c r="C17" s="81"/>
      <c r="D17" s="81"/>
      <c r="E17" s="81"/>
      <c r="F17" s="81"/>
      <c r="G17" s="81"/>
      <c r="H17" s="81"/>
      <c r="I17" s="81"/>
    </row>
    <row r="18" spans="1:9" ht="11.25" customHeight="1">
      <c r="A18" s="81"/>
      <c r="B18" s="81" t="s">
        <v>208</v>
      </c>
      <c r="C18" s="81"/>
      <c r="D18" s="81"/>
      <c r="E18" s="81"/>
      <c r="F18" s="81"/>
      <c r="G18" s="81"/>
      <c r="H18" s="81"/>
      <c r="I18" s="81"/>
    </row>
    <row r="19" spans="1:9" ht="11.25" customHeight="1">
      <c r="A19" s="120"/>
      <c r="B19" s="121" t="s">
        <v>209</v>
      </c>
      <c r="C19" s="81"/>
      <c r="D19" s="81"/>
      <c r="E19" s="140">
        <v>25516.48</v>
      </c>
      <c r="F19" s="81"/>
      <c r="G19" s="81"/>
      <c r="H19" s="123">
        <v>0.01</v>
      </c>
      <c r="I19" s="81">
        <f>H19*E19</f>
        <v>255.16480000000001</v>
      </c>
    </row>
    <row r="20" spans="1:9" ht="6" customHeight="1">
      <c r="A20" s="81"/>
      <c r="B20" s="81"/>
      <c r="C20" s="81"/>
      <c r="D20" s="81"/>
      <c r="E20" s="81"/>
      <c r="F20" s="81"/>
      <c r="G20" s="81"/>
      <c r="H20" s="81"/>
      <c r="I20" s="81"/>
    </row>
    <row r="21" spans="1:9">
      <c r="A21" s="87" t="s">
        <v>129</v>
      </c>
      <c r="B21" s="88"/>
      <c r="C21" s="88"/>
      <c r="D21" s="88"/>
      <c r="E21" s="88"/>
      <c r="F21" s="88"/>
      <c r="G21" s="88"/>
      <c r="H21" s="88"/>
      <c r="I21" s="90">
        <f>SUM(I10:I20)</f>
        <v>1355.1648</v>
      </c>
    </row>
    <row r="22" spans="1:9" ht="9" customHeight="1">
      <c r="A22" s="81"/>
      <c r="B22" s="81"/>
      <c r="C22" s="81"/>
      <c r="D22" s="81"/>
      <c r="E22" s="81"/>
      <c r="F22" s="81"/>
      <c r="G22" s="81"/>
      <c r="H22" s="81"/>
      <c r="I22" s="81"/>
    </row>
    <row r="23" spans="1:9" ht="12.75" customHeight="1">
      <c r="A23" s="81" t="s">
        <v>130</v>
      </c>
      <c r="B23" s="81"/>
      <c r="C23" s="81"/>
      <c r="D23" s="81"/>
      <c r="E23" s="81"/>
      <c r="F23" s="81"/>
      <c r="G23" s="81"/>
      <c r="H23" s="81"/>
      <c r="I23" s="81"/>
    </row>
    <row r="24" spans="1:9" ht="12.75" customHeight="1">
      <c r="A24" s="81"/>
      <c r="B24" s="81" t="s">
        <v>131</v>
      </c>
      <c r="C24" s="81"/>
      <c r="D24" s="81"/>
      <c r="E24" s="82">
        <f>AVANCEVENDEDOR!G70</f>
        <v>326450</v>
      </c>
      <c r="F24" s="82"/>
      <c r="G24" s="81"/>
      <c r="H24" s="81"/>
      <c r="I24" s="81"/>
    </row>
    <row r="25" spans="1:9" ht="12.75" customHeight="1">
      <c r="A25" s="81"/>
      <c r="B25" s="81" t="s">
        <v>132</v>
      </c>
      <c r="C25" s="81"/>
      <c r="D25" s="81"/>
      <c r="E25" s="82">
        <f>AVANCEVENDEDOR!F70</f>
        <v>251080</v>
      </c>
      <c r="F25" s="82"/>
      <c r="G25" s="91" t="s">
        <v>133</v>
      </c>
      <c r="H25" s="82">
        <f>+E25*100/E24</f>
        <v>76.91223770868433</v>
      </c>
      <c r="I25" s="81"/>
    </row>
    <row r="26" spans="1:9" ht="12.75" customHeight="1">
      <c r="A26" s="81"/>
      <c r="B26" s="81"/>
      <c r="C26" s="81"/>
      <c r="D26" s="81"/>
      <c r="E26" s="81"/>
      <c r="F26" s="81"/>
      <c r="G26" s="91"/>
      <c r="H26" s="81"/>
      <c r="I26" s="81"/>
    </row>
    <row r="27" spans="1:9" ht="12.75" customHeight="1">
      <c r="A27" s="81"/>
      <c r="B27" s="81" t="s">
        <v>134</v>
      </c>
      <c r="C27" s="81"/>
      <c r="D27" s="81"/>
      <c r="E27" s="82">
        <f>AVANCEVENDEDOR!J70</f>
        <v>586746.33000000007</v>
      </c>
      <c r="F27" s="82"/>
      <c r="G27" s="91"/>
      <c r="H27" s="81"/>
      <c r="I27" s="81"/>
    </row>
    <row r="28" spans="1:9" ht="12.75" customHeight="1">
      <c r="A28" s="81"/>
      <c r="B28" s="81" t="s">
        <v>135</v>
      </c>
      <c r="C28" s="81"/>
      <c r="D28" s="81"/>
      <c r="E28" s="82">
        <f>AVANCEVENDEDOR!K70</f>
        <v>67824.350000000006</v>
      </c>
      <c r="F28" s="82"/>
      <c r="G28" s="91" t="s">
        <v>136</v>
      </c>
      <c r="H28" s="82">
        <f>+E28*100/E27</f>
        <v>11.5593991018231</v>
      </c>
      <c r="I28" s="82"/>
    </row>
    <row r="29" spans="1:9" ht="12.75" customHeight="1">
      <c r="A29" s="81"/>
      <c r="B29" s="81" t="s">
        <v>137</v>
      </c>
      <c r="C29" s="81"/>
      <c r="D29" s="81"/>
      <c r="E29" s="82">
        <f>AVANCEVENDEDOR!I70</f>
        <v>368518.39</v>
      </c>
      <c r="F29" s="82"/>
      <c r="G29" s="91"/>
      <c r="H29" s="81"/>
      <c r="I29" s="81"/>
    </row>
    <row r="30" spans="1:9" ht="12.75" customHeight="1">
      <c r="A30" s="81"/>
      <c r="B30" s="81"/>
      <c r="C30" s="81"/>
      <c r="D30" s="81"/>
      <c r="E30" s="81"/>
      <c r="F30" s="81"/>
      <c r="G30" s="91"/>
      <c r="H30" s="81"/>
      <c r="I30" s="81"/>
    </row>
    <row r="31" spans="1:9" ht="12.75" customHeight="1">
      <c r="A31" s="81"/>
      <c r="B31" s="81" t="s">
        <v>138</v>
      </c>
      <c r="C31" s="81"/>
      <c r="D31" s="81"/>
      <c r="E31" s="124">
        <v>16</v>
      </c>
      <c r="F31" s="82"/>
      <c r="G31" s="81"/>
      <c r="H31" s="82"/>
      <c r="I31" s="81"/>
    </row>
    <row r="32" spans="1:9" ht="12.75" customHeight="1">
      <c r="A32" s="81"/>
      <c r="B32" s="81" t="s">
        <v>139</v>
      </c>
      <c r="C32" s="81"/>
      <c r="D32" s="81"/>
      <c r="E32" s="124">
        <f>G53</f>
        <v>7</v>
      </c>
      <c r="F32" s="82"/>
      <c r="G32" s="91" t="s">
        <v>140</v>
      </c>
      <c r="H32" s="82">
        <f>+E32*100/E31</f>
        <v>43.75</v>
      </c>
      <c r="I32" s="81"/>
    </row>
    <row r="33" spans="1:15">
      <c r="A33" s="81"/>
      <c r="B33" s="81"/>
      <c r="C33" s="81"/>
      <c r="D33" s="81"/>
      <c r="E33" s="81"/>
      <c r="F33" s="81"/>
      <c r="G33" s="81"/>
      <c r="H33" s="81"/>
      <c r="I33" s="81"/>
      <c r="M33" s="97" t="s">
        <v>146</v>
      </c>
      <c r="N33" s="141" t="s">
        <v>147</v>
      </c>
    </row>
    <row r="34" spans="1:15" ht="13.5" customHeight="1">
      <c r="B34" s="125" t="s">
        <v>211</v>
      </c>
      <c r="C34" s="126" t="s">
        <v>210</v>
      </c>
      <c r="D34" s="125" t="s">
        <v>212</v>
      </c>
      <c r="E34" s="367" t="s">
        <v>213</v>
      </c>
      <c r="F34" s="367"/>
      <c r="G34" s="127"/>
      <c r="H34" s="81"/>
      <c r="I34" s="81"/>
      <c r="J34" s="29">
        <v>1</v>
      </c>
      <c r="K34" s="103">
        <v>9</v>
      </c>
      <c r="L34" s="128" t="s">
        <v>218</v>
      </c>
      <c r="M34" s="29">
        <v>7440.13</v>
      </c>
      <c r="N34" s="29">
        <v>8300</v>
      </c>
      <c r="O34" s="130">
        <v>11000</v>
      </c>
    </row>
    <row r="35" spans="1:15" ht="14.25" customHeight="1">
      <c r="A35" s="131">
        <f t="shared" ref="A35:A52" si="0">K34</f>
        <v>9</v>
      </c>
      <c r="B35" s="132" t="str">
        <f t="shared" ref="B35:B52" si="1">L34</f>
        <v>ALTOMAYO</v>
      </c>
      <c r="C35" s="130">
        <f t="shared" ref="C35:C52" si="2">N34</f>
        <v>8300</v>
      </c>
      <c r="D35" s="133">
        <f t="shared" ref="D35:D52" si="3">M34</f>
        <v>7440.13</v>
      </c>
      <c r="E35" s="133">
        <f>D35*100/C35</f>
        <v>89.64012048192771</v>
      </c>
      <c r="F35" s="134" t="s">
        <v>48</v>
      </c>
      <c r="G35" s="134">
        <f t="shared" ref="G35:G52" si="4">IF(E35&gt;=85,1,0)</f>
        <v>1</v>
      </c>
      <c r="H35" s="81"/>
      <c r="I35" s="81"/>
      <c r="J35" s="29">
        <v>2</v>
      </c>
      <c r="K35" s="103">
        <v>276</v>
      </c>
      <c r="L35" s="128" t="s">
        <v>158</v>
      </c>
      <c r="M35" s="29">
        <v>180.57</v>
      </c>
      <c r="N35" s="29">
        <v>300</v>
      </c>
      <c r="O35" s="130">
        <v>1000</v>
      </c>
    </row>
    <row r="36" spans="1:15" ht="14.25" customHeight="1">
      <c r="A36" s="131">
        <f t="shared" si="0"/>
        <v>276</v>
      </c>
      <c r="B36" s="132" t="str">
        <f t="shared" si="1"/>
        <v>DROKASA</v>
      </c>
      <c r="C36" s="130">
        <f t="shared" si="2"/>
        <v>300</v>
      </c>
      <c r="D36" s="133">
        <f t="shared" si="3"/>
        <v>180.57</v>
      </c>
      <c r="E36" s="133">
        <f>D36*100/C36</f>
        <v>60.19</v>
      </c>
      <c r="F36" s="134" t="s">
        <v>48</v>
      </c>
      <c r="G36" s="134">
        <f t="shared" si="4"/>
        <v>0</v>
      </c>
      <c r="H36" s="81"/>
      <c r="I36" s="81"/>
      <c r="J36" s="29">
        <v>3</v>
      </c>
      <c r="K36" s="103">
        <v>32</v>
      </c>
      <c r="L36" s="128" t="s">
        <v>159</v>
      </c>
      <c r="M36" s="29">
        <v>8726.06</v>
      </c>
      <c r="N36" s="29">
        <v>25000</v>
      </c>
      <c r="O36" s="130">
        <v>27000</v>
      </c>
    </row>
    <row r="37" spans="1:15" ht="14.25" customHeight="1">
      <c r="A37" s="131">
        <f t="shared" si="0"/>
        <v>32</v>
      </c>
      <c r="B37" s="132" t="str">
        <f t="shared" si="1"/>
        <v>EGO</v>
      </c>
      <c r="C37" s="130">
        <f t="shared" si="2"/>
        <v>25000</v>
      </c>
      <c r="D37" s="133">
        <f t="shared" si="3"/>
        <v>8726.06</v>
      </c>
      <c r="E37" s="133">
        <v>0</v>
      </c>
      <c r="F37" s="134" t="s">
        <v>48</v>
      </c>
      <c r="G37" s="134">
        <f t="shared" si="4"/>
        <v>0</v>
      </c>
      <c r="H37" s="81"/>
      <c r="I37" s="81"/>
      <c r="J37" s="29">
        <v>4</v>
      </c>
      <c r="K37" s="103">
        <v>49</v>
      </c>
      <c r="L37" s="128" t="s">
        <v>214</v>
      </c>
      <c r="M37" s="29">
        <v>635.41999999999996</v>
      </c>
      <c r="N37" s="29">
        <v>1300</v>
      </c>
      <c r="O37" s="130">
        <v>200</v>
      </c>
    </row>
    <row r="38" spans="1:15" ht="14.25" customHeight="1">
      <c r="A38" s="131">
        <f t="shared" si="0"/>
        <v>49</v>
      </c>
      <c r="B38" s="132" t="str">
        <f t="shared" si="1"/>
        <v>HAWAIIAN TROPIC</v>
      </c>
      <c r="C38" s="130">
        <f t="shared" si="2"/>
        <v>1300</v>
      </c>
      <c r="D38" s="133">
        <f t="shared" si="3"/>
        <v>635.41999999999996</v>
      </c>
      <c r="E38" s="133">
        <f t="shared" ref="E38:E43" si="5">D38*100/C38</f>
        <v>48.878461538461536</v>
      </c>
      <c r="F38" s="134" t="s">
        <v>48</v>
      </c>
      <c r="G38" s="134">
        <f t="shared" si="4"/>
        <v>0</v>
      </c>
      <c r="H38" s="81"/>
      <c r="I38" s="81"/>
      <c r="J38" s="29">
        <v>5</v>
      </c>
      <c r="K38" s="103">
        <v>52</v>
      </c>
      <c r="L38" s="128" t="s">
        <v>215</v>
      </c>
      <c r="M38" s="29">
        <v>61222.36</v>
      </c>
      <c r="N38" s="29">
        <v>83500</v>
      </c>
      <c r="O38" s="130">
        <v>112000</v>
      </c>
    </row>
    <row r="39" spans="1:15" ht="14.25" customHeight="1">
      <c r="A39" s="131">
        <f t="shared" si="0"/>
        <v>52</v>
      </c>
      <c r="B39" s="132" t="str">
        <f t="shared" si="1"/>
        <v>IACSA</v>
      </c>
      <c r="C39" s="130">
        <f t="shared" si="2"/>
        <v>83500</v>
      </c>
      <c r="D39" s="133">
        <f t="shared" si="3"/>
        <v>61222.36</v>
      </c>
      <c r="E39" s="133">
        <f t="shared" si="5"/>
        <v>73.320191616766465</v>
      </c>
      <c r="F39" s="134" t="s">
        <v>48</v>
      </c>
      <c r="G39" s="134">
        <f t="shared" si="4"/>
        <v>0</v>
      </c>
      <c r="H39" s="81"/>
      <c r="I39" s="81"/>
      <c r="J39" s="29">
        <v>6</v>
      </c>
      <c r="K39" s="103">
        <v>80</v>
      </c>
      <c r="L39" s="128" t="s">
        <v>178</v>
      </c>
      <c r="M39" s="29">
        <v>3719.79</v>
      </c>
      <c r="N39" s="29">
        <v>21000</v>
      </c>
      <c r="O39" s="130">
        <v>18000</v>
      </c>
    </row>
    <row r="40" spans="1:15" ht="14.25" customHeight="1">
      <c r="A40" s="131">
        <f t="shared" si="0"/>
        <v>80</v>
      </c>
      <c r="B40" s="132" t="str">
        <f t="shared" si="1"/>
        <v>MEDIFARMA CONSUMO</v>
      </c>
      <c r="C40" s="130">
        <f t="shared" si="2"/>
        <v>21000</v>
      </c>
      <c r="D40" s="133">
        <f t="shared" si="3"/>
        <v>3719.79</v>
      </c>
      <c r="E40" s="133">
        <f t="shared" si="5"/>
        <v>17.713285714285714</v>
      </c>
      <c r="F40" s="134" t="s">
        <v>48</v>
      </c>
      <c r="G40" s="134">
        <f t="shared" si="4"/>
        <v>0</v>
      </c>
      <c r="H40" s="81"/>
      <c r="I40" s="81"/>
      <c r="J40" s="29">
        <v>7</v>
      </c>
      <c r="K40" s="103">
        <v>81</v>
      </c>
      <c r="L40" s="128" t="s">
        <v>179</v>
      </c>
      <c r="M40" s="29">
        <v>31973.53</v>
      </c>
      <c r="N40" s="29">
        <v>42500</v>
      </c>
      <c r="O40" s="130">
        <v>8500</v>
      </c>
    </row>
    <row r="41" spans="1:15" ht="14.25" customHeight="1">
      <c r="A41" s="131">
        <f t="shared" si="0"/>
        <v>81</v>
      </c>
      <c r="B41" s="132" t="str">
        <f t="shared" si="1"/>
        <v>MEDIFARMA FARPASA</v>
      </c>
      <c r="C41" s="130">
        <f t="shared" si="2"/>
        <v>42500</v>
      </c>
      <c r="D41" s="133">
        <f t="shared" si="3"/>
        <v>31973.53</v>
      </c>
      <c r="E41" s="133">
        <f t="shared" si="5"/>
        <v>75.231835294117644</v>
      </c>
      <c r="F41" s="134" t="s">
        <v>48</v>
      </c>
      <c r="G41" s="134">
        <f t="shared" si="4"/>
        <v>0</v>
      </c>
      <c r="H41" s="81"/>
      <c r="I41" s="81"/>
      <c r="J41" s="29">
        <v>8</v>
      </c>
      <c r="K41" s="103">
        <v>84</v>
      </c>
      <c r="L41" s="128" t="s">
        <v>182</v>
      </c>
      <c r="M41" s="29">
        <v>1489.54</v>
      </c>
      <c r="N41" s="29">
        <v>1500</v>
      </c>
      <c r="O41" s="130">
        <v>60800</v>
      </c>
    </row>
    <row r="42" spans="1:15" ht="14.25" customHeight="1">
      <c r="A42" s="131">
        <f t="shared" si="0"/>
        <v>84</v>
      </c>
      <c r="B42" s="132" t="str">
        <f t="shared" si="1"/>
        <v>MEDIFARMA ZAIDMAN</v>
      </c>
      <c r="C42" s="130">
        <f t="shared" si="2"/>
        <v>1500</v>
      </c>
      <c r="D42" s="133">
        <f t="shared" si="3"/>
        <v>1489.54</v>
      </c>
      <c r="E42" s="133">
        <f t="shared" si="5"/>
        <v>99.302666666666667</v>
      </c>
      <c r="F42" s="134" t="s">
        <v>48</v>
      </c>
      <c r="G42" s="134">
        <f t="shared" si="4"/>
        <v>1</v>
      </c>
      <c r="H42" s="81"/>
      <c r="I42" s="81"/>
      <c r="J42" s="29">
        <v>9</v>
      </c>
      <c r="K42" s="103">
        <v>265</v>
      </c>
      <c r="L42" s="128" t="s">
        <v>219</v>
      </c>
      <c r="M42" s="29">
        <v>101.34</v>
      </c>
      <c r="N42" s="29">
        <v>1000</v>
      </c>
      <c r="O42" s="130">
        <v>4000</v>
      </c>
    </row>
    <row r="43" spans="1:15" ht="14.25" customHeight="1">
      <c r="A43" s="131">
        <f t="shared" si="0"/>
        <v>265</v>
      </c>
      <c r="B43" s="132" t="str">
        <f t="shared" si="1"/>
        <v>MONSTER</v>
      </c>
      <c r="C43" s="130">
        <f t="shared" si="2"/>
        <v>1000</v>
      </c>
      <c r="D43" s="133">
        <f t="shared" si="3"/>
        <v>101.34</v>
      </c>
      <c r="E43" s="133">
        <f t="shared" si="5"/>
        <v>10.134</v>
      </c>
      <c r="F43" s="134" t="s">
        <v>48</v>
      </c>
      <c r="G43" s="134">
        <f t="shared" si="4"/>
        <v>0</v>
      </c>
      <c r="H43" s="81"/>
      <c r="I43" s="81"/>
      <c r="J43" s="29">
        <v>10</v>
      </c>
      <c r="K43" s="103">
        <v>254</v>
      </c>
      <c r="L43" s="128" t="s">
        <v>220</v>
      </c>
      <c r="M43" s="29">
        <v>25955.7</v>
      </c>
      <c r="N43" s="29">
        <v>17800</v>
      </c>
      <c r="O43" s="130">
        <v>1500</v>
      </c>
    </row>
    <row r="44" spans="1:15" ht="14.25" customHeight="1">
      <c r="A44" s="131">
        <f t="shared" si="0"/>
        <v>254</v>
      </c>
      <c r="B44" s="132" t="str">
        <f t="shared" si="1"/>
        <v>MONTEALTO</v>
      </c>
      <c r="C44" s="130">
        <f t="shared" si="2"/>
        <v>17800</v>
      </c>
      <c r="D44" s="133">
        <f t="shared" si="3"/>
        <v>25955.7</v>
      </c>
      <c r="E44" s="133">
        <v>0</v>
      </c>
      <c r="F44" s="134" t="s">
        <v>48</v>
      </c>
      <c r="G44" s="134">
        <f t="shared" si="4"/>
        <v>0</v>
      </c>
      <c r="H44" s="81"/>
      <c r="I44" s="81"/>
      <c r="J44" s="29">
        <v>11</v>
      </c>
      <c r="K44" s="103">
        <v>101</v>
      </c>
      <c r="L44" s="128" t="s">
        <v>189</v>
      </c>
      <c r="M44" s="29">
        <v>57.18</v>
      </c>
      <c r="N44" s="29">
        <v>200</v>
      </c>
      <c r="O44" s="130">
        <v>19500</v>
      </c>
    </row>
    <row r="45" spans="1:15" ht="14.25" customHeight="1">
      <c r="A45" s="131">
        <f t="shared" si="0"/>
        <v>101</v>
      </c>
      <c r="B45" s="132" t="str">
        <f t="shared" si="1"/>
        <v>PORTUGAL</v>
      </c>
      <c r="C45" s="130">
        <f t="shared" si="2"/>
        <v>200</v>
      </c>
      <c r="D45" s="133">
        <f t="shared" si="3"/>
        <v>57.18</v>
      </c>
      <c r="E45" s="133">
        <v>0</v>
      </c>
      <c r="F45" s="134" t="s">
        <v>48</v>
      </c>
      <c r="G45" s="134">
        <f t="shared" si="4"/>
        <v>0</v>
      </c>
      <c r="H45" s="81"/>
      <c r="I45" s="81"/>
      <c r="J45" s="29">
        <v>12</v>
      </c>
      <c r="K45" s="103">
        <v>289</v>
      </c>
      <c r="L45" s="128" t="s">
        <v>221</v>
      </c>
      <c r="M45" s="29">
        <v>37544.300000000003</v>
      </c>
      <c r="N45" s="29">
        <v>11100</v>
      </c>
      <c r="O45" s="130">
        <v>26500</v>
      </c>
    </row>
    <row r="46" spans="1:15" ht="14.25" customHeight="1">
      <c r="A46" s="131">
        <f t="shared" si="0"/>
        <v>289</v>
      </c>
      <c r="B46" s="132" t="str">
        <f t="shared" si="1"/>
        <v>PRODUCTOS FAMILIA</v>
      </c>
      <c r="C46" s="130">
        <f t="shared" si="2"/>
        <v>11100</v>
      </c>
      <c r="D46" s="133">
        <f t="shared" si="3"/>
        <v>37544.300000000003</v>
      </c>
      <c r="E46" s="133">
        <f t="shared" ref="E46:E53" si="6">D46*100/C46</f>
        <v>338.23693693693696</v>
      </c>
      <c r="F46" s="134" t="s">
        <v>48</v>
      </c>
      <c r="G46" s="134">
        <f t="shared" si="4"/>
        <v>1</v>
      </c>
      <c r="H46" s="81"/>
      <c r="I46" s="81"/>
      <c r="J46" s="29">
        <v>13</v>
      </c>
      <c r="K46" s="103">
        <v>106</v>
      </c>
      <c r="L46" s="128" t="s">
        <v>216</v>
      </c>
      <c r="M46" s="29">
        <v>17677.52</v>
      </c>
      <c r="N46" s="29">
        <v>28000</v>
      </c>
      <c r="O46" s="130">
        <v>14900</v>
      </c>
    </row>
    <row r="47" spans="1:15" ht="14.25" customHeight="1">
      <c r="A47" s="131">
        <f t="shared" si="0"/>
        <v>106</v>
      </c>
      <c r="B47" s="132" t="str">
        <f t="shared" si="1"/>
        <v>RECKITT BENCKISER</v>
      </c>
      <c r="C47" s="130">
        <f t="shared" si="2"/>
        <v>28000</v>
      </c>
      <c r="D47" s="133">
        <f t="shared" si="3"/>
        <v>17677.52</v>
      </c>
      <c r="E47" s="133">
        <f t="shared" si="6"/>
        <v>63.134</v>
      </c>
      <c r="F47" s="134" t="s">
        <v>48</v>
      </c>
      <c r="G47" s="134">
        <f t="shared" si="4"/>
        <v>0</v>
      </c>
      <c r="H47" s="81"/>
      <c r="I47" s="81"/>
      <c r="J47" s="29">
        <v>14</v>
      </c>
      <c r="K47" s="103">
        <v>253</v>
      </c>
      <c r="L47" s="128" t="s">
        <v>191</v>
      </c>
      <c r="M47" s="29">
        <v>7954.75</v>
      </c>
      <c r="N47" s="29">
        <v>9000</v>
      </c>
      <c r="O47" s="130">
        <v>59000</v>
      </c>
    </row>
    <row r="48" spans="1:15" ht="14.25" customHeight="1">
      <c r="A48" s="131">
        <f t="shared" si="0"/>
        <v>253</v>
      </c>
      <c r="B48" s="132" t="str">
        <f t="shared" si="1"/>
        <v>SANCELA - TENA</v>
      </c>
      <c r="C48" s="130">
        <f t="shared" si="2"/>
        <v>9000</v>
      </c>
      <c r="D48" s="133">
        <f t="shared" si="3"/>
        <v>7954.75</v>
      </c>
      <c r="E48" s="133">
        <f t="shared" si="6"/>
        <v>88.386111111111106</v>
      </c>
      <c r="F48" s="134" t="s">
        <v>48</v>
      </c>
      <c r="G48" s="134">
        <f t="shared" si="4"/>
        <v>1</v>
      </c>
      <c r="H48" s="81"/>
      <c r="I48" s="81"/>
      <c r="J48" s="29">
        <v>15</v>
      </c>
      <c r="K48" s="103">
        <v>109</v>
      </c>
      <c r="L48" s="128" t="s">
        <v>192</v>
      </c>
      <c r="M48" s="29">
        <v>124844.51</v>
      </c>
      <c r="N48" s="29">
        <v>66000</v>
      </c>
      <c r="O48" s="130">
        <v>38000</v>
      </c>
    </row>
    <row r="49" spans="1:17" ht="14.25" customHeight="1">
      <c r="A49" s="131">
        <f t="shared" si="0"/>
        <v>109</v>
      </c>
      <c r="B49" s="132" t="str">
        <f t="shared" si="1"/>
        <v>SANCELA-NOSOTRAS</v>
      </c>
      <c r="C49" s="130">
        <f t="shared" si="2"/>
        <v>66000</v>
      </c>
      <c r="D49" s="133">
        <f t="shared" si="3"/>
        <v>124844.51</v>
      </c>
      <c r="E49" s="133">
        <f t="shared" si="6"/>
        <v>189.15834848484849</v>
      </c>
      <c r="F49" s="134" t="s">
        <v>48</v>
      </c>
      <c r="G49" s="134">
        <f t="shared" si="4"/>
        <v>1</v>
      </c>
      <c r="J49" s="29">
        <v>16</v>
      </c>
      <c r="K49" s="103">
        <v>264</v>
      </c>
      <c r="L49" s="128" t="s">
        <v>194</v>
      </c>
      <c r="M49" s="29">
        <v>50873.1</v>
      </c>
      <c r="N49" s="29">
        <v>78000</v>
      </c>
      <c r="O49" s="130">
        <v>35500</v>
      </c>
    </row>
    <row r="50" spans="1:17" ht="14.25" customHeight="1">
      <c r="A50" s="131">
        <f t="shared" si="0"/>
        <v>264</v>
      </c>
      <c r="B50" s="132" t="str">
        <f t="shared" si="1"/>
        <v>SAVITAL</v>
      </c>
      <c r="C50" s="130">
        <f t="shared" si="2"/>
        <v>78000</v>
      </c>
      <c r="D50" s="133">
        <f t="shared" si="3"/>
        <v>50873.1</v>
      </c>
      <c r="E50" s="133">
        <f t="shared" si="6"/>
        <v>65.221923076923076</v>
      </c>
      <c r="F50" s="134" t="s">
        <v>48</v>
      </c>
      <c r="G50" s="134">
        <f t="shared" si="4"/>
        <v>0</v>
      </c>
      <c r="K50" s="103">
        <v>114</v>
      </c>
      <c r="L50" s="128" t="s">
        <v>195</v>
      </c>
      <c r="M50" s="29">
        <v>35268.69</v>
      </c>
      <c r="N50" s="29">
        <v>41000</v>
      </c>
    </row>
    <row r="51" spans="1:17">
      <c r="A51" s="131">
        <f t="shared" si="0"/>
        <v>114</v>
      </c>
      <c r="B51" s="132" t="str">
        <f t="shared" si="1"/>
        <v>SCHICK &amp; ENERGIZER</v>
      </c>
      <c r="C51" s="130">
        <f t="shared" si="2"/>
        <v>41000</v>
      </c>
      <c r="D51" s="133">
        <f t="shared" si="3"/>
        <v>35268.69</v>
      </c>
      <c r="E51" s="133">
        <f t="shared" si="6"/>
        <v>86.021195121951223</v>
      </c>
      <c r="F51" s="134" t="s">
        <v>48</v>
      </c>
      <c r="G51" s="134">
        <f t="shared" si="4"/>
        <v>1</v>
      </c>
      <c r="K51" s="103">
        <v>275</v>
      </c>
      <c r="L51" s="128" t="s">
        <v>222</v>
      </c>
      <c r="M51" s="29">
        <v>1198.98</v>
      </c>
      <c r="N51" s="29">
        <v>1000</v>
      </c>
    </row>
    <row r="52" spans="1:17">
      <c r="A52" s="131">
        <f t="shared" si="0"/>
        <v>275</v>
      </c>
      <c r="B52" s="132" t="str">
        <f t="shared" si="1"/>
        <v>VIÑA VIEJA</v>
      </c>
      <c r="C52" s="130">
        <f t="shared" si="2"/>
        <v>1000</v>
      </c>
      <c r="D52" s="133">
        <f t="shared" si="3"/>
        <v>1198.98</v>
      </c>
      <c r="E52" s="133">
        <f t="shared" si="6"/>
        <v>119.898</v>
      </c>
      <c r="F52" s="134" t="s">
        <v>48</v>
      </c>
      <c r="G52" s="134">
        <f t="shared" si="4"/>
        <v>1</v>
      </c>
      <c r="K52" s="142"/>
      <c r="L52" s="143"/>
    </row>
    <row r="53" spans="1:17">
      <c r="A53" s="135"/>
      <c r="B53" s="136" t="s">
        <v>204</v>
      </c>
      <c r="C53" s="137">
        <f>E24</f>
        <v>326450</v>
      </c>
      <c r="D53" s="137">
        <f>E25</f>
        <v>251080</v>
      </c>
      <c r="E53" s="137">
        <f t="shared" si="6"/>
        <v>76.91223770868433</v>
      </c>
      <c r="F53" s="138"/>
      <c r="G53" s="139">
        <f>SUM(G35:G52)</f>
        <v>7</v>
      </c>
      <c r="M53" s="134"/>
      <c r="N53" s="134"/>
    </row>
    <row r="54" spans="1:17">
      <c r="M54" s="134"/>
      <c r="N54" s="134"/>
    </row>
    <row r="55" spans="1:17">
      <c r="M55" s="134"/>
      <c r="N55" s="134"/>
      <c r="P55" s="29">
        <v>250</v>
      </c>
      <c r="Q55" s="29">
        <v>62</v>
      </c>
    </row>
    <row r="56" spans="1:17">
      <c r="Q56" s="29">
        <f>Q55*P55</f>
        <v>15500</v>
      </c>
    </row>
    <row r="61" spans="1:17">
      <c r="E61" s="29">
        <f>57-33</f>
        <v>24</v>
      </c>
    </row>
  </sheetData>
  <mergeCells count="1">
    <mergeCell ref="E34:F34"/>
  </mergeCells>
  <pageMargins left="0.7" right="0.7" top="0.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41"/>
  <sheetViews>
    <sheetView zoomScale="120" zoomScaleNormal="120" workbookViewId="0">
      <selection activeCell="K32" sqref="K32"/>
    </sheetView>
  </sheetViews>
  <sheetFormatPr baseColWidth="10" defaultColWidth="8.85546875" defaultRowHeight="15"/>
  <cols>
    <col min="1" max="1" width="10.5703125" customWidth="1"/>
    <col min="2" max="2" width="3.28515625" customWidth="1"/>
    <col min="3" max="3" width="18" customWidth="1"/>
    <col min="4" max="4" width="10.5703125" customWidth="1"/>
    <col min="5" max="5" width="22.5703125" customWidth="1"/>
    <col min="6" max="6" width="21.28515625" customWidth="1"/>
    <col min="7" max="7" width="4.140625" customWidth="1"/>
    <col min="8" max="8" width="5.42578125" customWidth="1"/>
    <col min="9" max="9" width="25.140625" customWidth="1"/>
    <col min="10" max="10" width="8.5703125" customWidth="1"/>
    <col min="11" max="11" width="6.28515625" customWidth="1"/>
    <col min="12" max="12" width="5.85546875" customWidth="1"/>
    <col min="13" max="14" width="10.5703125" customWidth="1"/>
    <col min="15" max="15" width="8.140625" customWidth="1"/>
    <col min="16" max="16" width="7.140625" customWidth="1"/>
    <col min="17" max="1025" width="10.5703125" customWidth="1"/>
  </cols>
  <sheetData>
    <row r="2" spans="1:16">
      <c r="D2" s="144" t="s">
        <v>223</v>
      </c>
    </row>
    <row r="3" spans="1:16">
      <c r="D3" s="144"/>
      <c r="H3" s="145" t="s">
        <v>4</v>
      </c>
      <c r="I3" s="145" t="s">
        <v>5</v>
      </c>
      <c r="J3" s="145" t="s">
        <v>7</v>
      </c>
      <c r="K3" s="145" t="s">
        <v>8</v>
      </c>
      <c r="L3" s="145" t="s">
        <v>48</v>
      </c>
      <c r="M3" s="145" t="s">
        <v>49</v>
      </c>
      <c r="N3" s="145" t="s">
        <v>50</v>
      </c>
      <c r="O3" s="145" t="s">
        <v>51</v>
      </c>
      <c r="P3" s="145" t="s">
        <v>224</v>
      </c>
    </row>
    <row r="4" spans="1:16">
      <c r="B4" t="s">
        <v>225</v>
      </c>
      <c r="H4" s="53" t="s">
        <v>71</v>
      </c>
      <c r="I4" s="53" t="s">
        <v>85</v>
      </c>
      <c r="J4" s="53">
        <v>37725.599999999999</v>
      </c>
      <c r="K4" s="53">
        <v>0</v>
      </c>
      <c r="L4" s="53">
        <v>0</v>
      </c>
      <c r="M4" s="53">
        <v>34403.4</v>
      </c>
      <c r="N4" s="53">
        <v>45317.77</v>
      </c>
      <c r="O4" s="53">
        <v>801.77</v>
      </c>
      <c r="P4" s="53">
        <v>1.77</v>
      </c>
    </row>
    <row r="5" spans="1:16">
      <c r="B5" t="s">
        <v>226</v>
      </c>
      <c r="D5" s="146">
        <v>200000</v>
      </c>
      <c r="E5" t="s">
        <v>227</v>
      </c>
      <c r="H5" s="53" t="s">
        <v>74</v>
      </c>
      <c r="I5" s="53" t="s">
        <v>94</v>
      </c>
      <c r="J5" s="53">
        <v>-4711.8599999999997</v>
      </c>
      <c r="K5" s="53">
        <v>0</v>
      </c>
      <c r="L5" s="53">
        <v>0</v>
      </c>
      <c r="M5" s="53">
        <v>39700</v>
      </c>
      <c r="N5" s="53">
        <v>52510</v>
      </c>
      <c r="O5" s="53">
        <v>48810</v>
      </c>
      <c r="P5" s="53">
        <v>92.95</v>
      </c>
    </row>
    <row r="6" spans="1:16">
      <c r="H6" s="53" t="s">
        <v>57</v>
      </c>
      <c r="I6" s="53" t="s">
        <v>92</v>
      </c>
      <c r="J6" s="53">
        <v>296470.76</v>
      </c>
      <c r="K6" s="53">
        <v>0</v>
      </c>
      <c r="L6" s="53">
        <v>0</v>
      </c>
      <c r="M6" s="53">
        <v>228851</v>
      </c>
      <c r="N6" s="53">
        <v>269461.76000000001</v>
      </c>
      <c r="O6" s="53">
        <v>23372.65</v>
      </c>
      <c r="P6" s="53">
        <v>8.67</v>
      </c>
    </row>
    <row r="7" spans="1:16">
      <c r="B7" t="s">
        <v>228</v>
      </c>
      <c r="H7" s="53" t="s">
        <v>66</v>
      </c>
      <c r="I7" s="53" t="s">
        <v>93</v>
      </c>
      <c r="J7" s="53">
        <v>2891.96</v>
      </c>
      <c r="K7" s="53">
        <v>0</v>
      </c>
      <c r="L7" s="53">
        <v>0</v>
      </c>
      <c r="M7" s="53">
        <v>4048.74</v>
      </c>
      <c r="N7" s="53">
        <v>14114.62</v>
      </c>
      <c r="O7" s="53">
        <v>4905.6099999999997</v>
      </c>
      <c r="P7" s="53">
        <v>34.76</v>
      </c>
    </row>
    <row r="8" spans="1:16">
      <c r="H8" s="29"/>
      <c r="I8" s="29"/>
      <c r="J8" s="29">
        <f>SUM(J4:J7)</f>
        <v>332376.46000000002</v>
      </c>
      <c r="K8" s="29">
        <v>200000</v>
      </c>
      <c r="L8" s="147">
        <f>J8*100/K8</f>
        <v>166.18823000000003</v>
      </c>
      <c r="M8" s="29">
        <f>SUM(M4:M7)</f>
        <v>307003.14</v>
      </c>
      <c r="N8" s="29">
        <f>SUM(N4:N7)</f>
        <v>381404.15</v>
      </c>
      <c r="O8" s="29">
        <f>SUM(O4:O7)</f>
        <v>77890.03</v>
      </c>
      <c r="P8" s="147">
        <f>O8*100/N8</f>
        <v>20.421914654048727</v>
      </c>
    </row>
    <row r="9" spans="1:16" ht="23.25">
      <c r="A9" s="148" t="s">
        <v>229</v>
      </c>
      <c r="B9" s="149" t="s">
        <v>230</v>
      </c>
    </row>
    <row r="10" spans="1:16">
      <c r="B10" s="144" t="s">
        <v>2</v>
      </c>
    </row>
    <row r="11" spans="1:16">
      <c r="B11" t="s">
        <v>231</v>
      </c>
      <c r="C11" t="s">
        <v>232</v>
      </c>
      <c r="E11" s="146">
        <v>750</v>
      </c>
    </row>
    <row r="12" spans="1:16">
      <c r="E12" s="146"/>
    </row>
    <row r="13" spans="1:16">
      <c r="I13" s="150"/>
    </row>
    <row r="14" spans="1:16">
      <c r="C14" s="144" t="s">
        <v>233</v>
      </c>
      <c r="J14">
        <v>32743.1</v>
      </c>
      <c r="M14">
        <v>36245.9</v>
      </c>
    </row>
    <row r="15" spans="1:16">
      <c r="B15" s="151" t="s">
        <v>234</v>
      </c>
      <c r="C15" t="s">
        <v>235</v>
      </c>
      <c r="J15">
        <v>7122.62</v>
      </c>
      <c r="M15">
        <v>6704.89</v>
      </c>
    </row>
    <row r="16" spans="1:16">
      <c r="B16" s="151" t="s">
        <v>234</v>
      </c>
      <c r="C16" t="s">
        <v>236</v>
      </c>
      <c r="J16">
        <f>J14-J15</f>
        <v>25620.48</v>
      </c>
      <c r="M16">
        <f>M14-M15</f>
        <v>29541.010000000002</v>
      </c>
    </row>
    <row r="17" spans="1:11">
      <c r="B17" s="151" t="s">
        <v>234</v>
      </c>
      <c r="C17" t="s">
        <v>237</v>
      </c>
    </row>
    <row r="18" spans="1:11">
      <c r="B18" s="151" t="s">
        <v>234</v>
      </c>
      <c r="C18" t="s">
        <v>238</v>
      </c>
    </row>
    <row r="20" spans="1:11">
      <c r="C20" s="144" t="s">
        <v>239</v>
      </c>
    </row>
    <row r="21" spans="1:11">
      <c r="C21" s="144"/>
    </row>
    <row r="22" spans="1:11" ht="9.75" customHeight="1">
      <c r="C22" s="368" t="s">
        <v>240</v>
      </c>
      <c r="E22" s="368" t="s">
        <v>241</v>
      </c>
    </row>
    <row r="23" spans="1:11" ht="9.75" customHeight="1">
      <c r="C23" s="368"/>
      <c r="D23" s="152" t="s">
        <v>242</v>
      </c>
      <c r="E23" s="368"/>
    </row>
    <row r="24" spans="1:11" ht="9.75" customHeight="1">
      <c r="C24" s="368"/>
      <c r="E24" s="368"/>
    </row>
    <row r="27" spans="1:11">
      <c r="C27" s="144" t="s">
        <v>243</v>
      </c>
      <c r="D27" s="144"/>
      <c r="E27" s="144"/>
      <c r="F27" s="144"/>
    </row>
    <row r="28" spans="1:11">
      <c r="C28" s="144" t="s">
        <v>244</v>
      </c>
      <c r="D28" s="144"/>
      <c r="E28" s="144"/>
      <c r="F28" s="144"/>
    </row>
    <row r="29" spans="1:11">
      <c r="K29">
        <v>49712.07</v>
      </c>
    </row>
    <row r="30" spans="1:11" ht="18.75">
      <c r="A30" s="153" t="s">
        <v>245</v>
      </c>
      <c r="B30" s="149" t="s">
        <v>246</v>
      </c>
      <c r="K30">
        <v>0.3</v>
      </c>
    </row>
    <row r="31" spans="1:11" ht="18.75">
      <c r="A31" s="153"/>
      <c r="B31" s="149" t="s">
        <v>247</v>
      </c>
      <c r="K31">
        <f>K29*K30%</f>
        <v>149.13621000000001</v>
      </c>
    </row>
    <row r="33" spans="1:6">
      <c r="C33" s="369" t="s">
        <v>14</v>
      </c>
      <c r="D33" s="369"/>
      <c r="E33" s="154" t="s">
        <v>248</v>
      </c>
      <c r="F33" s="154" t="s">
        <v>249</v>
      </c>
    </row>
    <row r="34" spans="1:6">
      <c r="C34" s="370" t="s">
        <v>250</v>
      </c>
      <c r="D34" s="370"/>
      <c r="E34" s="155" t="s">
        <v>251</v>
      </c>
      <c r="F34" s="156">
        <v>7.0000000000000001E-3</v>
      </c>
    </row>
    <row r="35" spans="1:6">
      <c r="C35" s="370"/>
      <c r="D35" s="370"/>
      <c r="E35" s="157" t="s">
        <v>252</v>
      </c>
      <c r="F35" s="156">
        <v>0.01</v>
      </c>
    </row>
    <row r="36" spans="1:6">
      <c r="C36" s="370"/>
      <c r="D36" s="370"/>
      <c r="E36" s="157" t="s">
        <v>253</v>
      </c>
      <c r="F36" s="156">
        <v>0.02</v>
      </c>
    </row>
    <row r="37" spans="1:6">
      <c r="C37" s="370"/>
      <c r="D37" s="370"/>
      <c r="E37" s="157" t="s">
        <v>254</v>
      </c>
      <c r="F37" s="156">
        <v>0.03</v>
      </c>
    </row>
    <row r="40" spans="1:6" ht="18.75">
      <c r="A40" s="153" t="s">
        <v>255</v>
      </c>
      <c r="B40" s="144" t="s">
        <v>256</v>
      </c>
    </row>
    <row r="41" spans="1:6">
      <c r="B41" s="144" t="s">
        <v>257</v>
      </c>
    </row>
  </sheetData>
  <mergeCells count="4">
    <mergeCell ref="C22:C24"/>
    <mergeCell ref="E22:E24"/>
    <mergeCell ref="C33:D33"/>
    <mergeCell ref="C34:D37"/>
  </mergeCells>
  <pageMargins left="0.49027777777777798" right="0.27013888888888898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3</vt:i4>
      </vt:variant>
    </vt:vector>
  </HeadingPairs>
  <TitlesOfParts>
    <vt:vector size="42" baseType="lpstr">
      <vt:lpstr>exportado (2)</vt:lpstr>
      <vt:lpstr>AVANCEVENDEDOR</vt:lpstr>
      <vt:lpstr>sup farma (2)</vt:lpstr>
      <vt:lpstr>exportado</vt:lpstr>
      <vt:lpstr>sup farma (3)</vt:lpstr>
      <vt:lpstr>sup farma</vt:lpstr>
      <vt:lpstr>sup consu (2)</vt:lpstr>
      <vt:lpstr>sup consu</vt:lpstr>
      <vt:lpstr>Hoja3</vt:lpstr>
      <vt:lpstr>linea</vt:lpstr>
      <vt:lpstr>Plantilla corporativos 3-22</vt:lpstr>
      <vt:lpstr>mildre</vt:lpstr>
      <vt:lpstr>luis villagran</vt:lpstr>
      <vt:lpstr>saul mollo</vt:lpstr>
      <vt:lpstr>erika</vt:lpstr>
      <vt:lpstr>VERONICA MARTINEZ</vt:lpstr>
      <vt:lpstr>Plantilla farma normal</vt:lpstr>
      <vt:lpstr>Plantilla farma normal (2)</vt:lpstr>
      <vt:lpstr>Hoja5</vt:lpstr>
      <vt:lpstr>carmen dolmos</vt:lpstr>
      <vt:lpstr>lineac</vt:lpstr>
      <vt:lpstr>condicion</vt:lpstr>
      <vt:lpstr>Plantilla consumo14-21 ne_s (2</vt:lpstr>
      <vt:lpstr>Plantilla consumo14-21 ne_sueld</vt:lpstr>
      <vt:lpstr>Plantilla consumo 14-21  ne (2)</vt:lpstr>
      <vt:lpstr>Plantilla consumo 14-21  newpap</vt:lpstr>
      <vt:lpstr>Plantilla consumo 14-21  new</vt:lpstr>
      <vt:lpstr>Plantilla consumo 14-21  30</vt:lpstr>
      <vt:lpstr>consultas</vt:lpstr>
      <vt:lpstr>david velasquez</vt:lpstr>
      <vt:lpstr>Hoja2</vt:lpstr>
      <vt:lpstr>WASHINGTON LOPEZ</vt:lpstr>
      <vt:lpstr>roberto sosa</vt:lpstr>
      <vt:lpstr>instituciones  prov</vt:lpstr>
      <vt:lpstr>instituciones </vt:lpstr>
      <vt:lpstr>Hoja1</vt:lpstr>
      <vt:lpstr>vanesa</vt:lpstr>
      <vt:lpstr>vanesa rep</vt:lpstr>
      <vt:lpstr>oscrarr santos (2)</vt:lpstr>
      <vt:lpstr>'roberto sosa'!_FilterDatabase</vt:lpstr>
      <vt:lpstr>'sup consu'!_FilterDatabase</vt:lpstr>
      <vt:lpstr>'sup consu (2)'!_FilterDatabase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TIPROGRAMADOR-2</cp:lastModifiedBy>
  <cp:revision>3</cp:revision>
  <cp:lastPrinted>2020-01-08T14:53:37Z</cp:lastPrinted>
  <dcterms:created xsi:type="dcterms:W3CDTF">2014-02-28T17:23:42Z</dcterms:created>
  <dcterms:modified xsi:type="dcterms:W3CDTF">2020-01-08T15:37:24Z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