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irlitz/ncGitHub/llm_options_app1/excel/"/>
    </mc:Choice>
  </mc:AlternateContent>
  <xr:revisionPtr revIDLastSave="0" documentId="13_ncr:1_{6CF62B21-6C08-5F46-858C-38AFC54F1435}" xr6:coauthVersionLast="47" xr6:coauthVersionMax="47" xr10:uidLastSave="{00000000-0000-0000-0000-000000000000}"/>
  <bookViews>
    <workbookView xWindow="4360" yWindow="680" windowWidth="30200" windowHeight="19760" xr2:uid="{263D9CF6-C2BD-4D47-ACEB-BB9BA3F75454}"/>
  </bookViews>
  <sheets>
    <sheet name="Sheet1" sheetId="1" r:id="rId1"/>
  </sheets>
  <definedNames>
    <definedName name="ApiKey">Sheet1!$D$1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V9" i="1"/>
  <c r="W8" i="1"/>
  <c r="X7" i="1"/>
  <c r="X8" i="1" s="1"/>
  <c r="W7" i="1"/>
  <c r="B1" i="1" a="1"/>
  <c r="B1" i="1" l="1"/>
  <c r="W9" i="1"/>
  <c r="H17" i="1"/>
  <c r="J17" i="1" s="1"/>
  <c r="H18" i="1"/>
  <c r="J18" i="1" s="1"/>
  <c r="X9" i="1"/>
  <c r="V10" i="1"/>
  <c r="B2" i="1" a="1"/>
  <c r="B2" i="1" l="1"/>
  <c r="X10" i="1"/>
  <c r="V11" i="1"/>
  <c r="W10" i="1"/>
  <c r="B3" i="1" a="1"/>
  <c r="B3" i="1" l="1"/>
  <c r="V12" i="1"/>
  <c r="W11" i="1"/>
  <c r="X11" i="1"/>
  <c r="X12" i="1" s="1"/>
  <c r="D26" i="1" a="1"/>
  <c r="D26" i="1" l="1"/>
  <c r="W12" i="1"/>
  <c r="V13" i="1"/>
  <c r="D27" i="1" a="1"/>
  <c r="D27" i="1" l="1"/>
  <c r="Y6" i="1" a="1"/>
  <c r="Y6" i="1" s="1"/>
  <c r="X13" i="1"/>
  <c r="V14" i="1"/>
  <c r="W13" i="1"/>
  <c r="V15" i="1" l="1"/>
  <c r="W14" i="1"/>
  <c r="X14" i="1"/>
  <c r="X15" i="1" s="1"/>
  <c r="V16" i="1" l="1"/>
  <c r="W15" i="1"/>
  <c r="V17" i="1" l="1"/>
  <c r="W16" i="1"/>
  <c r="X16" i="1"/>
  <c r="X17" i="1" s="1"/>
  <c r="V18" i="1" l="1"/>
  <c r="W17" i="1"/>
  <c r="V19" i="1" l="1"/>
  <c r="W18" i="1"/>
  <c r="X18" i="1"/>
  <c r="X19" i="1" s="1"/>
  <c r="V20" i="1" l="1"/>
  <c r="W19" i="1"/>
  <c r="W20" i="1" l="1"/>
  <c r="V21" i="1"/>
  <c r="X20" i="1"/>
  <c r="X21" i="1" s="1"/>
  <c r="V22" i="1" l="1"/>
  <c r="W21" i="1"/>
  <c r="W22" i="1" l="1"/>
  <c r="V23" i="1"/>
  <c r="X22" i="1"/>
  <c r="X23" i="1" l="1"/>
  <c r="V24" i="1"/>
  <c r="W23" i="1"/>
  <c r="W24" i="1" l="1"/>
  <c r="V25" i="1"/>
  <c r="X24" i="1"/>
  <c r="X25" i="1" s="1"/>
  <c r="W25" i="1" l="1"/>
  <c r="V26" i="1"/>
  <c r="X26" i="1"/>
  <c r="W26" i="1" l="1"/>
  <c r="V27" i="1"/>
  <c r="V28" i="1" l="1"/>
  <c r="W28" i="1" s="1"/>
  <c r="W27" i="1"/>
  <c r="X27" i="1"/>
  <c r="X28" i="1" s="1"/>
  <c r="D28" i="1" a="1"/>
  <c r="D28" i="1" l="1"/>
  <c r="D29" i="1" a="1"/>
  <c r="C53" i="1" a="1"/>
  <c r="D29" i="1" l="1"/>
  <c r="C48" i="1" a="1"/>
  <c r="C48" i="1" s="1"/>
  <c r="C53" i="1"/>
  <c r="D56" i="1" a="1"/>
  <c r="D56" i="1" l="1"/>
  <c r="M16" i="1" a="1"/>
  <c r="M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numpy as np
from scipy.linalg import solve_banded
def american_pde_price_banded(
    S0, K, T, sigma,
    r_func, q_func=lambda t: 0.0,
    dividends=None,                 # [(t_years, cash), ...]
    cp='C',
    NS=400, NT=800,                 # you can often use NT ~ NS with Rannacher
    theta=0.5,                      # 0.5 = Crank–Nicolson
    rannacher=2,                    # first 2 steps implicit Euler to smooth payoff kink
    Smax=None,
    return_grid=False
):
    """FDM PDE with discrete cash dividends, early exercise, banded solver."""
    dividends = sorted(dividends or [], key=lambda x: x[0])
    # spot grid
    if Smax is None:
        D_sum = sum(d for _, d in dividends)
        base = max(S0, K)
        Smax = max(4*base, 2*base + 4*D_sum)
    S = np.linspace(0.0, Smax, NS+1).astype(np.float64)
    dS = S[1] - S[0]
    # payoff at maturity
    V = (S - K).clip(min=0.0) if cp.upper().startswith('C') else (K - S).clip(min=0.0)
    # time grid (include dividend times exactly)
    times = list(np.linspace(0.0, T, NT+1))
    for t, _ in dividends:
        if 0 &lt; t &lt; T: times.append(t)
    times = np.array(sorted(set(times)), dtype=np.float64)  # ascending
    div_amt = {t: 0.0 for t, _ in dividends if 0 &lt; t &lt;= T}
    for t, a in dividends:
        if 0 &lt; t &lt;= T: div_amt[t] = div_amt.get(t, 0.0) + float(a)
    div_times = set(div_amt.keys())
    # optional full grid storage
    V_grid = None
    if return_grid:
        V_grid = np.empty((len(times), NS+1), dtype=np.float64)
        V_grid[-1] = V
    # prealloc work arrays
    N = NS - 1                         # number of interior nodes
    Si = S[1:-1]
    lower = np.empty(N, dtype=np.float64)
    diag  = np.empty(N, dtype=np.float64)
    upper = np.empty(N, dtype=np.float64)
    rhs   = np.empty(N, dtype=np.float64)
    # banded matrix container (3, N): [upper; diag; lower]
    ab = np.zeros((3, N), dtype=np.float64)
    # backward time stepping
    steps_done = 0
    for j in range(len(times)-1, 0, -1):
        t_cur, t_prev = times[j], times[j-1]
        dt = t_cur - t_prev
        th = 1.0 if steps_done &lt; rannacher else theta
        t_mid = t_prev + th*dt
        r = float(r_func(t_mid)); q = float(q_func(t_mid))
        sig2 = float(sigma)*float(sigma)
        A = 0.5 * sig2 * (Si**2) / (dS**2)
        B = (r - q) * Si / (2.0*dS)
        # LHS (theta part)
        lower[:] = -th * dt * (A - B)   # length N
        diag[:]  =  1.0 + th * dt * (2.0*A + r)
        upper[:] = -th * dt * (A + B)
        # RHS ((1-theta) part)
        lower_r = (1.0 - th) * dt * (A - B)
        diag_r  = 1.0 - (1.0 - th) * dt * (2.0*A + r)
        upper_r = (1.0 - th) * dt * (A + B)
        # boundaries
        if cp.upper().startswith('C'):
            V0, VN = 0.0, S[-1]-K
        else:
            V0, VN = K, 0.0
        rhs[:] = lower_r * V[:-2] + diag_r * V[1:-1] + upper_r * V[2:]
        rhs[0]  -= lower[0] * V0
        rhs[-1] -= upper[-1] * VN
        # build banded tri-diagonal:
        # ab[0,1:] = upper[:-1], ab[1,:] = diag, ab[2,:-1] = lower[1:]
        ab[0, 1:] = upper[:-1]
        ab[1, :]  = diag
        ab[2, :-1]= lower[1:]
        # solve
        V_inner = solve_banded((1, 1), ab, rhs, overwrite_ab=True, overwrite_b=True, check_finite=False)
        V[0], V[-1] = V0, VN
        V[1:-1] = V_inner
        # early exercise
        if cp.upper().startswith('C'):
            np.maximum(V, S - K, out=V)
        else:
            np.maximum(V, K - S, out=V)
        # discrete dividend jump at t_prev
        if t_prev in div_times:
            D = div_amt[t_prev]
            S_shift = np.clip(S - D, 0.0, S[-1])
            V[:] = np.interp(S_shift, S, V)
            # re-enforce exercise right before ex-div
            if cp.upper().startswith('C'):
                np.maximum(V, S - K, out=V)
            else:
                np.maximum(V, K - S, out=V)
        if return_grid:
            V_grid[j-1] = V
        steps_done += 1
    price = float(np.interp(S0, S, V))
    debug = {"S_grid": S, "times": times}
    if return_grid:
        debug["V_grid"] = V_grid
    else:
        debug["V0"] = V
    return price, debug
    </code>
    </pythonScript>
    <pythonScript>
      <code>def american_pde_price_and_greeks(
    S0, K, T, sigma,
    r_func, q_func=lambda t: 0.0,
    dividends=None,
    cp='C',
    NS=600, NT=1200,
    theta=0.5,            # CN scheme weight (not the Greek)
    rannacher=2,
    Smax=None,
    return_grid=False,
    vol_bump=0.01,        # 1 vol point (absolute, i.e., 0.01 = 1%%)
    rate_bump=1e-4        # 1 basis point
):
    # --- base run with grid so we can read theta from the first time step ---
    p0, dbg0 = american_pde_price_banded(
        S0, K, T, sigma, r_func, q_func, dividends, cp,
        NS, NT, theta, rannacher, Smax, return_grid=True
    )
    Sg      = dbg0["S_grid"]
    times   = dbg0["times"]
    V_grid  = dbg0["V_grid"]         # time x spot
    Vt0     = V_grid[0]              # t=0 slice
    # --- delta/gamma from t=0 slice (your existing approach) ---
    def _delta_gamma_from_grid(S, V, S0, h=None):
        S = np.asarray(S); V = np.asarray(V)
        dS = S[1]-S[0]; h = max(dS, 1e-4*max(S0,1.0)) if h is None else h
        Sm, Sp = max(S[0], S0-h), min(S[-1], S0+h)
        Vm, V0, Vp = np.interp([Sm, S0, Sp], S, V)
        delta = (Vp - Vm) / (Sp - Sm)
        h_eff = max(1e-12, 0.5*(Sp-Sm))
        gamma = (Vp - 2*V0 + Vm) / (h_eff**2)
        return float(delta), float(gamma)
    delta, gamma = _delta_gamma_from_grid(Sg, Vt0, S0)
    # helper: price at S0 from a time-slice
    def _p_from_slice(Vslice):
        return float(np.interp(S0, Sg, Vslice))
    # --- theta (calendar dV/dt at t=0) from first time step on the grid ---
    if len(times) &gt; 1:
        dt = times[1] - times[0]
        p_t0 = _p_from_slice(V_grid[0])
        p_t1 = _p_from_slice(V_grid[1])
        theta_g = (p_t1 - p_t0) / dt         # per year; per-day = theta_g/365
    else:
        theta_g = float("nan")               # degenerate grid
    # --- vega via central bump in sigma (be nice if sigma is tiny) ---
    dsig = min(max(1e-4, 0.5*sigma), abs(vol_bump))
    if sigma &gt; dsig:
        p_up, _ = american_pde_price_banded(S0,K,T,sigma+dsig, r_func,q_func,dividends,cp,NS,NT,theta,rannacher,Smax,False)
        p_dn, _ = american_pde_price_banded(S0,K,T,sigma-dsig, r_func,q_func,dividends,cp,NS,NT,theta,rannacher,Smax,False)
        vega = (p_up - p_dn) / (2.0*dsig)
    else:  # forward diff fallback if sigma is too small
        p_up, _ = american_pde_price_banded(S0,K,T,sigma+dsig, r_func,q_func,dividends,cp,NS,NT,theta,rannacher,Smax,False)
        vega = (p_up - p0) / dsig
    # --- rho via parallel rate shift r(t) ± dr ---
    dr = abs(rate_bump)
    r_up = (lambda t, rf=r_func, bump=dr: rf(t) + bump)
    r_dn = (lambda t, rf=r_func, bump=dr: rf(t) - bump)
    p_r_up, _ = american_pde_price_banded(S0,K,T,sigma, r_up,q_func,dividends,cp,NS,NT,theta,rannacher,Smax,False)
    p_r_dn, _ = american_pde_price_banded(S0,K,T,sigma, r_dn,q_func,dividends,cp,NS,NT,theta,rannacher,Smax,False)
    rho = (p_r_up - p_r_dn) / (2.0*dr)
    out = {
        "price": p0,
        "delta": delta,
        "gamma": gamma,
        "vega": vega,          # per 1.00 (absolute) vol; per 1%% vol = vega*0.01
        "theta": theta_g,      # per year; per day = theta_g/365
        "rho": rho             # per 1.00 change in rate; per bp = rho*1e-4
    }
    # pass grid back only if the caller asked for it
    if return_grid:
        out["grid_S"] = Sg
        out["grid_times"] = times
        out["grid_V"] = V_grid
    return out</code>
    </pythonScript>
    <pythonScript>
      <code xml:space="preserve">import pandas as pd
import numpy as np
# --- helpers -------------------------------------------------------
def _to_dt(x): return pd.to_datetime(x, infer_datetime_format=True)
def _yearfrac(d0, d1): return (pd.Timestamp(d1) - pd.Timestamp(d0)).days / 365.0
def _vol_to_float(v):
    if isinstance(v, str):
        v = v.strip()
        if v.endswith("%%"): return float(v[:-1]) / 100.0
        return float(v)
    v = float(v)
    return v/100.0 if v &gt; 1.5 else v  # treat 36 =&gt; 0.36
def _const_fn(x): return (lambda t, _x=float(x): _x)
# --- main: take option + dividend DataFrames and return priced table ----------
def price_table_with_divs(
    options_df: pd.DataFrame,
    dividends_df: pd.DataFrame,
    valuation_date=None,
    r=0.05, q=0.0,                               # constants or callables
    NS=400, NT=800, scheme_theta=0.5, rannacher=4, Smax=None
):
    """
    options_df columns (case-insensitive):
      mult, Expiration, Strike, Spot, CP, EA, Texp, Vol
      - CP: 'C' or 'P'
      - EA: 'A' (american) or 'E' (european)  [american assumed unless you add the small flag in PDE]
      - Texp (years) optional; if missing we use Expiration vs valuation_date.
      - Vol accepts 0.36, '36%%', or 36
    dividends_df columns:
      Date, Amount   (ex-div cash)
    """
    val_date = pd.Timestamp.today().normalize() if valuation_date is None else _to_dt(valuation_date)
    # normalize column names
    opt = options_df.copy()
    opt.columns = [c.strip().lower() for c in opt.columns]
    divs = dividends_df.copy()
    divs.columns = [c.strip().lower() for c in divs.columns]
    if 'date' not in divs or 'amount' not in divs:
        raise ValueError("dividends_df must have columns: Date, Amount")
    # precompute dividend times (years from valuation date)
    divs['t_years'] = (_to_dt(divs['date']) - val_date).dt.days / 365.0
    # constant or callable r/q
    r_func = r if callable(r) else _const_fn(r)
    q_func = q if callable(q) else _const_fn(q)
    results = []
    for _, row in opt.iterrows():
        S0 = float(row['spot'])
        K  = float(row['strike'])
        cp = 'C' if str(row.get('cp','C')).upper().startswith('C') else 'P'
        mult = float(row.get('mult', 100))
        borrow=float(row['borrow'])
        q_func = q if callable(q) else _const_fn(q+borrow)
        # expiry in years
        if 'texp' in row and pd.notna(row['texp']):
            T = float(row['texp'])
        else:
            if 'expiration' not in row or pd.isna(row['expiration']):
                raise ValueError("Need either Texp or Expiration")
            T = _yearfrac(val_date, _to_dt(row['expiration']))
        sigma = _vol_to_float(row['vol'])
        # dividends for THIS option (0 &lt; t &lt;= T)
        div_list = [(float(t), float(a)) for t, a in zip(divs['t_years'], divs['amount']) if 0.0 &lt; t &lt;= T]
        # --- call your PDE pricer (assumes you already defined it above) ----
        # american_pde_price_and_greeks: from your earlier code
        out = american_pde_price_and_greeks(
            S0, K, T, sigma,
            r_func=r_func, q_func=q_func,
            dividends=div_list, cp=cp,
            NS=NS, NT=NT, theta=scheme_theta, rannacher=rannacher, Smax=Smax,
            return_grid=False
        )
        # scale by contract multiplier; also give convenient 01s
        res = {
            'price':     out["price"],
            'delta':     out["delta"],
            'Theo':      out['price'] * mult,
            'Delta':     out['delta'] * mult,
            'Gamma':     out['gamma'] * mult,                         # per $1
            'Vega':      out['vega']  * mult,                         # per 1.00 vol
            'Vega01':    out['vega']  * 0.01 * mult,                  # per 1 vol point
            'Theta_yr':  out['theta'] * mult,                          # per year
            'Theta_day': out['theta'] / 365.0 * mult,                 # per calendar day
            'Rho':       out['rho']   * mult,                         # per 1.00 rate
            'Rho01':     out['rho']   * 1e-4 * mult                   # per 1bp
        }
        results.append(res)
    res_df = pd.concat([opt.reset_index(drop=True), pd.DataFrame(results)], axis=1)
    return res_df
    </code>
    </pythonScript>
    <pythonScript>
      <code>import pandas as pd
df = xl(%P2%).T
df.columns = df.iloc[0]      # first row becomes column headers
df = df.drop(df.index[0])    # drop that first row</code>
    </pythonScript>
    <pythonScript>
      <code xml:space="preserve">import pandas as pd
df = xl(%P2%, headers = True)
</code>
    </pythonScript>
    <pythonScript>
      <code>import pandas as pd
df = xl(%P2%, headers=True)</code>
    </pythonScript>
    <pythonScript>
      <code>ir=xl(%P2%)
q=xl(%P3%)
df_out=price_table_with_divs(xl(%P4%),xl(%P5%),valuation_date=xl(%P6%), 
                                                                                r=ir, q=q,  NS=400, NT=800)
#df_out_subset=df_out[["Theo","Delta","Gamma","Vega01"]]</code>
    </pythonScript>
    <pythonScript>
      <code>df_out[["price","delta","Gamma","Vega01"]]</code>
    </pythonScript>
    <pythonScript>
      <code>df_out</code>
    </pythonScript>
  </pythonScripts>
</python>
</file>

<file path=xl/sharedStrings.xml><?xml version="1.0" encoding="utf-8"?>
<sst xmlns="http://schemas.openxmlformats.org/spreadsheetml/2006/main" count="40" uniqueCount="38">
  <si>
    <t>Underlying</t>
  </si>
  <si>
    <t>Underlying Spot</t>
  </si>
  <si>
    <t>Interest Rate</t>
  </si>
  <si>
    <t>Field</t>
  </si>
  <si>
    <t>Value</t>
  </si>
  <si>
    <t>A</t>
  </si>
  <si>
    <t>Dividend Forecast</t>
  </si>
  <si>
    <t>mult</t>
  </si>
  <si>
    <t>Strike</t>
  </si>
  <si>
    <t>Expiration</t>
  </si>
  <si>
    <t>P</t>
  </si>
  <si>
    <t>C</t>
  </si>
  <si>
    <t>Start Date</t>
  </si>
  <si>
    <t>Frequency</t>
  </si>
  <si>
    <t>Amt</t>
  </si>
  <si>
    <t>Growth</t>
  </si>
  <si>
    <t>ATM vol</t>
  </si>
  <si>
    <t>Slope</t>
  </si>
  <si>
    <t>CP</t>
  </si>
  <si>
    <t>EA</t>
  </si>
  <si>
    <t>Texp</t>
  </si>
  <si>
    <t>Valuation Date</t>
  </si>
  <si>
    <t>Vol</t>
  </si>
  <si>
    <t>Spot</t>
  </si>
  <si>
    <t>Pricer functions</t>
  </si>
  <si>
    <t>greeks function</t>
  </si>
  <si>
    <t>underlying df</t>
  </si>
  <si>
    <t>dataframe pricer</t>
  </si>
  <si>
    <t>options df</t>
  </si>
  <si>
    <t>Dividends df</t>
  </si>
  <si>
    <t>Date</t>
  </si>
  <si>
    <t>Amount</t>
  </si>
  <si>
    <t>priced</t>
  </si>
  <si>
    <t>Dividend</t>
  </si>
  <si>
    <t>Vol Override</t>
  </si>
  <si>
    <t>borrow</t>
  </si>
  <si>
    <t>a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</si>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</sst>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Aptos Narrow"/>
      <family val="2"/>
      <scheme val="minor"/>
    </font>
    <font>
      <sz val="10"/>
      <color rgb="FFCCCCCC"/>
      <name val="Menlo"/>
      <family val="2"/>
    </font>
    <font>
      <b/>
      <sz val="12"/>
      <color theme="3" tint="0.249977111117893"/>
      <name val="Aptos Narrow"/>
      <scheme val="minor"/>
    </font>
    <font>
      <b/>
      <sz val="12"/>
      <color theme="3" tint="9.9978637043366805E-2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10" fontId="0" fillId="2" borderId="0" xfId="0" applyNumberFormat="1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9" fontId="2" fillId="2" borderId="0" xfId="0" applyNumberFormat="1" applyFont="1" applyFill="1"/>
    <xf numFmtId="14" fontId="2" fillId="2" borderId="0" xfId="0" applyNumberFormat="1" applyFont="1" applyFill="1"/>
    <xf numFmtId="0" fontId="0" fillId="5" borderId="0" xfId="0" applyFill="1"/>
    <xf numFmtId="41" fontId="2" fillId="2" borderId="0" xfId="0" applyNumberFormat="1" applyFont="1" applyFill="1"/>
    <xf numFmtId="9" fontId="0" fillId="2" borderId="0" xfId="0" applyNumberFormat="1" applyFill="1"/>
    <xf numFmtId="9" fontId="3" fillId="2" borderId="0" xfId="0" applyNumberFormat="1" applyFont="1" applyFill="1"/>
    <xf numFmtId="10" fontId="3" fillId="2" borderId="0" xfId="0" applyNumberFormat="1" applyFont="1" applyFill="1"/>
    <xf numFmtId="0" fontId="0" fillId="6" borderId="0" xfId="0" applyFill="1"/>
    <xf numFmtId="14" fontId="0" fillId="2" borderId="1" xfId="0" applyNumberFormat="1" applyFill="1" applyBorder="1"/>
    <xf numFmtId="0" fontId="0" fillId="2" borderId="2" xfId="0" applyFill="1" applyBorder="1"/>
    <xf numFmtId="14" fontId="0" fillId="2" borderId="3" xfId="0" applyNumberFormat="1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5">
  <a r="2" c="6">
    <v>0</v>
    <v t="s">Underlying</v>
    <v t="s">Underlying Spot</v>
    <v t="s">Dividend</v>
    <v t="s">Interest Rate</v>
    <v t="s">Valuation Date</v>
    <v>1</v>
    <v t="s">NVDA</v>
    <v>183.22</v>
    <v>0</v>
    <v>3.5000000000000003E-2</v>
    <v t="r">2</v>
  </a>
  <a r="3" c="11">
    <v t="s"/>
    <v t="s">mult</v>
    <v t="s">Expiration</v>
    <v t="s">Strike</v>
    <v t="s">Spot</v>
    <v t="s">CP</v>
    <v t="s">EA</v>
    <v t="s">Texp</v>
    <v t="s">Vol Override</v>
    <v t="s">Vol</v>
    <v t="s">borrow</v>
    <v>0</v>
    <v>100000</v>
    <v t="r">6</v>
    <v>180</v>
    <v>183.22</v>
    <v t="s">P</v>
    <v t="s">A</v>
    <v>1.3888888888888888E-2</v>
    <v t="r">0</v>
    <v>0.4375</v>
    <v>0</v>
    <v>1</v>
    <v>100000</v>
    <v t="r">6</v>
    <v>180</v>
    <v>183.22</v>
    <v t="s">C</v>
    <v t="s">A</v>
    <v>1.3888888888888888E-2</v>
    <v t="r">0</v>
    <v>0.4375</v>
    <v>0</v>
  </a>
  <a r="12" c="3">
    <v t="s"/>
    <v t="s">Date</v>
    <v t="s">Amount</v>
    <v>0</v>
    <v t="r">10</v>
    <v>0.01</v>
    <v>1</v>
    <v t="r">11</v>
    <v>0.01</v>
    <v>2</v>
    <v t="r">12</v>
    <v>0.01</v>
    <v>3</v>
    <v t="r">13</v>
    <v>0.01</v>
    <v>4</v>
    <v t="r">14</v>
    <v>0.01</v>
    <v t="s">...</v>
    <v t="s">...</v>
    <v t="s">...</v>
    <v>17</v>
    <v t="r">15</v>
    <v>0.01</v>
    <v>18</v>
    <v t="r">16</v>
    <v>0.01</v>
    <v>19</v>
    <v t="r">17</v>
    <v>0.01</v>
    <v>20</v>
    <v t="r">18</v>
    <v>0.01</v>
    <v>21</v>
    <v t="r">19</v>
    <v>0.01</v>
  </a>
  <a r="3" c="12">
    <v t="s"/>
    <v t="s">mult</v>
    <v t="s">expiration</v>
    <v t="s">strike</v>
    <v t="s">spot</v>
    <v t="s">cp</v>
    <v t="s">...</v>
    <v t="s">Vega01</v>
    <v t="s">Theta_yr</v>
    <v t="s">Theta_day</v>
    <v t="s">Rho</v>
    <v t="s">Rho01</v>
    <v>0</v>
    <v>100000</v>
    <v t="r">6</v>
    <v>180</v>
    <v>183.22</v>
    <v t="s">P</v>
    <v t="s">...</v>
    <v>8023.3992552592099</v>
    <v>-12423513.905567631</v>
    <v>-34037.024398815433</v>
    <v>-86267.210155810404</v>
    <v>-8.6267210155810403</v>
    <v>1</v>
    <v>100000</v>
    <v t="r">6</v>
    <v>180</v>
    <v>183.22</v>
    <v t="s">C</v>
    <v t="s">...</v>
    <v>8020.1967944819153</v>
    <v>-13031273.298313977</v>
    <v>-35702.118625517745</v>
    <v>156949.96482373824</v>
    <v>15.694996482373824</v>
  </a>
  <a r="3" c="5">
    <v t="s"/>
    <v t="s">price</v>
    <v t="s">delta</v>
    <v t="s">Gamma</v>
    <v t="s">Vega01</v>
    <v>0</v>
    <v>2.3095554082585976</v>
    <v>-0.35305563284214747</v>
    <v>3938.8817428978164</v>
    <v>8023.3992552592099</v>
    <v>1</v>
    <v>5.6151629774481515</v>
    <v>0.64733544856512815</v>
    <v>3931.9723866686077</v>
    <v>8020.1967944819153</v>
  </a>
</arrayData>
</file>

<file path=xl/richData/rdrichvalue.xml><?xml version="1.0" encoding="utf-8"?>
<rvData xmlns="http://schemas.microsoft.com/office/spreadsheetml/2017/richdata" count="29">
  <rv s="0">
    <fb>0</fb>
    <v>0</v>
  </rv>
  <rv s="1">
    <fb>0</fb>
    <v>&lt;class 'NoneType'&gt;</v>
    <v>NoneType</v>
    <v>None</v>
    <v>0</v>
    <v>1</v>
  </rv>
  <rv s="0">
    <fb>45948</fb>
    <v>2</v>
  </rv>
  <rv s="2">
    <v>0</v>
  </rv>
  <rv s="3">
    <v>DataFrame</v>
    <v>4</v>
    <v>3</v>
  </rv>
  <rv s="1">
    <v>&lt;class 'pandas.core.frame.DataFrame'&gt;</v>
    <v>DataFrame</v>
    <v>0 Underlying Underlying Spot Dividend Interest Rate       Valuation Date
1       NVDA          183.22        0         0.035  2025-10-18 00:00:00</v>
    <v>4</v>
    <v>1</v>
  </rv>
  <rv s="0">
    <fb>45953</fb>
    <v>2</v>
  </rv>
  <rv s="2">
    <v>1</v>
  </rv>
  <rv s="3">
    <v>DataFrame</v>
    <v>6</v>
    <v>7</v>
  </rv>
  <rv s="1">
    <v>&lt;class 'pandas.core.frame.DataFrame'&gt;</v>
    <v>DataFrame</v>
    <v xml:space="preserve">     mult Expiration  Strike    Spot CP EA      Texp Vol Override     Vol  \
0  100000 2025-10-23     180  183.22  P  A  0.013889         None  0.4375   
1  100000 2025-10-23     180  183.22  C  A  0.013889         None  0.4375   
   borrow  
0       ...</v>
    <v>8</v>
    <v>1</v>
  </rv>
  <rv s="0">
    <fb>45969</fb>
    <v>2</v>
  </rv>
  <rv s="0">
    <fb>46062</fb>
    <v>2</v>
  </rv>
  <rv s="0">
    <fb>46150</fb>
    <v>2</v>
  </rv>
  <rv s="0">
    <fb>46244</fb>
    <v>2</v>
  </rv>
  <rv s="0">
    <fb>46335</fb>
    <v>2</v>
  </rv>
  <rv s="0">
    <fb>47522</fb>
    <v>2</v>
  </rv>
  <rv s="0">
    <fb>47611</fb>
    <v>2</v>
  </rv>
  <rv s="0">
    <fb>47703</fb>
    <v>2</v>
  </rv>
  <rv s="0">
    <fb>47795</fb>
    <v>2</v>
  </rv>
  <rv s="0">
    <fb>47889</fb>
    <v>2</v>
  </rv>
  <rv s="2">
    <v>2</v>
  </rv>
  <rv s="3">
    <v>DataFrame</v>
    <v>8</v>
    <v>20</v>
  </rv>
  <rv s="1">
    <v>&lt;class 'pandas.core.frame.DataFrame'&gt;</v>
    <v>DataFrame</v>
    <v xml:space="preserve">         Date  Amount
0  2025-11-08    0.01
1  2026-02-09    0.01
2  2026-05-08    0.01
3  2026-08-10    0.01
4  2026-11-09    0.01
5  2027-02-08    0.01
6  2027-05-10    0.01
7  2027-08-09    0.01
8  2027-11-08    0.01
9  2028-02-08    0.01
10 2028-05...</v>
    <v>21</v>
    <v>1</v>
  </rv>
  <rv s="2">
    <v>3</v>
  </rv>
  <rv s="3">
    <v>DataFrame</v>
    <v>10</v>
    <v>23</v>
  </rv>
  <rv s="1">
    <v>&lt;class 'pandas.core.frame.DataFrame'&gt;</v>
    <v>DataFrame</v>
    <v xml:space="preserve">     mult expiration  strike    spot cp ea      texp vol override     vol  \
0  100000 2025-10-23     180  183.22  P  A  0.013889         None  0.4375   
1  100000 2025-10-23     180  183.22  C  A  0.013889         None  0.4375   
   borrow  ...     d...</v>
    <v>24</v>
    <v>1</v>
  </rv>
  <rv s="2">
    <v>4</v>
  </rv>
  <rv s="3">
    <v>DataFrame</v>
    <v>12</v>
    <v>26</v>
  </rv>
  <rv s="1">
    <v>&lt;class 'pandas.core.frame.DataFrame'&gt;</v>
    <v>DataFrame</v>
    <v xml:space="preserve">      price     delta        Gamma       Vega01
0  2.309555 -0.353056  3938.881743  8023.399255
1  5.615163  0.647335  3931.972387  8020.196794</v>
    <v>27</v>
    <v>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python">
    <k n="Python_type" t="s"/>
    <k n="Python_typeName" t="s"/>
    <k n="Python_str" t="s"/>
    <k n="preview" t="r"/>
    <k n="_Provider" t="spb"/>
  </s>
  <s t="_array">
    <k n="array" t="a"/>
  </s>
  <s t="_entity">
    <k n="_DisplayString" t="s"/>
    <k n="_ViewInfo" t="spb"/>
    <k n="arrayPreview" t="r"/>
  </s>
</rvStructures>
</file>

<file path=xl/richData/rdsupportingpropertybag.xml><?xml version="1.0" encoding="utf-8"?>
<supportingPropertyBags xmlns="http://schemas.microsoft.com/office/spreadsheetml/2017/richdata2">
  <spbData count="13">
    <spb s="0">
      <v>1</v>
    </spb>
    <spb s="1">
      <v>https://www.anaconda.com/excel</v>
      <v>https://res.cdn.office.net/officepysvc/prod-service/anacondalogo.png</v>
      <v>Python provided by Anaconda</v>
    </spb>
    <spb s="0">
      <v>2</v>
    </spb>
    <spb s="2">
      <v>1</v>
      <v>5</v>
      <v>DataFrame</v>
      <v>arrayPreview</v>
      <v>1</v>
    </spb>
    <spb s="3">
      <v>3</v>
    </spb>
    <spb s="2">
      <v>2</v>
      <v>10</v>
      <v>DataFrame</v>
      <v>arrayPreview</v>
      <v>1</v>
    </spb>
    <spb s="3">
      <v>5</v>
    </spb>
    <spb s="2">
      <v>22</v>
      <v>2</v>
      <v>DataFrame</v>
      <v>arrayPreview</v>
      <v>1</v>
    </spb>
    <spb s="3">
      <v>7</v>
    </spb>
    <spb s="2">
      <v>2</v>
      <v>21</v>
      <v>DataFrame</v>
      <v>arrayPreview</v>
      <v>1</v>
    </spb>
    <spb s="3">
      <v>9</v>
    </spb>
    <spb s="2">
      <v>2</v>
      <v>4</v>
      <v>DataFrame</v>
      <v>arrayPreview</v>
      <v>1</v>
    </spb>
    <spb s="3">
      <v>11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link" t="s"/>
    <k n="logo" t="s"/>
    <k n="name" t="s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"/>
    </x:dxf>
  </dxfs>
  <richProperties>
    <rPr n="NumberFormat" t="s"/>
  </richProperties>
  <richStyles>
    <rSty dxfid="0">
      <rpv i="0">0;-0;"None"</rpv>
    </rSty>
    <rSty dxfid="1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7D79-1BBE-2F4F-8E66-7869D6168907}">
  <dimension ref="A1:AD58"/>
  <sheetViews>
    <sheetView tabSelected="1" workbookViewId="0">
      <selection activeCell="D4" sqref="D4"/>
    </sheetView>
  </sheetViews>
  <sheetFormatPr baseColWidth="10" defaultRowHeight="16" x14ac:dyDescent="0.2"/>
  <cols>
    <col min="1" max="2" width="10.83203125" style="1"/>
    <col min="3" max="3" width="14.6640625" style="1" customWidth="1"/>
    <col min="4" max="4" width="13.6640625" style="1" customWidth="1"/>
    <col min="5" max="7" width="10.83203125" style="1"/>
    <col min="8" max="8" width="14.33203125" style="1" customWidth="1"/>
    <col min="9" max="9" width="10.83203125" style="1"/>
    <col min="10" max="10" width="20" style="1" customWidth="1"/>
    <col min="11" max="16384" width="10.83203125" style="1"/>
  </cols>
  <sheetData>
    <row r="1" spans="1:30" x14ac:dyDescent="0.2">
      <c r="A1" s="4" t="s">
        <v>24</v>
      </c>
      <c r="B1" s="1" cm="1" vm="1">
        <f t="array" ref="B1">_xlfn._xlws.PY(0,1)</f>
        <v>0</v>
      </c>
      <c r="D1" s="2"/>
    </row>
    <row r="2" spans="1:30" x14ac:dyDescent="0.2">
      <c r="A2" s="4" t="s">
        <v>25</v>
      </c>
      <c r="B2" s="1" cm="1" vm="1">
        <f t="array" ref="B2">_xlfn._xlws.PY(1,1)</f>
        <v>0</v>
      </c>
    </row>
    <row r="3" spans="1:30" x14ac:dyDescent="0.2">
      <c r="A3" s="4" t="s">
        <v>27</v>
      </c>
      <c r="B3" s="1" cm="1" vm="1">
        <f t="array" ref="B3">_xlfn._xlws.PY(2,1)</f>
        <v>0</v>
      </c>
    </row>
    <row r="5" spans="1:30" x14ac:dyDescent="0.2">
      <c r="W5" s="14" t="s">
        <v>6</v>
      </c>
      <c r="X5" s="14"/>
    </row>
    <row r="6" spans="1:30" x14ac:dyDescent="0.2">
      <c r="C6" s="4" t="s">
        <v>3</v>
      </c>
      <c r="D6" s="4" t="s">
        <v>4</v>
      </c>
      <c r="F6" s="4" t="s">
        <v>6</v>
      </c>
      <c r="G6" s="4"/>
      <c r="W6" s="14" t="s">
        <v>30</v>
      </c>
      <c r="X6" s="14" t="s">
        <v>31</v>
      </c>
      <c r="Y6" s="1" cm="1">
        <f t="array" ref="Y6:AD7">_FV(D26,"arrayPreview")</f>
        <v>0</v>
      </c>
      <c r="Z6" s="1" t="str">
        <v>Underlying</v>
      </c>
      <c r="AA6" s="1" t="str">
        <v>Underlying Spot</v>
      </c>
      <c r="AB6" s="1" t="str">
        <v>Dividend</v>
      </c>
      <c r="AC6" s="1" t="str">
        <v>Interest Rate</v>
      </c>
      <c r="AD6" s="1" t="str">
        <v>Valuation Date</v>
      </c>
    </row>
    <row r="7" spans="1:30" x14ac:dyDescent="0.2">
      <c r="C7" s="5" t="s">
        <v>0</v>
      </c>
      <c r="D7" s="6" t="s">
        <v>37</v>
      </c>
      <c r="F7" s="5" t="s">
        <v>12</v>
      </c>
      <c r="G7" s="8">
        <v>45969</v>
      </c>
      <c r="W7" s="17">
        <f>G7</f>
        <v>45969</v>
      </c>
      <c r="X7" s="18">
        <f>G9</f>
        <v>0.01</v>
      </c>
      <c r="Y7" s="1">
        <v>1</v>
      </c>
      <c r="Z7" s="1" t="str">
        <v>NVDA</v>
      </c>
      <c r="AA7" s="1">
        <v>183.22</v>
      </c>
      <c r="AB7" s="1">
        <v>0</v>
      </c>
      <c r="AC7" s="1">
        <v>3.5000000000000003E-2</v>
      </c>
      <c r="AD7" s="1" vm="2">
        <v>45948</v>
      </c>
    </row>
    <row r="8" spans="1:30" x14ac:dyDescent="0.2">
      <c r="C8" s="5" t="s">
        <v>1</v>
      </c>
      <c r="D8" s="6">
        <v>183.22</v>
      </c>
      <c r="F8" s="5" t="s">
        <v>13</v>
      </c>
      <c r="G8" s="6">
        <v>4</v>
      </c>
      <c r="V8" s="1">
        <v>1</v>
      </c>
      <c r="W8" s="15">
        <f t="shared" ref="W8:W28" si="0">WORKDAY(EDATE($W$7,12/$G$8*V8)-1,1)</f>
        <v>46062</v>
      </c>
      <c r="X8" s="16">
        <f>X7+IF(MOD(V8,4)=0,$G$10,0)</f>
        <v>0.01</v>
      </c>
    </row>
    <row r="9" spans="1:30" x14ac:dyDescent="0.2">
      <c r="C9" s="5" t="s">
        <v>33</v>
      </c>
      <c r="D9" s="11">
        <v>0</v>
      </c>
      <c r="F9" s="5" t="s">
        <v>14</v>
      </c>
      <c r="G9" s="6">
        <v>0.01</v>
      </c>
      <c r="V9" s="1">
        <f>V8+1</f>
        <v>2</v>
      </c>
      <c r="W9" s="15">
        <f t="shared" si="0"/>
        <v>46150</v>
      </c>
      <c r="X9" s="16">
        <f t="shared" ref="X9:X19" si="1">X8+IF(MOD(V9,4)=0,$G$10,0)</f>
        <v>0.01</v>
      </c>
    </row>
    <row r="10" spans="1:30" x14ac:dyDescent="0.2">
      <c r="C10" s="5" t="s">
        <v>2</v>
      </c>
      <c r="D10" s="7">
        <v>3.5000000000000003E-2</v>
      </c>
      <c r="F10" s="5" t="s">
        <v>15</v>
      </c>
      <c r="G10" s="6">
        <v>0</v>
      </c>
      <c r="V10" s="1">
        <f t="shared" ref="V10:V28" si="2">V9+1</f>
        <v>3</v>
      </c>
      <c r="W10" s="15">
        <f t="shared" si="0"/>
        <v>46244</v>
      </c>
      <c r="X10" s="16">
        <f t="shared" si="1"/>
        <v>0.01</v>
      </c>
    </row>
    <row r="11" spans="1:30" x14ac:dyDescent="0.2">
      <c r="C11" s="5" t="s">
        <v>21</v>
      </c>
      <c r="D11" s="8">
        <v>45948</v>
      </c>
      <c r="V11" s="1">
        <f t="shared" si="2"/>
        <v>4</v>
      </c>
      <c r="W11" s="15">
        <f t="shared" si="0"/>
        <v>46335</v>
      </c>
      <c r="X11" s="16">
        <f t="shared" si="1"/>
        <v>0.01</v>
      </c>
    </row>
    <row r="12" spans="1:30" x14ac:dyDescent="0.2">
      <c r="V12" s="1">
        <f t="shared" si="2"/>
        <v>5</v>
      </c>
      <c r="W12" s="15">
        <f t="shared" si="0"/>
        <v>46426</v>
      </c>
      <c r="X12" s="16">
        <f t="shared" si="1"/>
        <v>0.01</v>
      </c>
    </row>
    <row r="13" spans="1:30" x14ac:dyDescent="0.2">
      <c r="V13" s="1">
        <f t="shared" si="2"/>
        <v>6</v>
      </c>
      <c r="W13" s="15">
        <f t="shared" si="0"/>
        <v>46517</v>
      </c>
      <c r="X13" s="16">
        <f t="shared" si="1"/>
        <v>0.01</v>
      </c>
    </row>
    <row r="14" spans="1:30" x14ac:dyDescent="0.2">
      <c r="V14" s="1">
        <f t="shared" si="2"/>
        <v>7</v>
      </c>
      <c r="W14" s="15">
        <f t="shared" si="0"/>
        <v>46608</v>
      </c>
      <c r="X14" s="16">
        <f t="shared" si="1"/>
        <v>0.01</v>
      </c>
    </row>
    <row r="15" spans="1:30" x14ac:dyDescent="0.2">
      <c r="V15" s="1">
        <f t="shared" si="2"/>
        <v>8</v>
      </c>
      <c r="W15" s="15">
        <f t="shared" si="0"/>
        <v>46699</v>
      </c>
      <c r="X15" s="16">
        <f t="shared" si="1"/>
        <v>0.01</v>
      </c>
    </row>
    <row r="16" spans="1:30" x14ac:dyDescent="0.2">
      <c r="B16" s="5" t="s">
        <v>7</v>
      </c>
      <c r="C16" s="5" t="s">
        <v>9</v>
      </c>
      <c r="D16" s="5" t="s">
        <v>8</v>
      </c>
      <c r="E16" s="4" t="s">
        <v>23</v>
      </c>
      <c r="F16" s="5" t="s">
        <v>18</v>
      </c>
      <c r="G16" s="5" t="s">
        <v>19</v>
      </c>
      <c r="H16" s="9" t="s">
        <v>20</v>
      </c>
      <c r="I16" s="5" t="s">
        <v>34</v>
      </c>
      <c r="J16" s="9" t="s">
        <v>22</v>
      </c>
      <c r="K16" s="5" t="s">
        <v>35</v>
      </c>
      <c r="M16" s="9" t="str" cm="1">
        <f t="array" ref="M16:Q18">_FV(C53,"arrayPreview")</f>
        <v/>
      </c>
      <c r="N16" s="9" t="str">
        <v>price</v>
      </c>
      <c r="O16" s="9" t="str">
        <v>delta</v>
      </c>
      <c r="P16" s="9" t="str">
        <v>Gamma</v>
      </c>
      <c r="Q16" s="9" t="str">
        <v>Vega01</v>
      </c>
      <c r="V16" s="1">
        <f t="shared" si="2"/>
        <v>9</v>
      </c>
      <c r="W16" s="15">
        <f t="shared" si="0"/>
        <v>46791</v>
      </c>
      <c r="X16" s="16">
        <f t="shared" si="1"/>
        <v>0.01</v>
      </c>
    </row>
    <row r="17" spans="2:24" x14ac:dyDescent="0.2">
      <c r="B17" s="10">
        <v>100000</v>
      </c>
      <c r="C17" s="8">
        <v>45953</v>
      </c>
      <c r="D17" s="6">
        <v>180</v>
      </c>
      <c r="E17" s="1">
        <f>$D$8</f>
        <v>183.22</v>
      </c>
      <c r="F17" s="6" t="s">
        <v>10</v>
      </c>
      <c r="G17" s="6" t="s">
        <v>5</v>
      </c>
      <c r="H17" s="1">
        <f>YEARFRAC($D$11,C17)</f>
        <v>1.3888888888888888E-2</v>
      </c>
      <c r="I17" s="12"/>
      <c r="J17" s="3">
        <f>IF(ISBLANK(I17),$G$21+10*$G$22*LN(D17/E17)/SQRT(H17),I17)</f>
        <v>0.4375</v>
      </c>
      <c r="K17" s="13">
        <v>0</v>
      </c>
      <c r="M17" s="1">
        <v>0</v>
      </c>
      <c r="N17" s="1">
        <v>2.3095554082585976</v>
      </c>
      <c r="O17" s="1">
        <v>-0.35305563284214747</v>
      </c>
      <c r="P17" s="1">
        <v>3938.8817428978164</v>
      </c>
      <c r="Q17" s="1">
        <v>8023.3992552592099</v>
      </c>
      <c r="V17" s="1">
        <f t="shared" si="2"/>
        <v>10</v>
      </c>
      <c r="W17" s="15">
        <f t="shared" si="0"/>
        <v>46881</v>
      </c>
      <c r="X17" s="16">
        <f t="shared" si="1"/>
        <v>0.01</v>
      </c>
    </row>
    <row r="18" spans="2:24" x14ac:dyDescent="0.2">
      <c r="B18" s="10">
        <v>100000</v>
      </c>
      <c r="C18" s="8">
        <v>45953</v>
      </c>
      <c r="D18" s="6">
        <v>180</v>
      </c>
      <c r="E18" s="1">
        <f>$D$8</f>
        <v>183.22</v>
      </c>
      <c r="F18" s="6" t="s">
        <v>11</v>
      </c>
      <c r="G18" s="6" t="s">
        <v>5</v>
      </c>
      <c r="H18" s="1">
        <f>YEARFRAC($D$11,C18)</f>
        <v>1.3888888888888888E-2</v>
      </c>
      <c r="I18" s="12"/>
      <c r="J18" s="3">
        <f>IF(ISBLANK(I18),$G$21+10*$G$22*LN(D18/E18)/SQRT(H18),I18)</f>
        <v>0.4375</v>
      </c>
      <c r="K18" s="13">
        <v>0</v>
      </c>
      <c r="M18" s="1">
        <v>1</v>
      </c>
      <c r="N18" s="1">
        <v>5.6151629774481515</v>
      </c>
      <c r="O18" s="1">
        <v>0.64733544856512815</v>
      </c>
      <c r="P18" s="1">
        <v>3931.9723866686077</v>
      </c>
      <c r="Q18" s="1">
        <v>8020.1967944819153</v>
      </c>
      <c r="V18" s="1">
        <f t="shared" si="2"/>
        <v>11</v>
      </c>
      <c r="W18" s="15">
        <f t="shared" si="0"/>
        <v>46973</v>
      </c>
      <c r="X18" s="16">
        <f t="shared" si="1"/>
        <v>0.01</v>
      </c>
    </row>
    <row r="19" spans="2:24" x14ac:dyDescent="0.2">
      <c r="G19" s="1" t="s">
        <v>36</v>
      </c>
      <c r="V19" s="1">
        <f t="shared" si="2"/>
        <v>12</v>
      </c>
      <c r="W19" s="15">
        <f t="shared" si="0"/>
        <v>47065</v>
      </c>
      <c r="X19" s="16">
        <f t="shared" si="1"/>
        <v>0.01</v>
      </c>
    </row>
    <row r="20" spans="2:24" x14ac:dyDescent="0.2">
      <c r="V20" s="1">
        <f t="shared" si="2"/>
        <v>13</v>
      </c>
      <c r="W20" s="15">
        <f t="shared" si="0"/>
        <v>47157</v>
      </c>
      <c r="X20" s="16">
        <f t="shared" ref="X20:X28" si="3">X19+IF(MOD(V20,4)=0,$G$10,0)</f>
        <v>0.01</v>
      </c>
    </row>
    <row r="21" spans="2:24" x14ac:dyDescent="0.2">
      <c r="F21" s="5" t="s">
        <v>16</v>
      </c>
      <c r="G21" s="7">
        <v>0.4375</v>
      </c>
      <c r="V21" s="1">
        <f t="shared" si="2"/>
        <v>14</v>
      </c>
      <c r="W21" s="15">
        <f t="shared" si="0"/>
        <v>47246</v>
      </c>
      <c r="X21" s="16">
        <f t="shared" si="3"/>
        <v>0.01</v>
      </c>
    </row>
    <row r="22" spans="2:24" x14ac:dyDescent="0.2">
      <c r="F22" s="5" t="s">
        <v>17</v>
      </c>
      <c r="G22" s="7">
        <v>0</v>
      </c>
      <c r="V22" s="1">
        <f t="shared" si="2"/>
        <v>15</v>
      </c>
      <c r="W22" s="15">
        <f t="shared" si="0"/>
        <v>47338</v>
      </c>
      <c r="X22" s="16">
        <f t="shared" si="3"/>
        <v>0.01</v>
      </c>
    </row>
    <row r="23" spans="2:24" x14ac:dyDescent="0.2">
      <c r="V23" s="1">
        <f t="shared" si="2"/>
        <v>16</v>
      </c>
      <c r="W23" s="15">
        <f t="shared" si="0"/>
        <v>47430</v>
      </c>
      <c r="X23" s="16">
        <f t="shared" si="3"/>
        <v>0.01</v>
      </c>
    </row>
    <row r="24" spans="2:24" x14ac:dyDescent="0.2">
      <c r="V24" s="1">
        <f t="shared" si="2"/>
        <v>17</v>
      </c>
      <c r="W24" s="15">
        <f t="shared" si="0"/>
        <v>47522</v>
      </c>
      <c r="X24" s="16">
        <f t="shared" si="3"/>
        <v>0.01</v>
      </c>
    </row>
    <row r="25" spans="2:24" x14ac:dyDescent="0.2">
      <c r="V25" s="1">
        <f t="shared" si="2"/>
        <v>18</v>
      </c>
      <c r="W25" s="15">
        <f t="shared" si="0"/>
        <v>47611</v>
      </c>
      <c r="X25" s="16">
        <f t="shared" si="3"/>
        <v>0.01</v>
      </c>
    </row>
    <row r="26" spans="2:24" x14ac:dyDescent="0.2">
      <c r="C26" s="1" t="s">
        <v>26</v>
      </c>
      <c r="D26" s="1" t="e" cm="1" vm="3">
        <f t="array" ref="D26">_xlfn._xlws.PY(3,1,C7:D11)</f>
        <v>#VALUE!</v>
      </c>
      <c r="V26" s="1">
        <f t="shared" si="2"/>
        <v>19</v>
      </c>
      <c r="W26" s="15">
        <f t="shared" si="0"/>
        <v>47703</v>
      </c>
      <c r="X26" s="16">
        <f t="shared" si="3"/>
        <v>0.01</v>
      </c>
    </row>
    <row r="27" spans="2:24" x14ac:dyDescent="0.2">
      <c r="C27" s="1" t="s">
        <v>28</v>
      </c>
      <c r="D27" s="1" t="e" cm="1" vm="4">
        <f t="array" ref="D27">_xlfn._xlws.PY(4,1,B16:K18)</f>
        <v>#VALUE!</v>
      </c>
      <c r="V27" s="1">
        <f t="shared" si="2"/>
        <v>20</v>
      </c>
      <c r="W27" s="15">
        <f t="shared" si="0"/>
        <v>47795</v>
      </c>
      <c r="X27" s="16">
        <f t="shared" si="3"/>
        <v>0.01</v>
      </c>
    </row>
    <row r="28" spans="2:24" x14ac:dyDescent="0.2">
      <c r="C28" s="1" t="s">
        <v>29</v>
      </c>
      <c r="D28" s="1" t="e" cm="1" vm="5">
        <f t="array" ref="D28">_xlfn._xlws.PY(5,1,W6:X28)</f>
        <v>#VALUE!</v>
      </c>
      <c r="V28" s="1">
        <f t="shared" si="2"/>
        <v>21</v>
      </c>
      <c r="W28" s="15">
        <f t="shared" si="0"/>
        <v>47889</v>
      </c>
      <c r="X28" s="16">
        <f t="shared" si="3"/>
        <v>0.01</v>
      </c>
    </row>
    <row r="29" spans="2:24" x14ac:dyDescent="0.2">
      <c r="C29" s="1" t="s">
        <v>32</v>
      </c>
      <c r="D29" s="1" t="e" cm="1" vm="6">
        <f t="array" ref="D29">_xlfn._xlws.PY(6,1,D10,D9,D27,D28,D11)</f>
        <v>#VALUE!</v>
      </c>
    </row>
    <row r="48" spans="3:14" x14ac:dyDescent="0.2">
      <c r="C48" s="1" t="str" cm="1">
        <f t="array" ref="C48:N50">_FV(D29,"arrayPreview")</f>
        <v/>
      </c>
      <c r="D48" s="1" t="str">
        <v>mult</v>
      </c>
      <c r="E48" s="1" t="str">
        <v>expiration</v>
      </c>
      <c r="F48" s="1" t="str">
        <v>strike</v>
      </c>
      <c r="G48" s="1" t="str">
        <v>spot</v>
      </c>
      <c r="H48" s="1" t="str">
        <v>cp</v>
      </c>
      <c r="I48" s="1" t="str">
        <v>...</v>
      </c>
      <c r="J48" s="1" t="str">
        <v>Vega01</v>
      </c>
      <c r="K48" s="1" t="str">
        <v>Theta_yr</v>
      </c>
      <c r="L48" s="1" t="str">
        <v>Theta_day</v>
      </c>
      <c r="M48" s="1" t="str">
        <v>Rho</v>
      </c>
      <c r="N48" s="1" t="str">
        <v>Rho01</v>
      </c>
    </row>
    <row r="49" spans="3:24" x14ac:dyDescent="0.2">
      <c r="C49" s="1">
        <v>0</v>
      </c>
      <c r="D49" s="1">
        <v>100000</v>
      </c>
      <c r="E49" s="1" vm="7">
        <v>45953</v>
      </c>
      <c r="F49" s="1">
        <v>180</v>
      </c>
      <c r="G49" s="1">
        <v>183.22</v>
      </c>
      <c r="H49" s="1" t="str">
        <v>P</v>
      </c>
      <c r="I49" s="1" t="str">
        <v>...</v>
      </c>
      <c r="J49" s="1">
        <v>8023.3992552592099</v>
      </c>
      <c r="K49" s="1">
        <v>-12423513.905567631</v>
      </c>
      <c r="L49" s="1">
        <v>-34037.024398815433</v>
      </c>
      <c r="M49" s="1">
        <v>-86267.210155810404</v>
      </c>
      <c r="N49" s="1">
        <v>-8.6267210155810403</v>
      </c>
    </row>
    <row r="50" spans="3:24" x14ac:dyDescent="0.2">
      <c r="C50" s="1">
        <v>1</v>
      </c>
      <c r="D50" s="1">
        <v>100000</v>
      </c>
      <c r="E50" s="1" vm="7">
        <v>45953</v>
      </c>
      <c r="F50" s="1">
        <v>180</v>
      </c>
      <c r="G50" s="1">
        <v>183.22</v>
      </c>
      <c r="H50" s="1" t="str">
        <v>C</v>
      </c>
      <c r="I50" s="1" t="str">
        <v>...</v>
      </c>
      <c r="J50" s="1">
        <v>8020.1967944819153</v>
      </c>
      <c r="K50" s="1">
        <v>-13031273.298313977</v>
      </c>
      <c r="L50" s="1">
        <v>-35702.118625517745</v>
      </c>
      <c r="M50" s="1">
        <v>156949.96482373824</v>
      </c>
      <c r="N50" s="1">
        <v>15.694996482373824</v>
      </c>
    </row>
    <row r="53" spans="3:24" x14ac:dyDescent="0.2">
      <c r="C53" s="1" t="e" cm="1" vm="8">
        <f t="array" ref="C53">_xlfn._xlws.PY(7,1)</f>
        <v>#VALUE!</v>
      </c>
    </row>
    <row r="56" spans="3:24" x14ac:dyDescent="0.2">
      <c r="D56" s="1" t="str" cm="1">
        <f t="array" ref="D56:X58">_xlfn._xlws.PY(8,0)</f>
        <v>mult</v>
      </c>
      <c r="E56" s="1" t="str">
        <v>expiration</v>
      </c>
      <c r="F56" s="1" t="str">
        <v>strike</v>
      </c>
      <c r="G56" s="1" t="str">
        <v>spot</v>
      </c>
      <c r="H56" s="1" t="str">
        <v>cp</v>
      </c>
      <c r="I56" s="1" t="str">
        <v>ea</v>
      </c>
      <c r="J56" s="1" t="str">
        <v>texp</v>
      </c>
      <c r="K56" s="1" t="str">
        <v>vol override</v>
      </c>
      <c r="L56" s="1" t="str">
        <v>vol</v>
      </c>
      <c r="M56" s="1" t="str">
        <v>borrow</v>
      </c>
      <c r="N56" s="1" t="str">
        <v>price</v>
      </c>
      <c r="O56" s="1" t="str">
        <v>delta</v>
      </c>
      <c r="P56" s="1" t="str">
        <v>Theo</v>
      </c>
      <c r="Q56" s="1" t="str">
        <v>Delta</v>
      </c>
      <c r="R56" s="1" t="str">
        <v>Gamma</v>
      </c>
      <c r="S56" s="1" t="str">
        <v>Vega</v>
      </c>
      <c r="T56" s="1" t="str">
        <v>Vega01</v>
      </c>
      <c r="U56" s="1" t="str">
        <v>Theta_yr</v>
      </c>
      <c r="V56" s="1" t="str">
        <v>Theta_day</v>
      </c>
      <c r="W56" s="1" t="str">
        <v>Rho</v>
      </c>
      <c r="X56" s="1" t="str">
        <v>Rho01</v>
      </c>
    </row>
    <row r="57" spans="3:24" x14ac:dyDescent="0.2">
      <c r="D57" s="1">
        <v>100000</v>
      </c>
      <c r="E57" s="1" vm="7">
        <v>45953</v>
      </c>
      <c r="F57" s="1">
        <v>180</v>
      </c>
      <c r="G57" s="1">
        <v>183.22</v>
      </c>
      <c r="H57" s="1" t="str">
        <v>P</v>
      </c>
      <c r="I57" s="1" t="str">
        <v>A</v>
      </c>
      <c r="J57" s="1">
        <v>1.3888888888888888E-2</v>
      </c>
      <c r="K57" s="1" vm="9">
        <v>0</v>
      </c>
      <c r="L57" s="1">
        <v>0.4375</v>
      </c>
      <c r="M57" s="1">
        <v>0</v>
      </c>
      <c r="N57" s="1">
        <v>2.3095554082585976</v>
      </c>
      <c r="O57" s="1">
        <v>-0.35305563284214747</v>
      </c>
      <c r="P57" s="1">
        <v>230955.54082585976</v>
      </c>
      <c r="Q57" s="1">
        <v>-35305.563284214746</v>
      </c>
      <c r="R57" s="1">
        <v>3938.8817428978164</v>
      </c>
      <c r="S57" s="1">
        <v>802339.92552592105</v>
      </c>
      <c r="T57" s="1">
        <v>8023.3992552592099</v>
      </c>
      <c r="U57" s="1">
        <v>-12423513.905567631</v>
      </c>
      <c r="V57" s="1">
        <v>-34037.024398815433</v>
      </c>
      <c r="W57" s="1">
        <v>-86267.210155810404</v>
      </c>
      <c r="X57" s="1">
        <v>-8.6267210155810403</v>
      </c>
    </row>
    <row r="58" spans="3:24" x14ac:dyDescent="0.2">
      <c r="D58" s="1">
        <v>100000</v>
      </c>
      <c r="E58" s="1" vm="7">
        <v>45953</v>
      </c>
      <c r="F58" s="1">
        <v>180</v>
      </c>
      <c r="G58" s="1">
        <v>183.22</v>
      </c>
      <c r="H58" s="1" t="str">
        <v>C</v>
      </c>
      <c r="I58" s="1" t="str">
        <v>A</v>
      </c>
      <c r="J58" s="1">
        <v>1.3888888888888888E-2</v>
      </c>
      <c r="K58" s="1" vm="9">
        <v>0</v>
      </c>
      <c r="L58" s="1">
        <v>0.4375</v>
      </c>
      <c r="M58" s="1">
        <v>0</v>
      </c>
      <c r="N58" s="1">
        <v>5.6151629774481515</v>
      </c>
      <c r="O58" s="1">
        <v>0.64733544856512815</v>
      </c>
      <c r="P58" s="1">
        <v>561516.29774481512</v>
      </c>
      <c r="Q58" s="1">
        <v>64733.544856512817</v>
      </c>
      <c r="R58" s="1">
        <v>3931.9723866686077</v>
      </c>
      <c r="S58" s="1">
        <v>802019.67944819154</v>
      </c>
      <c r="T58" s="1">
        <v>8020.1967944819153</v>
      </c>
      <c r="U58" s="1">
        <v>-13031273.298313977</v>
      </c>
      <c r="V58" s="1">
        <v>-35702.118625517745</v>
      </c>
      <c r="W58" s="1">
        <v>156949.96482373824</v>
      </c>
      <c r="X58" s="1">
        <v>15.694996482373824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755A4-234C-F64D-B9DC-31506D49B6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ApiKey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Mulman</dc:creator>
  <cp:lastModifiedBy>Yury Mulman</cp:lastModifiedBy>
  <dcterms:created xsi:type="dcterms:W3CDTF">2025-10-17T14:45:20Z</dcterms:created>
  <dcterms:modified xsi:type="dcterms:W3CDTF">2025-10-18T23:08:23Z</dcterms:modified>
</cp:coreProperties>
</file>