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adara/Nextcloud/UCalgary Fall 2025/GEOG 587/Data/Data/Processed-Data/"/>
    </mc:Choice>
  </mc:AlternateContent>
  <xr:revisionPtr revIDLastSave="0" documentId="8_{3E39131D-47B3-4144-AF00-3A8D1F9FA084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Organizing" sheetId="5" r:id="rId1"/>
    <sheet name="For ArcGIS" sheetId="6" r:id="rId2"/>
    <sheet name="table_2.1a" sheetId="1" r:id="rId3"/>
    <sheet name="table_3.1a" sheetId="2" r:id="rId4"/>
    <sheet name="table_7.1a" sheetId="3" r:id="rId5"/>
    <sheet name="dwelling_type_ward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D17" i="6"/>
  <c r="C17" i="6"/>
  <c r="B17" i="6"/>
  <c r="C16" i="6"/>
  <c r="D16" i="6"/>
  <c r="E16" i="6"/>
  <c r="F16" i="6"/>
  <c r="B16" i="6"/>
  <c r="I47" i="5"/>
  <c r="H45" i="5"/>
  <c r="G44" i="5"/>
  <c r="H44" i="5"/>
  <c r="I44" i="5"/>
  <c r="Q2" i="6"/>
  <c r="G2" i="6"/>
  <c r="M2" i="6"/>
  <c r="P2" i="6" l="1"/>
  <c r="K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2" i="6"/>
  <c r="I2" i="5"/>
  <c r="N3" i="6"/>
  <c r="N4" i="6"/>
  <c r="N5" i="6"/>
  <c r="N6" i="6"/>
  <c r="N7" i="6"/>
  <c r="N8" i="6"/>
  <c r="N9" i="6"/>
  <c r="N10" i="6"/>
  <c r="N11" i="6"/>
  <c r="N12" i="6"/>
  <c r="N13" i="6"/>
  <c r="N14" i="6"/>
  <c r="N1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F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3" i="6"/>
  <c r="G12" i="6"/>
  <c r="G11" i="6"/>
  <c r="G10" i="6"/>
  <c r="G5" i="6"/>
  <c r="G3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13" i="6"/>
  <c r="B12" i="6"/>
  <c r="B11" i="6"/>
  <c r="B10" i="6"/>
  <c r="B5" i="6"/>
  <c r="B3" i="6"/>
  <c r="B2" i="6"/>
  <c r="E30" i="5"/>
  <c r="F30" i="5"/>
  <c r="G30" i="5" s="1"/>
  <c r="F17" i="5"/>
  <c r="G17" i="5" s="1"/>
  <c r="H17" i="5" s="1"/>
  <c r="I17" i="5" s="1"/>
  <c r="F3" i="5"/>
  <c r="G3" i="5" s="1"/>
  <c r="H3" i="5" s="1"/>
  <c r="I3" i="5" s="1"/>
  <c r="F32" i="5"/>
  <c r="G32" i="5" s="1"/>
  <c r="H32" i="5" s="1"/>
  <c r="I32" i="5" s="1"/>
  <c r="F18" i="5"/>
  <c r="G18" i="5" s="1"/>
  <c r="H18" i="5" s="1"/>
  <c r="I18" i="5" s="1"/>
  <c r="F4" i="5"/>
  <c r="G4" i="5" s="1"/>
  <c r="H4" i="5" s="1"/>
  <c r="I4" i="5" s="1"/>
  <c r="F19" i="5"/>
  <c r="G19" i="5" s="1"/>
  <c r="H19" i="5" s="1"/>
  <c r="I19" i="5" s="1"/>
  <c r="F5" i="5"/>
  <c r="G5" i="5" s="1"/>
  <c r="H5" i="5" s="1"/>
  <c r="I5" i="5" s="1"/>
  <c r="F34" i="5"/>
  <c r="G34" i="5" s="1"/>
  <c r="H34" i="5" s="1"/>
  <c r="I34" i="5" s="1"/>
  <c r="F20" i="5"/>
  <c r="G20" i="5" s="1"/>
  <c r="H20" i="5" s="1"/>
  <c r="I20" i="5" s="1"/>
  <c r="F6" i="5"/>
  <c r="G6" i="5" s="1"/>
  <c r="H6" i="5" s="1"/>
  <c r="I6" i="5" s="1"/>
  <c r="F35" i="5"/>
  <c r="G35" i="5" s="1"/>
  <c r="H35" i="5" s="1"/>
  <c r="I35" i="5" s="1"/>
  <c r="F21" i="5"/>
  <c r="G21" i="5" s="1"/>
  <c r="H21" i="5" s="1"/>
  <c r="I21" i="5" s="1"/>
  <c r="F7" i="5"/>
  <c r="G7" i="5" s="1"/>
  <c r="H7" i="5" s="1"/>
  <c r="I7" i="5" s="1"/>
  <c r="F36" i="5"/>
  <c r="G36" i="5" s="1"/>
  <c r="H36" i="5" s="1"/>
  <c r="I36" i="5" s="1"/>
  <c r="F22" i="5"/>
  <c r="G22" i="5" s="1"/>
  <c r="H22" i="5" s="1"/>
  <c r="I22" i="5" s="1"/>
  <c r="F8" i="5"/>
  <c r="G8" i="5" s="1"/>
  <c r="H8" i="5" s="1"/>
  <c r="I8" i="5" s="1"/>
  <c r="F37" i="5"/>
  <c r="G37" i="5" s="1"/>
  <c r="H37" i="5" s="1"/>
  <c r="I37" i="5" s="1"/>
  <c r="F23" i="5"/>
  <c r="G23" i="5" s="1"/>
  <c r="H23" i="5" s="1"/>
  <c r="I23" i="5" s="1"/>
  <c r="F9" i="5"/>
  <c r="G9" i="5" s="1"/>
  <c r="H9" i="5" s="1"/>
  <c r="I9" i="5" s="1"/>
  <c r="F24" i="5"/>
  <c r="G24" i="5" s="1"/>
  <c r="H24" i="5" s="1"/>
  <c r="I24" i="5" s="1"/>
  <c r="F10" i="5"/>
  <c r="G10" i="5" s="1"/>
  <c r="H10" i="5" s="1"/>
  <c r="I10" i="5" s="1"/>
  <c r="F25" i="5"/>
  <c r="G25" i="5" s="1"/>
  <c r="H25" i="5" s="1"/>
  <c r="I25" i="5" s="1"/>
  <c r="F11" i="5"/>
  <c r="G11" i="5" s="1"/>
  <c r="H11" i="5" s="1"/>
  <c r="I11" i="5" s="1"/>
  <c r="F40" i="5"/>
  <c r="G40" i="5" s="1"/>
  <c r="H40" i="5" s="1"/>
  <c r="F26" i="5"/>
  <c r="G26" i="5" s="1"/>
  <c r="H26" i="5" s="1"/>
  <c r="I26" i="5" s="1"/>
  <c r="F12" i="5"/>
  <c r="G12" i="5" s="1"/>
  <c r="H12" i="5" s="1"/>
  <c r="I12" i="5" s="1"/>
  <c r="F27" i="5"/>
  <c r="G27" i="5" s="1"/>
  <c r="H27" i="5" s="1"/>
  <c r="I27" i="5" s="1"/>
  <c r="F13" i="5"/>
  <c r="G13" i="5" s="1"/>
  <c r="H13" i="5" s="1"/>
  <c r="I13" i="5" s="1"/>
  <c r="F55" i="5"/>
  <c r="G55" i="5" s="1"/>
  <c r="H55" i="5" s="1"/>
  <c r="F42" i="5"/>
  <c r="G42" i="5" s="1"/>
  <c r="H42" i="5" s="1"/>
  <c r="I42" i="5" s="1"/>
  <c r="F28" i="5"/>
  <c r="G28" i="5" s="1"/>
  <c r="H28" i="5" s="1"/>
  <c r="I28" i="5" s="1"/>
  <c r="F14" i="5"/>
  <c r="G14" i="5" s="1"/>
  <c r="H14" i="5" s="1"/>
  <c r="I14" i="5" s="1"/>
  <c r="F43" i="5"/>
  <c r="G43" i="5" s="1"/>
  <c r="H43" i="5" s="1"/>
  <c r="I43" i="5" s="1"/>
  <c r="F29" i="5"/>
  <c r="G29" i="5" s="1"/>
  <c r="H29" i="5" s="1"/>
  <c r="I29" i="5" s="1"/>
  <c r="F15" i="5"/>
  <c r="G15" i="5" s="1"/>
  <c r="H15" i="5" s="1"/>
  <c r="I15" i="5" s="1"/>
  <c r="G2" i="5"/>
  <c r="H2" i="5" s="1"/>
  <c r="F44" i="5"/>
  <c r="F16" i="5"/>
  <c r="G16" i="5" s="1"/>
  <c r="H16" i="5" s="1"/>
  <c r="I16" i="5" s="1"/>
  <c r="E57" i="5"/>
  <c r="F57" i="5" s="1"/>
  <c r="G57" i="5" s="1"/>
  <c r="H57" i="5" s="1"/>
  <c r="I57" i="5" s="1"/>
  <c r="D57" i="5"/>
  <c r="E56" i="5"/>
  <c r="F56" i="5" s="1"/>
  <c r="G56" i="5" s="1"/>
  <c r="H56" i="5" s="1"/>
  <c r="I56" i="5" s="1"/>
  <c r="D56" i="5"/>
  <c r="E55" i="5"/>
  <c r="D55" i="5"/>
  <c r="E41" i="5"/>
  <c r="F41" i="5" s="1"/>
  <c r="G41" i="5" s="1"/>
  <c r="H41" i="5" s="1"/>
  <c r="I41" i="5" s="1"/>
  <c r="D41" i="5"/>
  <c r="E54" i="5"/>
  <c r="F54" i="5" s="1"/>
  <c r="G54" i="5" s="1"/>
  <c r="H54" i="5" s="1"/>
  <c r="I54" i="5" s="1"/>
  <c r="D54" i="5"/>
  <c r="E40" i="5"/>
  <c r="D40" i="5"/>
  <c r="E53" i="5"/>
  <c r="F53" i="5" s="1"/>
  <c r="G53" i="5" s="1"/>
  <c r="H53" i="5" s="1"/>
  <c r="I53" i="5" s="1"/>
  <c r="D53" i="5"/>
  <c r="E39" i="5"/>
  <c r="F39" i="5" s="1"/>
  <c r="G39" i="5" s="1"/>
  <c r="H39" i="5" s="1"/>
  <c r="I39" i="5" s="1"/>
  <c r="D39" i="5"/>
  <c r="E52" i="5"/>
  <c r="F52" i="5" s="1"/>
  <c r="G52" i="5" s="1"/>
  <c r="H52" i="5" s="1"/>
  <c r="I52" i="5" s="1"/>
  <c r="D52" i="5"/>
  <c r="E38" i="5"/>
  <c r="F38" i="5" s="1"/>
  <c r="G38" i="5" s="1"/>
  <c r="H38" i="5" s="1"/>
  <c r="I38" i="5" s="1"/>
  <c r="D38" i="5"/>
  <c r="E51" i="5"/>
  <c r="F51" i="5" s="1"/>
  <c r="G51" i="5" s="1"/>
  <c r="H51" i="5" s="1"/>
  <c r="I51" i="5" s="1"/>
  <c r="D51" i="5"/>
  <c r="E50" i="5"/>
  <c r="F50" i="5" s="1"/>
  <c r="G50" i="5" s="1"/>
  <c r="H50" i="5" s="1"/>
  <c r="I50" i="5" s="1"/>
  <c r="D50" i="5"/>
  <c r="E49" i="5"/>
  <c r="F49" i="5" s="1"/>
  <c r="G49" i="5" s="1"/>
  <c r="H49" i="5" s="1"/>
  <c r="I49" i="5" s="1"/>
  <c r="D49" i="5"/>
  <c r="E48" i="5"/>
  <c r="F48" i="5" s="1"/>
  <c r="G48" i="5" s="1"/>
  <c r="H48" i="5" s="1"/>
  <c r="I48" i="5" s="1"/>
  <c r="D48" i="5"/>
  <c r="E33" i="5"/>
  <c r="F33" i="5" s="1"/>
  <c r="G33" i="5" s="1"/>
  <c r="H33" i="5" s="1"/>
  <c r="I33" i="5" s="1"/>
  <c r="D33" i="5"/>
  <c r="E47" i="5"/>
  <c r="F47" i="5" s="1"/>
  <c r="G47" i="5" s="1"/>
  <c r="H47" i="5" s="1"/>
  <c r="D47" i="5"/>
  <c r="E46" i="5"/>
  <c r="F46" i="5" s="1"/>
  <c r="G46" i="5" s="1"/>
  <c r="H46" i="5" s="1"/>
  <c r="I46" i="5" s="1"/>
  <c r="D46" i="5"/>
  <c r="E45" i="5"/>
  <c r="F45" i="5" s="1"/>
  <c r="G45" i="5" s="1"/>
  <c r="I45" i="5" s="1"/>
  <c r="D45" i="5"/>
  <c r="E31" i="5"/>
  <c r="F31" i="5" s="1"/>
  <c r="G31" i="5" s="1"/>
  <c r="H31" i="5" s="1"/>
  <c r="I31" i="5" s="1"/>
  <c r="D31" i="5"/>
  <c r="D30" i="5"/>
  <c r="D58" i="5" s="1"/>
  <c r="E44" i="5"/>
  <c r="D44" i="5"/>
  <c r="L3" i="5"/>
  <c r="L4" i="5"/>
  <c r="L5" i="5"/>
  <c r="L2" i="5"/>
  <c r="I40" i="5" l="1"/>
  <c r="I55" i="5"/>
  <c r="E58" i="5"/>
  <c r="F58" i="5"/>
  <c r="G58" i="5"/>
  <c r="H30" i="5"/>
  <c r="D5" i="2"/>
  <c r="D3" i="2"/>
  <c r="D4" i="2"/>
  <c r="D2" i="2"/>
  <c r="C5" i="2"/>
  <c r="B5" i="2"/>
  <c r="C3" i="2"/>
  <c r="C4" i="2"/>
  <c r="C2" i="2"/>
  <c r="G3" i="1"/>
  <c r="F3" i="1"/>
  <c r="F6" i="1"/>
  <c r="F2" i="1"/>
  <c r="F7" i="1"/>
  <c r="E158" i="4"/>
  <c r="E10" i="1"/>
  <c r="E155" i="4"/>
  <c r="F155" i="4"/>
  <c r="G155" i="4"/>
  <c r="I30" i="5" l="1"/>
  <c r="I58" i="5" s="1"/>
  <c r="H58" i="5"/>
</calcChain>
</file>

<file path=xl/sharedStrings.xml><?xml version="1.0" encoding="utf-8"?>
<sst xmlns="http://schemas.openxmlformats.org/spreadsheetml/2006/main" count="293" uniqueCount="74">
  <si>
    <t>Electricity</t>
  </si>
  <si>
    <t>Natural Gas</t>
  </si>
  <si>
    <t>Heating Oil</t>
  </si>
  <si>
    <t>Wood</t>
  </si>
  <si>
    <t>Propane</t>
  </si>
  <si>
    <t>Other</t>
  </si>
  <si>
    <t>Dual Source</t>
  </si>
  <si>
    <t>Don't know</t>
  </si>
  <si>
    <t>Not stated</t>
  </si>
  <si>
    <t>Type of energy source used by household</t>
  </si>
  <si>
    <t>Solar Heat / Solar Electricity / Wind Power</t>
  </si>
  <si>
    <t>No sources of energy used</t>
  </si>
  <si>
    <t>Type of dwelling</t>
  </si>
  <si>
    <t>Single detached  house</t>
  </si>
  <si>
    <t>Double / Row or Terrace / Duplex</t>
  </si>
  <si>
    <t xml:space="preserve">Low-rise apartment </t>
  </si>
  <si>
    <t>No</t>
  </si>
  <si>
    <t>Type of air conditioner</t>
  </si>
  <si>
    <t>Central air conditioner</t>
  </si>
  <si>
    <t>Window/room air conditioner</t>
  </si>
  <si>
    <t>No air conditioner</t>
  </si>
  <si>
    <t>DUPLEX</t>
  </si>
  <si>
    <t>MULTI-PLEX</t>
  </si>
  <si>
    <t>APARTMENT</t>
  </si>
  <si>
    <t>TOWN HOUSE</t>
  </si>
  <si>
    <t>MANUFACTURED HOME</t>
  </si>
  <si>
    <t>CONVERTED STRUCTURE</t>
  </si>
  <si>
    <t>COMMUNAL HOUSING</t>
  </si>
  <si>
    <t>RESIDENCE IN COMMERCIAL STRUCTURE</t>
  </si>
  <si>
    <t>OTHER - RESIDENTIAL</t>
  </si>
  <si>
    <t>NURSING HOME, AUXILLARY HOSPITAL LODGE</t>
  </si>
  <si>
    <t>OTHER - INSTITUTIONS</t>
  </si>
  <si>
    <t>HOTELS, MOTELS  RESIDENCE</t>
  </si>
  <si>
    <t>SINGLE FAMILY HOME</t>
  </si>
  <si>
    <t xml:space="preserve">Main Heating Source </t>
  </si>
  <si>
    <t>Count Alberta</t>
  </si>
  <si>
    <t>Energy Consumption Alberta (GJ)</t>
  </si>
  <si>
    <t>Households with Air Conditioning</t>
  </si>
  <si>
    <t>Alberta</t>
  </si>
  <si>
    <t>Ward</t>
  </si>
  <si>
    <t>Dwelling type</t>
  </si>
  <si>
    <t>Year</t>
  </si>
  <si>
    <t>Dwelling Count</t>
  </si>
  <si>
    <t>Resident Count</t>
  </si>
  <si>
    <t>Occupied Dwelling Count</t>
  </si>
  <si>
    <t>Estimated Count Calgary</t>
  </si>
  <si>
    <t>total</t>
  </si>
  <si>
    <t>`</t>
  </si>
  <si>
    <t>Estimated Calgary Energy Consumption (GJ)</t>
  </si>
  <si>
    <t>% Energy from Natural Gas</t>
  </si>
  <si>
    <t>Average Energy Consumption (GJ/household)</t>
  </si>
  <si>
    <t>GJ Energy from Natural Gas</t>
  </si>
  <si>
    <t>Energy Consumed by Dwelling type (GJ)</t>
  </si>
  <si>
    <t>GJ from Natural Gas</t>
  </si>
  <si>
    <t>CO2 Produced (kg)</t>
  </si>
  <si>
    <t>CO2 Produced (kg) Per Captia</t>
  </si>
  <si>
    <t xml:space="preserve">Duplex Occupied dwelling </t>
  </si>
  <si>
    <t>townhouse occupied dwelling</t>
  </si>
  <si>
    <t>apartment occupied dwelling</t>
  </si>
  <si>
    <t>Occupied dwelling</t>
  </si>
  <si>
    <t>single family resident count</t>
  </si>
  <si>
    <t>Single Family Occupied Dwelling</t>
  </si>
  <si>
    <t>duplex resident count</t>
  </si>
  <si>
    <t>townhouse resident count</t>
  </si>
  <si>
    <t>apartment resident count</t>
  </si>
  <si>
    <t>energy consumed - single family (GJ)</t>
  </si>
  <si>
    <t>energy consumed duplex (GJ)</t>
  </si>
  <si>
    <t>energy consumed townhouse (GJ)</t>
  </si>
  <si>
    <t>energy consumed apartment (GJ)</t>
  </si>
  <si>
    <t>Single Family - CO2 Per Captia (kg)</t>
  </si>
  <si>
    <t>Duplex - CO2 Per Captia (kg)</t>
  </si>
  <si>
    <t>Townhouse - CO2 Per Captia (kg)</t>
  </si>
  <si>
    <t>Apartment - CO2 Per Captia (kg)</t>
  </si>
  <si>
    <t>Ward total - CO2 Per Capita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</si>
</sst>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#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/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Family Occupied</a:t>
            </a:r>
            <a:r>
              <a:rPr lang="en-US" baseline="0"/>
              <a:t> Dwelling</a:t>
            </a:r>
            <a:r>
              <a:rPr lang="en-US"/>
              <a:t> - CO2 Per Captia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ArcGIS'!$O$1</c:f>
              <c:strCache>
                <c:ptCount val="1"/>
                <c:pt idx="0">
                  <c:v>Single Family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93613298337708"/>
                  <c:y val="0.10054899387576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ArcGIS'!$B$2:$B$15</c:f>
              <c:numCache>
                <c:formatCode>0.00</c:formatCode>
                <c:ptCount val="14"/>
                <c:pt idx="0">
                  <c:v>23031</c:v>
                </c:pt>
                <c:pt idx="1">
                  <c:v>22378</c:v>
                </c:pt>
                <c:pt idx="2">
                  <c:v>17295</c:v>
                </c:pt>
                <c:pt idx="3">
                  <c:v>24151</c:v>
                </c:pt>
                <c:pt idx="4">
                  <c:v>16981</c:v>
                </c:pt>
                <c:pt idx="5">
                  <c:v>20681</c:v>
                </c:pt>
                <c:pt idx="6">
                  <c:v>11902</c:v>
                </c:pt>
                <c:pt idx="7">
                  <c:v>9158</c:v>
                </c:pt>
                <c:pt idx="8">
                  <c:v>18348</c:v>
                </c:pt>
                <c:pt idx="9">
                  <c:v>19910</c:v>
                </c:pt>
                <c:pt idx="10">
                  <c:v>20474</c:v>
                </c:pt>
                <c:pt idx="11">
                  <c:v>26058</c:v>
                </c:pt>
                <c:pt idx="12">
                  <c:v>23189</c:v>
                </c:pt>
                <c:pt idx="13">
                  <c:v>25352</c:v>
                </c:pt>
              </c:numCache>
            </c:numRef>
          </c:xVal>
          <c:yVal>
            <c:numRef>
              <c:f>'For ArcGIS'!$O$2:$O$15</c:f>
              <c:numCache>
                <c:formatCode>General</c:formatCode>
                <c:ptCount val="14"/>
                <c:pt idx="0">
                  <c:v>848.76043737574548</c:v>
                </c:pt>
                <c:pt idx="1">
                  <c:v>774.2422922715333</c:v>
                </c:pt>
                <c:pt idx="2">
                  <c:v>751.36255924170621</c:v>
                </c:pt>
                <c:pt idx="3">
                  <c:v>917.47696359717031</c:v>
                </c:pt>
                <c:pt idx="4">
                  <c:v>630.02153446997772</c:v>
                </c:pt>
                <c:pt idx="5">
                  <c:v>793.88569741221943</c:v>
                </c:pt>
                <c:pt idx="6">
                  <c:v>1010.9892739553986</c:v>
                </c:pt>
                <c:pt idx="7">
                  <c:v>967.5305019631021</c:v>
                </c:pt>
                <c:pt idx="8">
                  <c:v>948.10691940779282</c:v>
                </c:pt>
                <c:pt idx="9">
                  <c:v>773.40041600049676</c:v>
                </c:pt>
                <c:pt idx="10">
                  <c:v>962.7604381976023</c:v>
                </c:pt>
                <c:pt idx="11">
                  <c:v>781.53075899759119</c:v>
                </c:pt>
                <c:pt idx="12">
                  <c:v>812.9224977236114</c:v>
                </c:pt>
                <c:pt idx="13">
                  <c:v>855.52786655339355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B-F145-97FE-171E0A6C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66639"/>
        <c:axId val="1964968351"/>
      </c:scatterChart>
      <c:valAx>
        <c:axId val="19649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Occupied</a:t>
                </a:r>
                <a:r>
                  <a:rPr lang="en-US" baseline="0"/>
                  <a:t> Dwellings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68351"/>
        <c:crosses val="autoZero"/>
        <c:crossBetween val="midCat"/>
      </c:valAx>
      <c:valAx>
        <c:axId val="19649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total and Duplex - CO2 Emissions Per Capita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ArcGIS'!$S$1</c:f>
              <c:strCache>
                <c:ptCount val="1"/>
                <c:pt idx="0">
                  <c:v>Ward total - CO2 Per Capita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56342957130367E-3"/>
                  <c:y val="0.31888232720909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ArcGIS'!$P$2:$P$15</c:f>
              <c:numCache>
                <c:formatCode>General</c:formatCode>
                <c:ptCount val="14"/>
                <c:pt idx="0">
                  <c:v>835.6875143579141</c:v>
                </c:pt>
                <c:pt idx="1">
                  <c:v>765.27075908766926</c:v>
                </c:pt>
                <c:pt idx="2">
                  <c:v>747.44132397191572</c:v>
                </c:pt>
                <c:pt idx="3">
                  <c:v>751.68960396039608</c:v>
                </c:pt>
                <c:pt idx="4">
                  <c:v>569.80316960859557</c:v>
                </c:pt>
                <c:pt idx="5">
                  <c:v>866.16096261682253</c:v>
                </c:pt>
                <c:pt idx="6">
                  <c:v>738.78223347850792</c:v>
                </c:pt>
                <c:pt idx="7">
                  <c:v>755.80058737151262</c:v>
                </c:pt>
                <c:pt idx="8">
                  <c:v>689.98817172020426</c:v>
                </c:pt>
                <c:pt idx="9">
                  <c:v>671.97837151702777</c:v>
                </c:pt>
                <c:pt idx="10">
                  <c:v>813.00855100600086</c:v>
                </c:pt>
                <c:pt idx="11">
                  <c:v>773.01653744493387</c:v>
                </c:pt>
                <c:pt idx="12">
                  <c:v>804.23447251114408</c:v>
                </c:pt>
                <c:pt idx="13">
                  <c:v>801.32560344827596</c:v>
                </c:pt>
              </c:numCache>
            </c:numRef>
          </c:xVal>
          <c:yVal>
            <c:numRef>
              <c:f>'For ArcGIS'!$S$2:$S$15</c:f>
              <c:numCache>
                <c:formatCode>General</c:formatCode>
                <c:ptCount val="14"/>
                <c:pt idx="0">
                  <c:v>3248.6232428210942</c:v>
                </c:pt>
                <c:pt idx="1">
                  <c:v>2954.8350815829976</c:v>
                </c:pt>
                <c:pt idx="2">
                  <c:v>3036.1665151946154</c:v>
                </c:pt>
                <c:pt idx="3">
                  <c:v>3339.0089939308764</c:v>
                </c:pt>
                <c:pt idx="4">
                  <c:v>2372.7276870097712</c:v>
                </c:pt>
                <c:pt idx="5">
                  <c:v>3321.8116762924137</c:v>
                </c:pt>
                <c:pt idx="6">
                  <c:v>3562.977036863248</c:v>
                </c:pt>
                <c:pt idx="7">
                  <c:v>3478.485887157668</c:v>
                </c:pt>
                <c:pt idx="8">
                  <c:v>3283.4594008472613</c:v>
                </c:pt>
                <c:pt idx="9">
                  <c:v>2840.3058586952434</c:v>
                </c:pt>
                <c:pt idx="10">
                  <c:v>3502.0432073799057</c:v>
                </c:pt>
                <c:pt idx="11">
                  <c:v>3152.0839776198191</c:v>
                </c:pt>
                <c:pt idx="12">
                  <c:v>3105.8375663039142</c:v>
                </c:pt>
                <c:pt idx="13">
                  <c:v>3279.7687588605086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BE4A-9EC1-8D6B726D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27311"/>
        <c:axId val="1608846271"/>
      </c:scatterChart>
      <c:valAx>
        <c:axId val="1574127311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Duplex</a:t>
                </a:r>
                <a:r>
                  <a:rPr lang="en-US" baseline="0"/>
                  <a:t> CO2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46271"/>
        <c:crosses val="autoZero"/>
        <c:crossBetween val="midCat"/>
      </c:valAx>
      <c:valAx>
        <c:axId val="1608846271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Ward</a:t>
                </a:r>
                <a:r>
                  <a:rPr lang="en-US" baseline="0"/>
                  <a:t> CO2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total and Townhouse- CO2 Emissions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ArcGIS'!$S$1</c:f>
              <c:strCache>
                <c:ptCount val="1"/>
                <c:pt idx="0">
                  <c:v>Ward total - CO2 Per Capita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29111986001744"/>
                  <c:y val="0.1616036016331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ArcGIS'!$Q$2:$Q$15</c:f>
              <c:numCache>
                <c:formatCode>General</c:formatCode>
                <c:ptCount val="14"/>
                <c:pt idx="0">
                  <c:v>949.11445060540905</c:v>
                </c:pt>
                <c:pt idx="1">
                  <c:v>845.85484790874534</c:v>
                </c:pt>
                <c:pt idx="2">
                  <c:v>426.21208530805688</c:v>
                </c:pt>
                <c:pt idx="3">
                  <c:v>430.98374334450807</c:v>
                </c:pt>
                <c:pt idx="4">
                  <c:v>337.37480457646387</c:v>
                </c:pt>
                <c:pt idx="5">
                  <c:v>463.6142082785808</c:v>
                </c:pt>
                <c:pt idx="6">
                  <c:v>521.70330451756831</c:v>
                </c:pt>
                <c:pt idx="7">
                  <c:v>495.97731355709402</c:v>
                </c:pt>
                <c:pt idx="8">
                  <c:v>441.3889383155398</c:v>
                </c:pt>
                <c:pt idx="9">
                  <c:v>369.22964862505455</c:v>
                </c:pt>
                <c:pt idx="10">
                  <c:v>466.59195762017481</c:v>
                </c:pt>
                <c:pt idx="11">
                  <c:v>473.93095086377804</c:v>
                </c:pt>
                <c:pt idx="12">
                  <c:v>435.24362594113626</c:v>
                </c:pt>
                <c:pt idx="13">
                  <c:v>428.44751324908276</c:v>
                </c:pt>
              </c:numCache>
            </c:numRef>
          </c:xVal>
          <c:yVal>
            <c:numRef>
              <c:f>'For ArcGIS'!$S$2:$S$15</c:f>
              <c:numCache>
                <c:formatCode>General</c:formatCode>
                <c:ptCount val="14"/>
                <c:pt idx="0">
                  <c:v>3248.6232428210942</c:v>
                </c:pt>
                <c:pt idx="1">
                  <c:v>2954.8350815829976</c:v>
                </c:pt>
                <c:pt idx="2">
                  <c:v>3036.1665151946154</c:v>
                </c:pt>
                <c:pt idx="3">
                  <c:v>3339.0089939308764</c:v>
                </c:pt>
                <c:pt idx="4">
                  <c:v>2372.7276870097712</c:v>
                </c:pt>
                <c:pt idx="5">
                  <c:v>3321.8116762924137</c:v>
                </c:pt>
                <c:pt idx="6">
                  <c:v>3562.977036863248</c:v>
                </c:pt>
                <c:pt idx="7">
                  <c:v>3478.485887157668</c:v>
                </c:pt>
                <c:pt idx="8">
                  <c:v>3283.4594008472613</c:v>
                </c:pt>
                <c:pt idx="9">
                  <c:v>2840.3058586952434</c:v>
                </c:pt>
                <c:pt idx="10">
                  <c:v>3502.0432073799057</c:v>
                </c:pt>
                <c:pt idx="11">
                  <c:v>3152.0839776198191</c:v>
                </c:pt>
                <c:pt idx="12">
                  <c:v>3105.8375663039142</c:v>
                </c:pt>
                <c:pt idx="13">
                  <c:v>3279.7687588605086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5-AE43-842B-CE135CFE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40111"/>
        <c:axId val="1729999599"/>
      </c:scatterChart>
      <c:valAx>
        <c:axId val="1621640111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Townhouse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9599"/>
        <c:crosses val="autoZero"/>
        <c:crossBetween val="midCat"/>
      </c:valAx>
      <c:valAx>
        <c:axId val="1729999599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Ward</a:t>
                </a:r>
                <a:r>
                  <a:rPr lang="en-US" baseline="0"/>
                  <a:t> CO2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total and Apartment - CO2 Emissions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ArcGIS'!$S$1</c:f>
              <c:strCache>
                <c:ptCount val="1"/>
                <c:pt idx="0">
                  <c:v>Ward total - CO2 Per Capita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28258967629046"/>
                  <c:y val="-4.12109944590259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ArcGIS'!$R$2:$R$15</c:f>
              <c:numCache>
                <c:formatCode>General</c:formatCode>
                <c:ptCount val="14"/>
                <c:pt idx="0">
                  <c:v>615.06084048202615</c:v>
                </c:pt>
                <c:pt idx="1">
                  <c:v>569.46718231504985</c:v>
                </c:pt>
                <c:pt idx="2">
                  <c:v>1111.1505466729368</c:v>
                </c:pt>
                <c:pt idx="3">
                  <c:v>1238.8586830288016</c:v>
                </c:pt>
                <c:pt idx="4">
                  <c:v>835.528178354734</c:v>
                </c:pt>
                <c:pt idx="5">
                  <c:v>1198.1508079847911</c:v>
                </c:pt>
                <c:pt idx="6">
                  <c:v>1291.5022249117728</c:v>
                </c:pt>
                <c:pt idx="7">
                  <c:v>1259.177484265959</c:v>
                </c:pt>
                <c:pt idx="8">
                  <c:v>1203.9753714037249</c:v>
                </c:pt>
                <c:pt idx="9">
                  <c:v>1025.6974225526644</c:v>
                </c:pt>
                <c:pt idx="10">
                  <c:v>1259.6822605561276</c:v>
                </c:pt>
                <c:pt idx="11">
                  <c:v>1123.6057303135158</c:v>
                </c:pt>
                <c:pt idx="12">
                  <c:v>1053.4369701280227</c:v>
                </c:pt>
                <c:pt idx="13">
                  <c:v>1194.467775609756</c:v>
                </c:pt>
              </c:numCache>
            </c:numRef>
          </c:xVal>
          <c:yVal>
            <c:numRef>
              <c:f>'For ArcGIS'!$S$2:$S$15</c:f>
              <c:numCache>
                <c:formatCode>General</c:formatCode>
                <c:ptCount val="14"/>
                <c:pt idx="0">
                  <c:v>3248.6232428210942</c:v>
                </c:pt>
                <c:pt idx="1">
                  <c:v>2954.8350815829976</c:v>
                </c:pt>
                <c:pt idx="2">
                  <c:v>3036.1665151946154</c:v>
                </c:pt>
                <c:pt idx="3">
                  <c:v>3339.0089939308764</c:v>
                </c:pt>
                <c:pt idx="4">
                  <c:v>2372.7276870097712</c:v>
                </c:pt>
                <c:pt idx="5">
                  <c:v>3321.8116762924137</c:v>
                </c:pt>
                <c:pt idx="6">
                  <c:v>3562.977036863248</c:v>
                </c:pt>
                <c:pt idx="7">
                  <c:v>3478.485887157668</c:v>
                </c:pt>
                <c:pt idx="8">
                  <c:v>3283.4594008472613</c:v>
                </c:pt>
                <c:pt idx="9">
                  <c:v>2840.3058586952434</c:v>
                </c:pt>
                <c:pt idx="10">
                  <c:v>3502.0432073799057</c:v>
                </c:pt>
                <c:pt idx="11">
                  <c:v>3152.0839776198191</c:v>
                </c:pt>
                <c:pt idx="12">
                  <c:v>3105.8375663039142</c:v>
                </c:pt>
                <c:pt idx="13">
                  <c:v>3279.7687588605086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F14F-9379-4DF5A269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71359"/>
        <c:axId val="1632027823"/>
      </c:scatterChart>
      <c:valAx>
        <c:axId val="1636071359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Apartment</a:t>
                </a:r>
                <a:r>
                  <a:rPr lang="en-US" baseline="0"/>
                  <a:t> CO2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7823"/>
        <c:crosses val="autoZero"/>
        <c:crossBetween val="midCat"/>
      </c:valAx>
      <c:valAx>
        <c:axId val="1632027823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Ward</a:t>
                </a:r>
                <a:r>
                  <a:rPr lang="en-US" baseline="0"/>
                  <a:t> CO2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Duplex Occupied Dwelling - CO2 Per Captia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ArcGIS'!$P$1</c:f>
              <c:strCache>
                <c:ptCount val="1"/>
                <c:pt idx="0">
                  <c:v>Duplex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750218722659667E-2"/>
                  <c:y val="0.18782152230971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ArcGIS'!$C$2:$C$15</c:f>
              <c:numCache>
                <c:formatCode>0.00</c:formatCode>
                <c:ptCount val="14"/>
                <c:pt idx="0">
                  <c:v>1855</c:v>
                </c:pt>
                <c:pt idx="1">
                  <c:v>1095</c:v>
                </c:pt>
                <c:pt idx="2">
                  <c:v>1140</c:v>
                </c:pt>
                <c:pt idx="3">
                  <c:v>3523</c:v>
                </c:pt>
                <c:pt idx="4">
                  <c:v>1893</c:v>
                </c:pt>
                <c:pt idx="5">
                  <c:v>2363</c:v>
                </c:pt>
                <c:pt idx="6">
                  <c:v>3979</c:v>
                </c:pt>
                <c:pt idx="7">
                  <c:v>3412</c:v>
                </c:pt>
                <c:pt idx="8">
                  <c:v>3516</c:v>
                </c:pt>
                <c:pt idx="9">
                  <c:v>2767</c:v>
                </c:pt>
                <c:pt idx="10">
                  <c:v>2349</c:v>
                </c:pt>
                <c:pt idx="11">
                  <c:v>2237</c:v>
                </c:pt>
                <c:pt idx="12">
                  <c:v>1380</c:v>
                </c:pt>
                <c:pt idx="13">
                  <c:v>2133</c:v>
                </c:pt>
              </c:numCache>
            </c:numRef>
          </c:xVal>
          <c:yVal>
            <c:numRef>
              <c:f>'For ArcGIS'!$P$2:$P$15</c:f>
              <c:numCache>
                <c:formatCode>General</c:formatCode>
                <c:ptCount val="14"/>
                <c:pt idx="0">
                  <c:v>835.6875143579141</c:v>
                </c:pt>
                <c:pt idx="1">
                  <c:v>765.27075908766926</c:v>
                </c:pt>
                <c:pt idx="2">
                  <c:v>747.44132397191572</c:v>
                </c:pt>
                <c:pt idx="3">
                  <c:v>751.68960396039608</c:v>
                </c:pt>
                <c:pt idx="4">
                  <c:v>569.80316960859557</c:v>
                </c:pt>
                <c:pt idx="5">
                  <c:v>866.16096261682253</c:v>
                </c:pt>
                <c:pt idx="6">
                  <c:v>738.78223347850792</c:v>
                </c:pt>
                <c:pt idx="7">
                  <c:v>755.80058737151262</c:v>
                </c:pt>
                <c:pt idx="8">
                  <c:v>689.98817172020426</c:v>
                </c:pt>
                <c:pt idx="9">
                  <c:v>671.97837151702777</c:v>
                </c:pt>
                <c:pt idx="10">
                  <c:v>813.00855100600086</c:v>
                </c:pt>
                <c:pt idx="11">
                  <c:v>773.01653744493387</c:v>
                </c:pt>
                <c:pt idx="12">
                  <c:v>804.23447251114408</c:v>
                </c:pt>
                <c:pt idx="13">
                  <c:v>801.32560344827596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664F-9B6F-C5E7BE3F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14655"/>
        <c:axId val="1980362159"/>
      </c:scatterChart>
      <c:valAx>
        <c:axId val="20391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Occupied</a:t>
                </a:r>
                <a:r>
                  <a:rPr lang="en-US" baseline="0"/>
                  <a:t> Dwellings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62159"/>
        <c:crosses val="autoZero"/>
        <c:crossBetween val="midCat"/>
      </c:valAx>
      <c:valAx>
        <c:axId val="19803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1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Townhouse Occupied Dwelling - CO2 Per Captia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ArcGIS'!$Q$1</c:f>
              <c:strCache>
                <c:ptCount val="1"/>
                <c:pt idx="0">
                  <c:v>Townhouse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48643919510061E-2"/>
                  <c:y val="-0.17471055701370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ArcGIS'!$D$2:$D$15</c:f>
              <c:numCache>
                <c:formatCode>0.00</c:formatCode>
                <c:ptCount val="14"/>
                <c:pt idx="0">
                  <c:v>4272</c:v>
                </c:pt>
                <c:pt idx="1">
                  <c:v>4419</c:v>
                </c:pt>
                <c:pt idx="2">
                  <c:v>2412</c:v>
                </c:pt>
                <c:pt idx="3">
                  <c:v>6513</c:v>
                </c:pt>
                <c:pt idx="4">
                  <c:v>4716</c:v>
                </c:pt>
                <c:pt idx="5">
                  <c:v>5257</c:v>
                </c:pt>
                <c:pt idx="6">
                  <c:v>4646</c:v>
                </c:pt>
                <c:pt idx="7">
                  <c:v>5622</c:v>
                </c:pt>
                <c:pt idx="8">
                  <c:v>7762</c:v>
                </c:pt>
                <c:pt idx="9">
                  <c:v>5882</c:v>
                </c:pt>
                <c:pt idx="10">
                  <c:v>5091</c:v>
                </c:pt>
                <c:pt idx="11">
                  <c:v>4987</c:v>
                </c:pt>
                <c:pt idx="12">
                  <c:v>3790</c:v>
                </c:pt>
                <c:pt idx="13">
                  <c:v>3132</c:v>
                </c:pt>
              </c:numCache>
            </c:numRef>
          </c:xVal>
          <c:yVal>
            <c:numRef>
              <c:f>'For ArcGIS'!$Q$2:$Q$15</c:f>
              <c:numCache>
                <c:formatCode>General</c:formatCode>
                <c:ptCount val="14"/>
                <c:pt idx="0">
                  <c:v>949.11445060540905</c:v>
                </c:pt>
                <c:pt idx="1">
                  <c:v>845.85484790874534</c:v>
                </c:pt>
                <c:pt idx="2">
                  <c:v>426.21208530805688</c:v>
                </c:pt>
                <c:pt idx="3">
                  <c:v>430.98374334450807</c:v>
                </c:pt>
                <c:pt idx="4">
                  <c:v>337.37480457646387</c:v>
                </c:pt>
                <c:pt idx="5">
                  <c:v>463.6142082785808</c:v>
                </c:pt>
                <c:pt idx="6">
                  <c:v>521.70330451756831</c:v>
                </c:pt>
                <c:pt idx="7">
                  <c:v>495.97731355709402</c:v>
                </c:pt>
                <c:pt idx="8">
                  <c:v>441.3889383155398</c:v>
                </c:pt>
                <c:pt idx="9">
                  <c:v>369.22964862505455</c:v>
                </c:pt>
                <c:pt idx="10">
                  <c:v>466.59195762017481</c:v>
                </c:pt>
                <c:pt idx="11">
                  <c:v>473.93095086377804</c:v>
                </c:pt>
                <c:pt idx="12">
                  <c:v>435.24362594113626</c:v>
                </c:pt>
                <c:pt idx="13">
                  <c:v>428.44751324908276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2-0043-8BFE-D55E1562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1935"/>
        <c:axId val="1964306383"/>
      </c:scatterChart>
      <c:valAx>
        <c:axId val="194898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Occupied</a:t>
                </a:r>
                <a:r>
                  <a:rPr lang="en-US" baseline="0"/>
                  <a:t> Dwellings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06383"/>
        <c:crosses val="autoZero"/>
        <c:crossBetween val="midCat"/>
      </c:valAx>
      <c:valAx>
        <c:axId val="19643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Apartment Occupied Dwelling - CO2 Per Captia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ArcGIS'!$R$1</c:f>
              <c:strCache>
                <c:ptCount val="1"/>
                <c:pt idx="0">
                  <c:v>Apartment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35958005249344E-3"/>
                  <c:y val="0.15408610382035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ArcGIS'!$E$2:$E$15</c:f>
              <c:numCache>
                <c:formatCode>0.00</c:formatCode>
                <c:ptCount val="14"/>
                <c:pt idx="0">
                  <c:v>4487</c:v>
                </c:pt>
                <c:pt idx="1">
                  <c:v>2898</c:v>
                </c:pt>
                <c:pt idx="2">
                  <c:v>2407</c:v>
                </c:pt>
                <c:pt idx="3">
                  <c:v>4075</c:v>
                </c:pt>
                <c:pt idx="4">
                  <c:v>3016</c:v>
                </c:pt>
                <c:pt idx="5">
                  <c:v>5136</c:v>
                </c:pt>
                <c:pt idx="6">
                  <c:v>14539</c:v>
                </c:pt>
                <c:pt idx="7">
                  <c:v>29960</c:v>
                </c:pt>
                <c:pt idx="8">
                  <c:v>8462</c:v>
                </c:pt>
                <c:pt idx="9">
                  <c:v>2108</c:v>
                </c:pt>
                <c:pt idx="10">
                  <c:v>18067</c:v>
                </c:pt>
                <c:pt idx="11">
                  <c:v>5458</c:v>
                </c:pt>
                <c:pt idx="12">
                  <c:v>3772</c:v>
                </c:pt>
                <c:pt idx="13">
                  <c:v>3118</c:v>
                </c:pt>
              </c:numCache>
            </c:numRef>
          </c:xVal>
          <c:yVal>
            <c:numRef>
              <c:f>'For ArcGIS'!$R$2:$R$15</c:f>
              <c:numCache>
                <c:formatCode>General</c:formatCode>
                <c:ptCount val="14"/>
                <c:pt idx="0">
                  <c:v>615.06084048202615</c:v>
                </c:pt>
                <c:pt idx="1">
                  <c:v>569.46718231504985</c:v>
                </c:pt>
                <c:pt idx="2">
                  <c:v>1111.1505466729368</c:v>
                </c:pt>
                <c:pt idx="3">
                  <c:v>1238.8586830288016</c:v>
                </c:pt>
                <c:pt idx="4">
                  <c:v>835.528178354734</c:v>
                </c:pt>
                <c:pt idx="5">
                  <c:v>1198.1508079847911</c:v>
                </c:pt>
                <c:pt idx="6">
                  <c:v>1291.5022249117728</c:v>
                </c:pt>
                <c:pt idx="7">
                  <c:v>1259.177484265959</c:v>
                </c:pt>
                <c:pt idx="8">
                  <c:v>1203.9753714037249</c:v>
                </c:pt>
                <c:pt idx="9">
                  <c:v>1025.6974225526644</c:v>
                </c:pt>
                <c:pt idx="10">
                  <c:v>1259.6822605561276</c:v>
                </c:pt>
                <c:pt idx="11">
                  <c:v>1123.6057303135158</c:v>
                </c:pt>
                <c:pt idx="12">
                  <c:v>1053.4369701280227</c:v>
                </c:pt>
                <c:pt idx="13">
                  <c:v>1194.467775609756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B-EA4F-8011-845B5D5C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19727"/>
        <c:axId val="1964421439"/>
      </c:scatterChart>
      <c:valAx>
        <c:axId val="19644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Occupied</a:t>
                </a:r>
                <a:r>
                  <a:rPr lang="en-US" baseline="0"/>
                  <a:t> Dwellings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21439"/>
        <c:crosses val="autoZero"/>
        <c:crossBetween val="midCat"/>
      </c:valAx>
      <c:valAx>
        <c:axId val="19644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Family Energy Consumed </a:t>
            </a:r>
            <a:r>
              <a:rPr lang="en-US" baseline="0"/>
              <a:t>and CO2 Emissions Per Captia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ArcGIS'!$O$1</c:f>
              <c:strCache>
                <c:ptCount val="1"/>
                <c:pt idx="0">
                  <c:v>Single Family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5988626421697E-2"/>
                  <c:y val="0.19597841936424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ArcGIS'!$K$2:$K$15</c:f>
              <c:numCache>
                <c:formatCode>General</c:formatCode>
                <c:ptCount val="14"/>
                <c:pt idx="0">
                  <c:v>478830</c:v>
                </c:pt>
                <c:pt idx="1">
                  <c:v>308660</c:v>
                </c:pt>
                <c:pt idx="2">
                  <c:v>329010</c:v>
                </c:pt>
                <c:pt idx="3">
                  <c:v>1011010</c:v>
                </c:pt>
                <c:pt idx="4">
                  <c:v>716650</c:v>
                </c:pt>
                <c:pt idx="5">
                  <c:v>588500</c:v>
                </c:pt>
                <c:pt idx="6">
                  <c:v>1161820</c:v>
                </c:pt>
                <c:pt idx="7">
                  <c:v>973830</c:v>
                </c:pt>
                <c:pt idx="8">
                  <c:v>1099230</c:v>
                </c:pt>
                <c:pt idx="9">
                  <c:v>888250</c:v>
                </c:pt>
                <c:pt idx="10">
                  <c:v>623260</c:v>
                </c:pt>
                <c:pt idx="11">
                  <c:v>624250</c:v>
                </c:pt>
                <c:pt idx="12">
                  <c:v>370150</c:v>
                </c:pt>
                <c:pt idx="13">
                  <c:v>574200</c:v>
                </c:pt>
              </c:numCache>
            </c:numRef>
          </c:xVal>
          <c:yVal>
            <c:numRef>
              <c:f>'For ArcGIS'!$O$2:$O$15</c:f>
              <c:numCache>
                <c:formatCode>General</c:formatCode>
                <c:ptCount val="14"/>
                <c:pt idx="0">
                  <c:v>848.76043737574548</c:v>
                </c:pt>
                <c:pt idx="1">
                  <c:v>774.2422922715333</c:v>
                </c:pt>
                <c:pt idx="2">
                  <c:v>751.36255924170621</c:v>
                </c:pt>
                <c:pt idx="3">
                  <c:v>917.47696359717031</c:v>
                </c:pt>
                <c:pt idx="4">
                  <c:v>630.02153446997772</c:v>
                </c:pt>
                <c:pt idx="5">
                  <c:v>793.88569741221943</c:v>
                </c:pt>
                <c:pt idx="6">
                  <c:v>1010.9892739553986</c:v>
                </c:pt>
                <c:pt idx="7">
                  <c:v>967.5305019631021</c:v>
                </c:pt>
                <c:pt idx="8">
                  <c:v>948.10691940779282</c:v>
                </c:pt>
                <c:pt idx="9">
                  <c:v>773.40041600049676</c:v>
                </c:pt>
                <c:pt idx="10">
                  <c:v>962.7604381976023</c:v>
                </c:pt>
                <c:pt idx="11">
                  <c:v>781.53075899759119</c:v>
                </c:pt>
                <c:pt idx="12">
                  <c:v>812.9224977236114</c:v>
                </c:pt>
                <c:pt idx="13">
                  <c:v>855.52786655339355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3-4D4D-B793-B40B24E0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4175"/>
        <c:axId val="2038583887"/>
      </c:scatterChart>
      <c:valAx>
        <c:axId val="203885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(GJ)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83887"/>
        <c:crosses val="autoZero"/>
        <c:crossBetween val="midCat"/>
      </c:valAx>
      <c:valAx>
        <c:axId val="20385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Duplex Energy Consumed and</a:t>
            </a:r>
            <a:r>
              <a:rPr lang="en-US" baseline="0"/>
              <a:t> </a:t>
            </a:r>
            <a:r>
              <a:rPr lang="en-US"/>
              <a:t>CO2 Emissions Per Captia</a:t>
            </a:r>
          </a:p>
        </c:rich>
      </c:tx>
      <c:layout>
        <c:manualLayout>
          <c:xMode val="edge"/>
          <c:yMode val="edge"/>
          <c:x val="0.10718409598192344"/>
          <c:y val="3.156433407776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ArcGIS'!$P$1</c:f>
              <c:strCache>
                <c:ptCount val="1"/>
                <c:pt idx="0">
                  <c:v>Duplex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0328083989501E-2"/>
                  <c:y val="0.15237386993292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ArcGIS'!$L$2:$L$15</c:f>
              <c:numCache>
                <c:formatCode>General</c:formatCode>
                <c:ptCount val="14"/>
                <c:pt idx="0">
                  <c:v>375663.89999999997</c:v>
                </c:pt>
                <c:pt idx="1">
                  <c:v>242157.8</c:v>
                </c:pt>
                <c:pt idx="2">
                  <c:v>258123.3</c:v>
                </c:pt>
                <c:pt idx="3">
                  <c:v>793183.29999999993</c:v>
                </c:pt>
                <c:pt idx="4">
                  <c:v>562244.5</c:v>
                </c:pt>
                <c:pt idx="5">
                  <c:v>461705</c:v>
                </c:pt>
                <c:pt idx="6">
                  <c:v>911500.6</c:v>
                </c:pt>
                <c:pt idx="7">
                  <c:v>764013.9</c:v>
                </c:pt>
                <c:pt idx="8">
                  <c:v>862395.9</c:v>
                </c:pt>
                <c:pt idx="9">
                  <c:v>696872.5</c:v>
                </c:pt>
                <c:pt idx="10">
                  <c:v>488975.8</c:v>
                </c:pt>
                <c:pt idx="11">
                  <c:v>489752.5</c:v>
                </c:pt>
                <c:pt idx="12">
                  <c:v>290399.5</c:v>
                </c:pt>
                <c:pt idx="13">
                  <c:v>450486</c:v>
                </c:pt>
              </c:numCache>
            </c:numRef>
          </c:xVal>
          <c:yVal>
            <c:numRef>
              <c:f>'For ArcGIS'!$P$2:$P$15</c:f>
              <c:numCache>
                <c:formatCode>General</c:formatCode>
                <c:ptCount val="14"/>
                <c:pt idx="0">
                  <c:v>835.6875143579141</c:v>
                </c:pt>
                <c:pt idx="1">
                  <c:v>765.27075908766926</c:v>
                </c:pt>
                <c:pt idx="2">
                  <c:v>747.44132397191572</c:v>
                </c:pt>
                <c:pt idx="3">
                  <c:v>751.68960396039608</c:v>
                </c:pt>
                <c:pt idx="4">
                  <c:v>569.80316960859557</c:v>
                </c:pt>
                <c:pt idx="5">
                  <c:v>866.16096261682253</c:v>
                </c:pt>
                <c:pt idx="6">
                  <c:v>738.78223347850792</c:v>
                </c:pt>
                <c:pt idx="7">
                  <c:v>755.80058737151262</c:v>
                </c:pt>
                <c:pt idx="8">
                  <c:v>689.98817172020426</c:v>
                </c:pt>
                <c:pt idx="9">
                  <c:v>671.97837151702777</c:v>
                </c:pt>
                <c:pt idx="10">
                  <c:v>813.00855100600086</c:v>
                </c:pt>
                <c:pt idx="11">
                  <c:v>773.01653744493387</c:v>
                </c:pt>
                <c:pt idx="12">
                  <c:v>804.23447251114408</c:v>
                </c:pt>
                <c:pt idx="13">
                  <c:v>801.32560344827596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A-A54E-AF35-92D577B4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56383"/>
        <c:axId val="1587491759"/>
      </c:scatterChart>
      <c:valAx>
        <c:axId val="162845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(GJ)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1759"/>
        <c:crosses val="autoZero"/>
        <c:crossBetween val="midCat"/>
      </c:valAx>
      <c:valAx>
        <c:axId val="1587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Townhouse Energy Consumed and CO2 Emissions Per Captia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ArcGIS'!$Q$1</c:f>
              <c:strCache>
                <c:ptCount val="1"/>
                <c:pt idx="0">
                  <c:v>Townhouse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647200349956252E-2"/>
                  <c:y val="-0.1542599883347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ArcGIS'!$M$2:$M$15</c:f>
              <c:numCache>
                <c:formatCode>General</c:formatCode>
                <c:ptCount val="14"/>
                <c:pt idx="0">
                  <c:v>761749.4</c:v>
                </c:pt>
                <c:pt idx="1">
                  <c:v>884153.4</c:v>
                </c:pt>
                <c:pt idx="2">
                  <c:v>491081.4</c:v>
                </c:pt>
                <c:pt idx="3">
                  <c:v>1311360.6000000001</c:v>
                </c:pt>
                <c:pt idx="4">
                  <c:v>1213006.4000000001</c:v>
                </c:pt>
                <c:pt idx="5">
                  <c:v>983973</c:v>
                </c:pt>
                <c:pt idx="6">
                  <c:v>772783</c:v>
                </c:pt>
                <c:pt idx="7">
                  <c:v>983628.20000000007</c:v>
                </c:pt>
                <c:pt idx="8">
                  <c:v>1525998.6</c:v>
                </c:pt>
                <c:pt idx="9">
                  <c:v>1382389.4000000001</c:v>
                </c:pt>
                <c:pt idx="10">
                  <c:v>946820.8</c:v>
                </c:pt>
                <c:pt idx="11">
                  <c:v>913116.6</c:v>
                </c:pt>
                <c:pt idx="12">
                  <c:v>755629.20000000007</c:v>
                </c:pt>
                <c:pt idx="13">
                  <c:v>634345.80000000005</c:v>
                </c:pt>
              </c:numCache>
            </c:numRef>
          </c:xVal>
          <c:yVal>
            <c:numRef>
              <c:f>'For ArcGIS'!$Q$2:$Q$15</c:f>
              <c:numCache>
                <c:formatCode>General</c:formatCode>
                <c:ptCount val="14"/>
                <c:pt idx="0">
                  <c:v>949.11445060540905</c:v>
                </c:pt>
                <c:pt idx="1">
                  <c:v>845.85484790874534</c:v>
                </c:pt>
                <c:pt idx="2">
                  <c:v>426.21208530805688</c:v>
                </c:pt>
                <c:pt idx="3">
                  <c:v>430.98374334450807</c:v>
                </c:pt>
                <c:pt idx="4">
                  <c:v>337.37480457646387</c:v>
                </c:pt>
                <c:pt idx="5">
                  <c:v>463.6142082785808</c:v>
                </c:pt>
                <c:pt idx="6">
                  <c:v>521.70330451756831</c:v>
                </c:pt>
                <c:pt idx="7">
                  <c:v>495.97731355709402</c:v>
                </c:pt>
                <c:pt idx="8">
                  <c:v>441.3889383155398</c:v>
                </c:pt>
                <c:pt idx="9">
                  <c:v>369.22964862505455</c:v>
                </c:pt>
                <c:pt idx="10">
                  <c:v>466.59195762017481</c:v>
                </c:pt>
                <c:pt idx="11">
                  <c:v>473.93095086377804</c:v>
                </c:pt>
                <c:pt idx="12">
                  <c:v>435.24362594113626</c:v>
                </c:pt>
                <c:pt idx="13">
                  <c:v>428.44751324908276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4-604F-83AE-5A00C3E2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374383"/>
        <c:axId val="1688180511"/>
      </c:scatterChart>
      <c:valAx>
        <c:axId val="19513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(GJ)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80511"/>
        <c:crosses val="autoZero"/>
        <c:crossBetween val="midCat"/>
      </c:valAx>
      <c:valAx>
        <c:axId val="1688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Apartment Energy Consumed  and CO2 Emissions Per Captia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ArcGIS'!$R$1</c:f>
              <c:strCache>
                <c:ptCount val="1"/>
                <c:pt idx="0">
                  <c:v>Apartment - CO2 Per Captia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435476815398076E-2"/>
                  <c:y val="0.13805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ArcGIS'!$N$2:$N$15</c:f>
              <c:numCache>
                <c:formatCode>General</c:formatCode>
                <c:ptCount val="14"/>
                <c:pt idx="0">
                  <c:v>324972</c:v>
                </c:pt>
                <c:pt idx="1">
                  <c:v>226692.75</c:v>
                </c:pt>
                <c:pt idx="2">
                  <c:v>188195.25</c:v>
                </c:pt>
                <c:pt idx="3">
                  <c:v>285766.5</c:v>
                </c:pt>
                <c:pt idx="4">
                  <c:v>313599.75</c:v>
                </c:pt>
                <c:pt idx="5">
                  <c:v>372408</c:v>
                </c:pt>
                <c:pt idx="6">
                  <c:v>978013.5</c:v>
                </c:pt>
                <c:pt idx="7">
                  <c:v>2067094.5</c:v>
                </c:pt>
                <c:pt idx="8">
                  <c:v>610605.75</c:v>
                </c:pt>
                <c:pt idx="9">
                  <c:v>178548.75</c:v>
                </c:pt>
                <c:pt idx="10">
                  <c:v>1246035.75</c:v>
                </c:pt>
                <c:pt idx="11">
                  <c:v>422012.25</c:v>
                </c:pt>
                <c:pt idx="12">
                  <c:v>311077.5</c:v>
                </c:pt>
                <c:pt idx="13">
                  <c:v>226781.25</c:v>
                </c:pt>
              </c:numCache>
            </c:numRef>
          </c:xVal>
          <c:yVal>
            <c:numRef>
              <c:f>'For ArcGIS'!$R$2:$R$15</c:f>
              <c:numCache>
                <c:formatCode>General</c:formatCode>
                <c:ptCount val="14"/>
                <c:pt idx="0">
                  <c:v>615.06084048202615</c:v>
                </c:pt>
                <c:pt idx="1">
                  <c:v>569.46718231504985</c:v>
                </c:pt>
                <c:pt idx="2">
                  <c:v>1111.1505466729368</c:v>
                </c:pt>
                <c:pt idx="3">
                  <c:v>1238.8586830288016</c:v>
                </c:pt>
                <c:pt idx="4">
                  <c:v>835.528178354734</c:v>
                </c:pt>
                <c:pt idx="5">
                  <c:v>1198.1508079847911</c:v>
                </c:pt>
                <c:pt idx="6">
                  <c:v>1291.5022249117728</c:v>
                </c:pt>
                <c:pt idx="7">
                  <c:v>1259.177484265959</c:v>
                </c:pt>
                <c:pt idx="8">
                  <c:v>1203.9753714037249</c:v>
                </c:pt>
                <c:pt idx="9">
                  <c:v>1025.6974225526644</c:v>
                </c:pt>
                <c:pt idx="10">
                  <c:v>1259.6822605561276</c:v>
                </c:pt>
                <c:pt idx="11">
                  <c:v>1123.6057303135158</c:v>
                </c:pt>
                <c:pt idx="12">
                  <c:v>1053.4369701280227</c:v>
                </c:pt>
                <c:pt idx="13">
                  <c:v>1194.467775609756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F-A64B-9D0E-B17EC6F6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46527"/>
        <c:axId val="1729405311"/>
      </c:scatterChart>
      <c:valAx>
        <c:axId val="16880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(GJ)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05311"/>
        <c:crosses val="autoZero"/>
        <c:crossBetween val="midCat"/>
      </c:valAx>
      <c:valAx>
        <c:axId val="17294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total and Single Family - CO2 Emissions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ArcGIS'!$S$1</c:f>
              <c:strCache>
                <c:ptCount val="1"/>
                <c:pt idx="0">
                  <c:v>Ward total - CO2 Per Capita 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965223097112863E-2"/>
                  <c:y val="0.23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ArcGIS'!$O$2:$O$15</c:f>
              <c:numCache>
                <c:formatCode>General</c:formatCode>
                <c:ptCount val="14"/>
                <c:pt idx="0">
                  <c:v>848.76043737574548</c:v>
                </c:pt>
                <c:pt idx="1">
                  <c:v>774.2422922715333</c:v>
                </c:pt>
                <c:pt idx="2">
                  <c:v>751.36255924170621</c:v>
                </c:pt>
                <c:pt idx="3">
                  <c:v>917.47696359717031</c:v>
                </c:pt>
                <c:pt idx="4">
                  <c:v>630.02153446997772</c:v>
                </c:pt>
                <c:pt idx="5">
                  <c:v>793.88569741221943</c:v>
                </c:pt>
                <c:pt idx="6">
                  <c:v>1010.9892739553986</c:v>
                </c:pt>
                <c:pt idx="7">
                  <c:v>967.5305019631021</c:v>
                </c:pt>
                <c:pt idx="8">
                  <c:v>948.10691940779282</c:v>
                </c:pt>
                <c:pt idx="9">
                  <c:v>773.40041600049676</c:v>
                </c:pt>
                <c:pt idx="10">
                  <c:v>962.7604381976023</c:v>
                </c:pt>
                <c:pt idx="11">
                  <c:v>781.53075899759119</c:v>
                </c:pt>
                <c:pt idx="12">
                  <c:v>812.9224977236114</c:v>
                </c:pt>
                <c:pt idx="13">
                  <c:v>855.52786655339355</c:v>
                </c:pt>
              </c:numCache>
            </c:numRef>
          </c:xVal>
          <c:yVal>
            <c:numRef>
              <c:f>'For ArcGIS'!$S$2:$S$15</c:f>
              <c:numCache>
                <c:formatCode>General</c:formatCode>
                <c:ptCount val="14"/>
                <c:pt idx="0">
                  <c:v>3248.6232428210942</c:v>
                </c:pt>
                <c:pt idx="1">
                  <c:v>2954.8350815829976</c:v>
                </c:pt>
                <c:pt idx="2">
                  <c:v>3036.1665151946154</c:v>
                </c:pt>
                <c:pt idx="3">
                  <c:v>3339.0089939308764</c:v>
                </c:pt>
                <c:pt idx="4">
                  <c:v>2372.7276870097712</c:v>
                </c:pt>
                <c:pt idx="5">
                  <c:v>3321.8116762924137</c:v>
                </c:pt>
                <c:pt idx="6">
                  <c:v>3562.977036863248</c:v>
                </c:pt>
                <c:pt idx="7">
                  <c:v>3478.485887157668</c:v>
                </c:pt>
                <c:pt idx="8">
                  <c:v>3283.4594008472613</c:v>
                </c:pt>
                <c:pt idx="9">
                  <c:v>2840.3058586952434</c:v>
                </c:pt>
                <c:pt idx="10">
                  <c:v>3502.0432073799057</c:v>
                </c:pt>
                <c:pt idx="11">
                  <c:v>3152.0839776198191</c:v>
                </c:pt>
                <c:pt idx="12">
                  <c:v>3105.8375663039142</c:v>
                </c:pt>
                <c:pt idx="13">
                  <c:v>3279.7687588605086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4-AD40-AA58-B472CB7D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36127"/>
        <c:axId val="1596392463"/>
      </c:scatterChart>
      <c:valAx>
        <c:axId val="1601136127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</a:t>
                </a:r>
                <a:r>
                  <a:rPr lang="en-US" baseline="0"/>
                  <a:t> Family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92463"/>
        <c:crosses val="autoZero"/>
        <c:crossBetween val="midCat"/>
      </c:valAx>
      <c:valAx>
        <c:axId val="1596392463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Ward</a:t>
                </a:r>
                <a:r>
                  <a:rPr lang="en-US" baseline="0"/>
                  <a:t> CO2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80107</xdr:colOff>
      <xdr:row>18</xdr:row>
      <xdr:rowOff>50889</xdr:rowOff>
    </xdr:from>
    <xdr:to>
      <xdr:col>3</xdr:col>
      <xdr:colOff>219807</xdr:colOff>
      <xdr:row>32</xdr:row>
      <xdr:rowOff>132861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D3CE5-2E8D-EE38-CF1A-1E0C02DA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312792</xdr:colOff>
      <xdr:row>18</xdr:row>
      <xdr:rowOff>45561</xdr:rowOff>
    </xdr:from>
    <xdr:to>
      <xdr:col>6</xdr:col>
      <xdr:colOff>84192</xdr:colOff>
      <xdr:row>32</xdr:row>
      <xdr:rowOff>126646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809D5-6590-66E9-BD35-FF75FD23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164745</xdr:colOff>
      <xdr:row>18</xdr:row>
      <xdr:rowOff>39610</xdr:rowOff>
    </xdr:from>
    <xdr:to>
      <xdr:col>9</xdr:col>
      <xdr:colOff>75845</xdr:colOff>
      <xdr:row>32</xdr:row>
      <xdr:rowOff>120695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6EF79-A3E9-E017-2942-6B3D68116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157285</xdr:colOff>
      <xdr:row>18</xdr:row>
      <xdr:rowOff>38099</xdr:rowOff>
    </xdr:from>
    <xdr:to>
      <xdr:col>11</xdr:col>
      <xdr:colOff>982785</xdr:colOff>
      <xdr:row>32</xdr:row>
      <xdr:rowOff>119183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FBC1A-7613-3466-FF04-6147159D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83527</xdr:colOff>
      <xdr:row>33</xdr:row>
      <xdr:rowOff>9769</xdr:rowOff>
    </xdr:from>
    <xdr:to>
      <xdr:col>3</xdr:col>
      <xdr:colOff>223227</xdr:colOff>
      <xdr:row>47</xdr:row>
      <xdr:rowOff>90854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B9EEA-D1A7-C675-CF4C-9C5E16CE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301381</xdr:colOff>
      <xdr:row>33</xdr:row>
      <xdr:rowOff>0</xdr:rowOff>
    </xdr:from>
    <xdr:to>
      <xdr:col>6</xdr:col>
      <xdr:colOff>72781</xdr:colOff>
      <xdr:row>47</xdr:row>
      <xdr:rowOff>81085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960A23-65D3-1AF0-1FB3-2D23F97B2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164611</xdr:colOff>
      <xdr:row>33</xdr:row>
      <xdr:rowOff>0</xdr:rowOff>
    </xdr:from>
    <xdr:to>
      <xdr:col>9</xdr:col>
      <xdr:colOff>75711</xdr:colOff>
      <xdr:row>47</xdr:row>
      <xdr:rowOff>81085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B4DE1-8A2C-4824-59DD-E6AEAD0FC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160703</xdr:colOff>
      <xdr:row>32</xdr:row>
      <xdr:rowOff>178776</xdr:rowOff>
    </xdr:from>
    <xdr:to>
      <xdr:col>11</xdr:col>
      <xdr:colOff>986203</xdr:colOff>
      <xdr:row>47</xdr:row>
      <xdr:rowOff>64477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99369-94BB-6E6B-80A2-9E5D5348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1052812</xdr:colOff>
      <xdr:row>18</xdr:row>
      <xdr:rowOff>33661</xdr:rowOff>
    </xdr:from>
    <xdr:to>
      <xdr:col>13</xdr:col>
      <xdr:colOff>1801135</xdr:colOff>
      <xdr:row>32</xdr:row>
      <xdr:rowOff>115633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6DA3BE-144B-5D12-C2C0-648CF2459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1063205</xdr:colOff>
      <xdr:row>32</xdr:row>
      <xdr:rowOff>181708</xdr:rowOff>
    </xdr:from>
    <xdr:to>
      <xdr:col>13</xdr:col>
      <xdr:colOff>1811528</xdr:colOff>
      <xdr:row>47</xdr:row>
      <xdr:rowOff>68296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F54644-DDB9-D148-F034-7A94F402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1888792</xdr:colOff>
      <xdr:row>18</xdr:row>
      <xdr:rowOff>32505</xdr:rowOff>
    </xdr:from>
    <xdr:to>
      <xdr:col>16</xdr:col>
      <xdr:colOff>378469</xdr:colOff>
      <xdr:row>32</xdr:row>
      <xdr:rowOff>114477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53C8E0-30F9-F607-0892-1C632F84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1877246</xdr:colOff>
      <xdr:row>32</xdr:row>
      <xdr:rowOff>179931</xdr:rowOff>
    </xdr:from>
    <xdr:to>
      <xdr:col>16</xdr:col>
      <xdr:colOff>366923</xdr:colOff>
      <xdr:row>47</xdr:row>
      <xdr:rowOff>66519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07C8B3-B827-A517-A5F7-AB718AD3D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8159-15D5-034E-9A4D-75847089ADDD}">
  <dimension ref="A1:O166"/>
  <sheetViews>
    <sheetView topLeftCell="B1" zoomScale="80" zoomScaleNormal="80" workbookViewId="0">
      <selection activeCell="I48" sqref="I48"/>
    </sheetView>
  </sheetViews>
  <sheetFormatPr baseColWidth="10" defaultRowHeight="15" x14ac:dyDescent="0.2"/>
  <cols>
    <col min="1" max="1" width="8.83203125"/>
    <col min="2" max="2" width="36" bestFit="1" customWidth="1"/>
    <col min="3" max="5" width="21" customWidth="1"/>
    <col min="6" max="6" width="34.33203125" customWidth="1"/>
    <col min="7" max="7" width="36.5" bestFit="1" customWidth="1"/>
    <col min="8" max="8" width="21.83203125" bestFit="1" customWidth="1"/>
    <col min="9" max="9" width="23.6640625" bestFit="1" customWidth="1"/>
    <col min="10" max="10" width="17.5" bestFit="1" customWidth="1"/>
    <col min="11" max="11" width="36.5" bestFit="1" customWidth="1"/>
    <col min="12" max="12" width="21.83203125" bestFit="1" customWidth="1"/>
    <col min="13" max="13" width="1.5" customWidth="1"/>
    <col min="14" max="14" width="17.6640625" bestFit="1" customWidth="1"/>
    <col min="15" max="15" width="19.6640625" bestFit="1" customWidth="1"/>
  </cols>
  <sheetData>
    <row r="1" spans="1:15" ht="16" thickBot="1" x14ac:dyDescent="0.25">
      <c r="A1" s="4" t="s">
        <v>39</v>
      </c>
      <c r="B1" s="9" t="s">
        <v>40</v>
      </c>
      <c r="C1" s="4"/>
      <c r="D1" s="4" t="s">
        <v>43</v>
      </c>
      <c r="E1" s="4" t="s">
        <v>44</v>
      </c>
      <c r="F1" s="8" t="s">
        <v>52</v>
      </c>
      <c r="G1" s="4" t="s">
        <v>53</v>
      </c>
      <c r="H1" s="7" t="s">
        <v>54</v>
      </c>
      <c r="I1" s="4" t="s">
        <v>55</v>
      </c>
      <c r="J1" s="3" t="s">
        <v>12</v>
      </c>
      <c r="K1" s="3" t="s">
        <v>50</v>
      </c>
      <c r="L1" s="3" t="s">
        <v>51</v>
      </c>
      <c r="N1" s="1"/>
    </row>
    <row r="2" spans="1:15" x14ac:dyDescent="0.2">
      <c r="A2">
        <v>1</v>
      </c>
      <c r="B2" t="s">
        <v>23</v>
      </c>
      <c r="C2" s="5"/>
      <c r="D2" s="5">
        <v>7344</v>
      </c>
      <c r="E2" s="5">
        <v>4487</v>
      </c>
      <c r="F2">
        <f>E2*$K$5</f>
        <v>198549.75</v>
      </c>
      <c r="G2">
        <f t="shared" ref="G2:G33" si="0">F2*0.455</f>
        <v>90340.136249999996</v>
      </c>
      <c r="H2">
        <f t="shared" ref="H2:H33" si="1">G2*50</f>
        <v>4517006.8125</v>
      </c>
      <c r="I2">
        <f t="shared" ref="I2:I33" si="2">H2/D2</f>
        <v>615.06084048202615</v>
      </c>
      <c r="J2" t="s">
        <v>33</v>
      </c>
      <c r="K2" s="5">
        <v>110</v>
      </c>
      <c r="L2">
        <f>K2*0.455</f>
        <v>50.050000000000004</v>
      </c>
      <c r="O2" s="5"/>
    </row>
    <row r="3" spans="1:15" x14ac:dyDescent="0.2">
      <c r="A3">
        <v>2</v>
      </c>
      <c r="B3" t="s">
        <v>23</v>
      </c>
      <c r="C3" s="5"/>
      <c r="D3" s="5">
        <v>5123</v>
      </c>
      <c r="E3" s="5">
        <v>2898</v>
      </c>
      <c r="F3">
        <f>E3*$K$5</f>
        <v>128236.5</v>
      </c>
      <c r="G3">
        <f t="shared" si="0"/>
        <v>58347.607500000006</v>
      </c>
      <c r="H3">
        <f t="shared" si="1"/>
        <v>2917380.3750000005</v>
      </c>
      <c r="I3">
        <f t="shared" si="2"/>
        <v>569.46718231504985</v>
      </c>
      <c r="J3" t="s">
        <v>24</v>
      </c>
      <c r="K3" s="5">
        <v>86.2</v>
      </c>
      <c r="L3">
        <f t="shared" ref="L3" si="3">K3*0.455</f>
        <v>39.221000000000004</v>
      </c>
      <c r="O3" s="5"/>
    </row>
    <row r="4" spans="1:15" x14ac:dyDescent="0.2">
      <c r="A4">
        <v>3</v>
      </c>
      <c r="B4" t="s">
        <v>23</v>
      </c>
      <c r="C4" s="5"/>
      <c r="D4" s="5">
        <v>4253</v>
      </c>
      <c r="E4" s="5">
        <v>2407</v>
      </c>
      <c r="F4">
        <f t="shared" ref="F4:F15" si="4">E4*$K$4</f>
        <v>207724.1</v>
      </c>
      <c r="G4">
        <f t="shared" si="0"/>
        <v>94514.465500000006</v>
      </c>
      <c r="H4">
        <f t="shared" si="1"/>
        <v>4725723.2750000004</v>
      </c>
      <c r="I4">
        <f t="shared" si="2"/>
        <v>1111.1505466729368</v>
      </c>
      <c r="J4" t="s">
        <v>21</v>
      </c>
      <c r="K4" s="5">
        <v>86.3</v>
      </c>
      <c r="L4">
        <f>K4*0.455</f>
        <v>39.266500000000001</v>
      </c>
    </row>
    <row r="5" spans="1:15" x14ac:dyDescent="0.2">
      <c r="A5">
        <v>4</v>
      </c>
      <c r="B5" t="s">
        <v>23</v>
      </c>
      <c r="C5" s="5"/>
      <c r="D5" s="5">
        <v>6458</v>
      </c>
      <c r="E5" s="5">
        <v>4075</v>
      </c>
      <c r="F5">
        <f t="shared" si="4"/>
        <v>351672.5</v>
      </c>
      <c r="G5">
        <f t="shared" si="0"/>
        <v>160010.98750000002</v>
      </c>
      <c r="H5">
        <f t="shared" si="1"/>
        <v>8000549.3750000009</v>
      </c>
      <c r="I5">
        <f t="shared" si="2"/>
        <v>1238.8586830288016</v>
      </c>
      <c r="J5" t="s">
        <v>23</v>
      </c>
      <c r="K5" s="5">
        <v>44.25</v>
      </c>
      <c r="L5">
        <f>K5*0.455</f>
        <v>20.133749999999999</v>
      </c>
    </row>
    <row r="6" spans="1:15" x14ac:dyDescent="0.2">
      <c r="A6">
        <v>5</v>
      </c>
      <c r="B6" t="s">
        <v>23</v>
      </c>
      <c r="C6" s="5"/>
      <c r="D6" s="5">
        <v>7087</v>
      </c>
      <c r="E6" s="5">
        <v>3016</v>
      </c>
      <c r="F6">
        <f t="shared" si="4"/>
        <v>260280.8</v>
      </c>
      <c r="G6">
        <f t="shared" si="0"/>
        <v>118427.764</v>
      </c>
      <c r="H6">
        <f t="shared" si="1"/>
        <v>5921388.2000000002</v>
      </c>
      <c r="I6">
        <f t="shared" si="2"/>
        <v>835.528178354734</v>
      </c>
      <c r="K6" s="5"/>
      <c r="O6" s="5"/>
    </row>
    <row r="7" spans="1:15" x14ac:dyDescent="0.2">
      <c r="A7">
        <v>6</v>
      </c>
      <c r="B7" t="s">
        <v>23</v>
      </c>
      <c r="C7" s="5"/>
      <c r="D7" s="5">
        <v>8416</v>
      </c>
      <c r="E7" s="5">
        <v>5136</v>
      </c>
      <c r="F7">
        <f t="shared" si="4"/>
        <v>443236.8</v>
      </c>
      <c r="G7">
        <f t="shared" si="0"/>
        <v>201672.74400000001</v>
      </c>
      <c r="H7">
        <f t="shared" si="1"/>
        <v>10083637.200000001</v>
      </c>
      <c r="I7">
        <f t="shared" si="2"/>
        <v>1198.1508079847911</v>
      </c>
      <c r="O7" s="5"/>
    </row>
    <row r="8" spans="1:15" x14ac:dyDescent="0.2">
      <c r="A8">
        <v>7</v>
      </c>
      <c r="B8" t="s">
        <v>23</v>
      </c>
      <c r="C8" s="5"/>
      <c r="D8" s="5">
        <v>22102</v>
      </c>
      <c r="E8" s="5">
        <v>14539</v>
      </c>
      <c r="F8">
        <f t="shared" si="4"/>
        <v>1254715.7</v>
      </c>
      <c r="G8">
        <f t="shared" si="0"/>
        <v>570895.64350000001</v>
      </c>
      <c r="H8">
        <f t="shared" si="1"/>
        <v>28544782.175000001</v>
      </c>
      <c r="I8">
        <f t="shared" si="2"/>
        <v>1291.5022249117728</v>
      </c>
    </row>
    <row r="9" spans="1:15" x14ac:dyDescent="0.2">
      <c r="A9">
        <v>8</v>
      </c>
      <c r="B9" t="s">
        <v>23</v>
      </c>
      <c r="C9" s="5"/>
      <c r="D9" s="5">
        <v>46714</v>
      </c>
      <c r="E9" s="5">
        <v>29960</v>
      </c>
      <c r="F9">
        <f t="shared" si="4"/>
        <v>2585548</v>
      </c>
      <c r="G9">
        <f t="shared" si="0"/>
        <v>1176424.3400000001</v>
      </c>
      <c r="H9">
        <f t="shared" si="1"/>
        <v>58821217.000000007</v>
      </c>
      <c r="I9">
        <f t="shared" si="2"/>
        <v>1259.177484265959</v>
      </c>
    </row>
    <row r="10" spans="1:15" x14ac:dyDescent="0.2">
      <c r="A10">
        <v>9</v>
      </c>
      <c r="B10" t="s">
        <v>23</v>
      </c>
      <c r="C10" s="5"/>
      <c r="D10" s="5">
        <v>13799</v>
      </c>
      <c r="E10" s="5">
        <v>8462</v>
      </c>
      <c r="F10">
        <f t="shared" si="4"/>
        <v>730270.6</v>
      </c>
      <c r="G10">
        <f t="shared" si="0"/>
        <v>332273.12300000002</v>
      </c>
      <c r="H10">
        <f t="shared" si="1"/>
        <v>16613656.15</v>
      </c>
      <c r="I10">
        <f t="shared" si="2"/>
        <v>1203.9753714037249</v>
      </c>
    </row>
    <row r="11" spans="1:15" x14ac:dyDescent="0.2">
      <c r="A11">
        <v>10</v>
      </c>
      <c r="B11" t="s">
        <v>23</v>
      </c>
      <c r="C11" s="5"/>
      <c r="D11" s="5">
        <v>4035</v>
      </c>
      <c r="E11" s="5">
        <v>2108</v>
      </c>
      <c r="F11">
        <f t="shared" si="4"/>
        <v>181920.4</v>
      </c>
      <c r="G11">
        <f t="shared" si="0"/>
        <v>82773.782000000007</v>
      </c>
      <c r="H11">
        <f t="shared" si="1"/>
        <v>4138689.1000000006</v>
      </c>
      <c r="I11">
        <f t="shared" si="2"/>
        <v>1025.6974225526644</v>
      </c>
    </row>
    <row r="12" spans="1:15" x14ac:dyDescent="0.2">
      <c r="A12">
        <v>11</v>
      </c>
      <c r="B12" t="s">
        <v>23</v>
      </c>
      <c r="C12" s="5"/>
      <c r="D12" s="5">
        <v>28159</v>
      </c>
      <c r="E12" s="5">
        <v>18067</v>
      </c>
      <c r="F12">
        <f t="shared" si="4"/>
        <v>1559182.0999999999</v>
      </c>
      <c r="G12">
        <f t="shared" si="0"/>
        <v>709427.85549999995</v>
      </c>
      <c r="H12">
        <f t="shared" si="1"/>
        <v>35471392.774999999</v>
      </c>
      <c r="I12">
        <f t="shared" si="2"/>
        <v>1259.6822605561276</v>
      </c>
    </row>
    <row r="13" spans="1:15" x14ac:dyDescent="0.2">
      <c r="A13">
        <v>12</v>
      </c>
      <c r="B13" t="s">
        <v>23</v>
      </c>
      <c r="C13" s="5"/>
      <c r="D13" s="5">
        <v>9537</v>
      </c>
      <c r="E13" s="5">
        <v>5458</v>
      </c>
      <c r="F13">
        <f t="shared" si="4"/>
        <v>471025.39999999997</v>
      </c>
      <c r="G13">
        <f t="shared" si="0"/>
        <v>214316.557</v>
      </c>
      <c r="H13">
        <f t="shared" si="1"/>
        <v>10715827.85</v>
      </c>
      <c r="I13">
        <f t="shared" si="2"/>
        <v>1123.6057303135158</v>
      </c>
    </row>
    <row r="14" spans="1:15" x14ac:dyDescent="0.2">
      <c r="A14">
        <v>13</v>
      </c>
      <c r="B14" t="s">
        <v>23</v>
      </c>
      <c r="C14" s="5"/>
      <c r="D14" s="5">
        <v>7030</v>
      </c>
      <c r="E14" s="5">
        <v>3772</v>
      </c>
      <c r="F14">
        <f t="shared" si="4"/>
        <v>325523.59999999998</v>
      </c>
      <c r="G14">
        <f t="shared" si="0"/>
        <v>148113.23799999998</v>
      </c>
      <c r="H14">
        <f t="shared" si="1"/>
        <v>7405661.8999999994</v>
      </c>
      <c r="I14">
        <f t="shared" si="2"/>
        <v>1053.4369701280227</v>
      </c>
    </row>
    <row r="15" spans="1:15" x14ac:dyDescent="0.2">
      <c r="A15">
        <v>14</v>
      </c>
      <c r="B15" t="s">
        <v>23</v>
      </c>
      <c r="C15" s="5"/>
      <c r="D15" s="5">
        <v>5125</v>
      </c>
      <c r="E15" s="5">
        <v>3118</v>
      </c>
      <c r="F15">
        <f t="shared" si="4"/>
        <v>269083.39999999997</v>
      </c>
      <c r="G15">
        <f t="shared" si="0"/>
        <v>122432.94699999999</v>
      </c>
      <c r="H15">
        <f t="shared" si="1"/>
        <v>6121647.3499999996</v>
      </c>
      <c r="I15">
        <f t="shared" si="2"/>
        <v>1194.467775609756</v>
      </c>
    </row>
    <row r="16" spans="1:15" x14ac:dyDescent="0.2">
      <c r="A16">
        <v>1</v>
      </c>
      <c r="B16" t="s">
        <v>21</v>
      </c>
      <c r="C16" s="5"/>
      <c r="D16" s="5">
        <v>4353</v>
      </c>
      <c r="E16" s="5">
        <v>1855</v>
      </c>
      <c r="F16">
        <f t="shared" ref="F16:F29" si="5">E16*$K$3</f>
        <v>159901</v>
      </c>
      <c r="G16">
        <f t="shared" si="0"/>
        <v>72754.955000000002</v>
      </c>
      <c r="H16">
        <f t="shared" si="1"/>
        <v>3637747.75</v>
      </c>
      <c r="I16">
        <f t="shared" si="2"/>
        <v>835.6875143579141</v>
      </c>
    </row>
    <row r="17" spans="1:9" x14ac:dyDescent="0.2">
      <c r="A17">
        <v>2</v>
      </c>
      <c r="B17" t="s">
        <v>21</v>
      </c>
      <c r="C17" s="5"/>
      <c r="D17" s="5">
        <v>2806</v>
      </c>
      <c r="E17" s="5">
        <v>1095</v>
      </c>
      <c r="F17">
        <f t="shared" si="5"/>
        <v>94389</v>
      </c>
      <c r="G17">
        <f t="shared" si="0"/>
        <v>42946.995000000003</v>
      </c>
      <c r="H17">
        <f t="shared" si="1"/>
        <v>2147349.75</v>
      </c>
      <c r="I17">
        <f t="shared" si="2"/>
        <v>765.27075908766926</v>
      </c>
    </row>
    <row r="18" spans="1:9" x14ac:dyDescent="0.2">
      <c r="A18">
        <v>3</v>
      </c>
      <c r="B18" t="s">
        <v>21</v>
      </c>
      <c r="C18" s="5"/>
      <c r="D18" s="5">
        <v>2991</v>
      </c>
      <c r="E18" s="5">
        <v>1140</v>
      </c>
      <c r="F18">
        <f t="shared" si="5"/>
        <v>98268</v>
      </c>
      <c r="G18">
        <f t="shared" si="0"/>
        <v>44711.94</v>
      </c>
      <c r="H18">
        <f t="shared" si="1"/>
        <v>2235597</v>
      </c>
      <c r="I18">
        <f t="shared" si="2"/>
        <v>747.44132397191572</v>
      </c>
    </row>
    <row r="19" spans="1:9" x14ac:dyDescent="0.2">
      <c r="A19">
        <v>4</v>
      </c>
      <c r="B19" t="s">
        <v>21</v>
      </c>
      <c r="C19" s="5"/>
      <c r="D19" s="5">
        <v>9191</v>
      </c>
      <c r="E19" s="5">
        <v>3523</v>
      </c>
      <c r="F19">
        <f t="shared" si="5"/>
        <v>303682.60000000003</v>
      </c>
      <c r="G19">
        <f t="shared" si="0"/>
        <v>138175.58300000001</v>
      </c>
      <c r="H19">
        <f t="shared" si="1"/>
        <v>6908779.1500000004</v>
      </c>
      <c r="I19">
        <f t="shared" si="2"/>
        <v>751.68960396039608</v>
      </c>
    </row>
    <row r="20" spans="1:9" x14ac:dyDescent="0.2">
      <c r="A20">
        <v>5</v>
      </c>
      <c r="B20" t="s">
        <v>21</v>
      </c>
      <c r="C20" s="5"/>
      <c r="D20" s="5">
        <v>6515</v>
      </c>
      <c r="E20" s="5">
        <v>1893</v>
      </c>
      <c r="F20">
        <f t="shared" si="5"/>
        <v>163176.6</v>
      </c>
      <c r="G20">
        <f t="shared" si="0"/>
        <v>74245.353000000003</v>
      </c>
      <c r="H20">
        <f t="shared" si="1"/>
        <v>3712267.6500000004</v>
      </c>
      <c r="I20">
        <f t="shared" si="2"/>
        <v>569.80316960859557</v>
      </c>
    </row>
    <row r="21" spans="1:9" x14ac:dyDescent="0.2">
      <c r="A21">
        <v>6</v>
      </c>
      <c r="B21" t="s">
        <v>21</v>
      </c>
      <c r="C21" s="5"/>
      <c r="D21" s="5">
        <v>5350</v>
      </c>
      <c r="E21" s="5">
        <v>2363</v>
      </c>
      <c r="F21">
        <f t="shared" si="5"/>
        <v>203690.6</v>
      </c>
      <c r="G21">
        <f t="shared" si="0"/>
        <v>92679.223000000013</v>
      </c>
      <c r="H21">
        <f t="shared" si="1"/>
        <v>4633961.1500000004</v>
      </c>
      <c r="I21">
        <f t="shared" si="2"/>
        <v>866.16096261682253</v>
      </c>
    </row>
    <row r="22" spans="1:9" x14ac:dyDescent="0.2">
      <c r="A22">
        <v>7</v>
      </c>
      <c r="B22" t="s">
        <v>21</v>
      </c>
      <c r="C22" s="5"/>
      <c r="D22" s="5">
        <v>10562</v>
      </c>
      <c r="E22" s="5">
        <v>3979</v>
      </c>
      <c r="F22">
        <f t="shared" si="5"/>
        <v>342989.8</v>
      </c>
      <c r="G22">
        <f t="shared" si="0"/>
        <v>156060.359</v>
      </c>
      <c r="H22">
        <f t="shared" si="1"/>
        <v>7803017.9500000002</v>
      </c>
      <c r="I22">
        <f t="shared" si="2"/>
        <v>738.78223347850792</v>
      </c>
    </row>
    <row r="23" spans="1:9" x14ac:dyDescent="0.2">
      <c r="A23">
        <v>8</v>
      </c>
      <c r="B23" t="s">
        <v>21</v>
      </c>
      <c r="C23" s="5"/>
      <c r="D23" s="5">
        <v>8853</v>
      </c>
      <c r="E23" s="5">
        <v>3412</v>
      </c>
      <c r="F23">
        <f t="shared" si="5"/>
        <v>294114.40000000002</v>
      </c>
      <c r="G23">
        <f t="shared" si="0"/>
        <v>133822.05200000003</v>
      </c>
      <c r="H23">
        <f t="shared" si="1"/>
        <v>6691102.6000000015</v>
      </c>
      <c r="I23">
        <f t="shared" si="2"/>
        <v>755.80058737151262</v>
      </c>
    </row>
    <row r="24" spans="1:9" x14ac:dyDescent="0.2">
      <c r="A24">
        <v>9</v>
      </c>
      <c r="B24" t="s">
        <v>21</v>
      </c>
      <c r="C24" s="5"/>
      <c r="D24" s="5">
        <v>9993</v>
      </c>
      <c r="E24" s="5">
        <v>3516</v>
      </c>
      <c r="F24">
        <f t="shared" si="5"/>
        <v>303079.2</v>
      </c>
      <c r="G24">
        <f t="shared" si="0"/>
        <v>137901.03600000002</v>
      </c>
      <c r="H24">
        <f t="shared" si="1"/>
        <v>6895051.8000000007</v>
      </c>
      <c r="I24">
        <f t="shared" si="2"/>
        <v>689.98817172020426</v>
      </c>
    </row>
    <row r="25" spans="1:9" x14ac:dyDescent="0.2">
      <c r="A25">
        <v>10</v>
      </c>
      <c r="B25" t="s">
        <v>21</v>
      </c>
      <c r="C25" s="5"/>
      <c r="D25" s="5">
        <v>8075</v>
      </c>
      <c r="E25" s="5">
        <v>2767</v>
      </c>
      <c r="F25">
        <f t="shared" si="5"/>
        <v>238515.4</v>
      </c>
      <c r="G25">
        <f t="shared" si="0"/>
        <v>108524.507</v>
      </c>
      <c r="H25">
        <f t="shared" si="1"/>
        <v>5426225.3499999996</v>
      </c>
      <c r="I25">
        <f t="shared" si="2"/>
        <v>671.97837151702777</v>
      </c>
    </row>
    <row r="26" spans="1:9" x14ac:dyDescent="0.2">
      <c r="A26">
        <v>11</v>
      </c>
      <c r="B26" t="s">
        <v>21</v>
      </c>
      <c r="C26" s="5"/>
      <c r="D26" s="5">
        <v>5666</v>
      </c>
      <c r="E26" s="5">
        <v>2349</v>
      </c>
      <c r="F26">
        <f t="shared" si="5"/>
        <v>202483.80000000002</v>
      </c>
      <c r="G26">
        <f t="shared" si="0"/>
        <v>92130.129000000015</v>
      </c>
      <c r="H26">
        <f t="shared" si="1"/>
        <v>4606506.4500000011</v>
      </c>
      <c r="I26">
        <f t="shared" si="2"/>
        <v>813.00855100600086</v>
      </c>
    </row>
    <row r="27" spans="1:9" x14ac:dyDescent="0.2">
      <c r="A27">
        <v>12</v>
      </c>
      <c r="B27" t="s">
        <v>21</v>
      </c>
      <c r="C27" s="5"/>
      <c r="D27" s="5">
        <v>5675</v>
      </c>
      <c r="E27" s="5">
        <v>2237</v>
      </c>
      <c r="F27">
        <f t="shared" si="5"/>
        <v>192829.4</v>
      </c>
      <c r="G27">
        <f t="shared" si="0"/>
        <v>87737.376999999993</v>
      </c>
      <c r="H27">
        <f t="shared" si="1"/>
        <v>4386868.8499999996</v>
      </c>
      <c r="I27">
        <f t="shared" si="2"/>
        <v>773.01653744493387</v>
      </c>
    </row>
    <row r="28" spans="1:9" x14ac:dyDescent="0.2">
      <c r="A28">
        <v>13</v>
      </c>
      <c r="B28" t="s">
        <v>21</v>
      </c>
      <c r="C28" s="5"/>
      <c r="D28" s="5">
        <v>3365</v>
      </c>
      <c r="E28" s="5">
        <v>1380</v>
      </c>
      <c r="F28">
        <f t="shared" si="5"/>
        <v>118956</v>
      </c>
      <c r="G28">
        <f t="shared" si="0"/>
        <v>54124.98</v>
      </c>
      <c r="H28">
        <f t="shared" si="1"/>
        <v>2706249</v>
      </c>
      <c r="I28">
        <f t="shared" si="2"/>
        <v>804.23447251114408</v>
      </c>
    </row>
    <row r="29" spans="1:9" x14ac:dyDescent="0.2">
      <c r="A29">
        <v>14</v>
      </c>
      <c r="B29" t="s">
        <v>21</v>
      </c>
      <c r="C29" s="5"/>
      <c r="D29" s="5">
        <v>5220</v>
      </c>
      <c r="E29" s="5">
        <v>2133</v>
      </c>
      <c r="F29">
        <f t="shared" si="5"/>
        <v>183864.6</v>
      </c>
      <c r="G29">
        <f t="shared" si="0"/>
        <v>83658.393000000011</v>
      </c>
      <c r="H29">
        <f t="shared" si="1"/>
        <v>4182919.6500000004</v>
      </c>
      <c r="I29">
        <f t="shared" si="2"/>
        <v>801.32560344827596</v>
      </c>
    </row>
    <row r="30" spans="1:9" x14ac:dyDescent="0.2">
      <c r="A30">
        <v>1</v>
      </c>
      <c r="B30" t="s">
        <v>33</v>
      </c>
      <c r="C30" s="5"/>
      <c r="D30" s="5">
        <f>67008+897</f>
        <v>67905</v>
      </c>
      <c r="E30" s="5">
        <f>22559+472</f>
        <v>23031</v>
      </c>
      <c r="F30">
        <f t="shared" ref="F30:F43" si="6">E30*$K$2</f>
        <v>2533410</v>
      </c>
      <c r="G30">
        <f t="shared" si="0"/>
        <v>1152701.55</v>
      </c>
      <c r="H30">
        <f t="shared" si="1"/>
        <v>57635077.5</v>
      </c>
      <c r="I30">
        <f t="shared" si="2"/>
        <v>848.76043737574548</v>
      </c>
    </row>
    <row r="31" spans="1:9" x14ac:dyDescent="0.2">
      <c r="A31">
        <v>2</v>
      </c>
      <c r="B31" t="s">
        <v>33</v>
      </c>
      <c r="C31" s="5"/>
      <c r="D31" s="5">
        <f>71872+458</f>
        <v>72330</v>
      </c>
      <c r="E31" s="5">
        <f>22080+298</f>
        <v>22378</v>
      </c>
      <c r="F31">
        <f t="shared" si="6"/>
        <v>2461580</v>
      </c>
      <c r="G31">
        <f t="shared" si="0"/>
        <v>1120018.9000000001</v>
      </c>
      <c r="H31">
        <f t="shared" si="1"/>
        <v>56000945.000000007</v>
      </c>
      <c r="I31">
        <f t="shared" si="2"/>
        <v>774.2422922715333</v>
      </c>
    </row>
    <row r="32" spans="1:9" x14ac:dyDescent="0.2">
      <c r="A32">
        <v>3</v>
      </c>
      <c r="B32" t="s">
        <v>33</v>
      </c>
      <c r="C32" s="5"/>
      <c r="D32" s="5">
        <v>57603</v>
      </c>
      <c r="E32" s="5">
        <v>17295</v>
      </c>
      <c r="F32">
        <f t="shared" si="6"/>
        <v>1902450</v>
      </c>
      <c r="G32">
        <f t="shared" si="0"/>
        <v>865614.75</v>
      </c>
      <c r="H32">
        <f t="shared" si="1"/>
        <v>43280737.5</v>
      </c>
      <c r="I32">
        <f t="shared" si="2"/>
        <v>751.36255924170621</v>
      </c>
    </row>
    <row r="33" spans="1:9" x14ac:dyDescent="0.2">
      <c r="A33">
        <v>4</v>
      </c>
      <c r="B33" t="s">
        <v>33</v>
      </c>
      <c r="C33" s="5"/>
      <c r="D33" s="5">
        <f>65669+205</f>
        <v>65874</v>
      </c>
      <c r="E33" s="5">
        <f>24032+119</f>
        <v>24151</v>
      </c>
      <c r="F33">
        <f t="shared" si="6"/>
        <v>2656610</v>
      </c>
      <c r="G33">
        <f t="shared" si="0"/>
        <v>1208757.55</v>
      </c>
      <c r="H33">
        <f t="shared" si="1"/>
        <v>60437877.5</v>
      </c>
      <c r="I33">
        <f t="shared" si="2"/>
        <v>917.47696359717031</v>
      </c>
    </row>
    <row r="34" spans="1:9" x14ac:dyDescent="0.2">
      <c r="A34">
        <v>5</v>
      </c>
      <c r="B34" t="s">
        <v>33</v>
      </c>
      <c r="C34" s="5"/>
      <c r="D34" s="5">
        <v>67450</v>
      </c>
      <c r="E34" s="5">
        <v>16981</v>
      </c>
      <c r="F34">
        <f t="shared" si="6"/>
        <v>1867910</v>
      </c>
      <c r="G34">
        <f t="shared" ref="G34:G57" si="7">F34*0.455</f>
        <v>849899.05</v>
      </c>
      <c r="H34">
        <f t="shared" ref="H34:H57" si="8">G34*50</f>
        <v>42494952.5</v>
      </c>
      <c r="I34">
        <f t="shared" ref="I34:I57" si="9">H34/D34</f>
        <v>630.02153446997772</v>
      </c>
    </row>
    <row r="35" spans="1:9" x14ac:dyDescent="0.2">
      <c r="A35">
        <v>6</v>
      </c>
      <c r="B35" t="s">
        <v>33</v>
      </c>
      <c r="C35" s="5"/>
      <c r="D35" s="5">
        <v>65191</v>
      </c>
      <c r="E35" s="5">
        <v>20681</v>
      </c>
      <c r="F35">
        <f t="shared" si="6"/>
        <v>2274910</v>
      </c>
      <c r="G35">
        <f t="shared" si="7"/>
        <v>1035084.05</v>
      </c>
      <c r="H35">
        <f t="shared" si="8"/>
        <v>51754202.5</v>
      </c>
      <c r="I35">
        <f t="shared" si="9"/>
        <v>793.88569741221943</v>
      </c>
    </row>
    <row r="36" spans="1:9" x14ac:dyDescent="0.2">
      <c r="A36">
        <v>7</v>
      </c>
      <c r="B36" t="s">
        <v>33</v>
      </c>
      <c r="C36" s="5"/>
      <c r="D36" s="5">
        <v>29461</v>
      </c>
      <c r="E36" s="5">
        <v>11902</v>
      </c>
      <c r="F36">
        <f t="shared" si="6"/>
        <v>1309220</v>
      </c>
      <c r="G36">
        <f t="shared" si="7"/>
        <v>595695.1</v>
      </c>
      <c r="H36">
        <f t="shared" si="8"/>
        <v>29784755</v>
      </c>
      <c r="I36">
        <f t="shared" si="9"/>
        <v>1010.9892739553986</v>
      </c>
    </row>
    <row r="37" spans="1:9" x14ac:dyDescent="0.2">
      <c r="A37">
        <v>8</v>
      </c>
      <c r="B37" t="s">
        <v>33</v>
      </c>
      <c r="C37" s="5"/>
      <c r="D37" s="5">
        <v>23687</v>
      </c>
      <c r="E37" s="5">
        <v>9158</v>
      </c>
      <c r="F37">
        <f t="shared" si="6"/>
        <v>1007380</v>
      </c>
      <c r="G37">
        <f t="shared" si="7"/>
        <v>458357.9</v>
      </c>
      <c r="H37">
        <f t="shared" si="8"/>
        <v>22917895</v>
      </c>
      <c r="I37">
        <f t="shared" si="9"/>
        <v>967.5305019631021</v>
      </c>
    </row>
    <row r="38" spans="1:9" x14ac:dyDescent="0.2">
      <c r="A38">
        <v>9</v>
      </c>
      <c r="B38" t="s">
        <v>33</v>
      </c>
      <c r="C38" s="5"/>
      <c r="D38" s="5">
        <f>46647+1782</f>
        <v>48429</v>
      </c>
      <c r="E38" s="5">
        <f>17458+890</f>
        <v>18348</v>
      </c>
      <c r="F38">
        <f t="shared" si="6"/>
        <v>2018280</v>
      </c>
      <c r="G38">
        <f t="shared" si="7"/>
        <v>918317.4</v>
      </c>
      <c r="H38">
        <f t="shared" si="8"/>
        <v>45915870</v>
      </c>
      <c r="I38">
        <f t="shared" si="9"/>
        <v>948.10691940779282</v>
      </c>
    </row>
    <row r="39" spans="1:9" x14ac:dyDescent="0.2">
      <c r="A39">
        <v>10</v>
      </c>
      <c r="B39" t="s">
        <v>33</v>
      </c>
      <c r="C39" s="5"/>
      <c r="D39" s="5">
        <f>63926+497</f>
        <v>64423</v>
      </c>
      <c r="E39" s="5">
        <f>19625+285</f>
        <v>19910</v>
      </c>
      <c r="F39">
        <f t="shared" si="6"/>
        <v>2190100</v>
      </c>
      <c r="G39">
        <f t="shared" si="7"/>
        <v>996495.5</v>
      </c>
      <c r="H39">
        <f t="shared" si="8"/>
        <v>49824775</v>
      </c>
      <c r="I39">
        <f t="shared" si="9"/>
        <v>773.40041600049676</v>
      </c>
    </row>
    <row r="40" spans="1:9" x14ac:dyDescent="0.2">
      <c r="A40">
        <v>11</v>
      </c>
      <c r="B40" t="s">
        <v>33</v>
      </c>
      <c r="C40" s="5"/>
      <c r="D40" s="5">
        <f>53159+59</f>
        <v>53218</v>
      </c>
      <c r="E40" s="5">
        <f>20437+37</f>
        <v>20474</v>
      </c>
      <c r="F40">
        <f t="shared" si="6"/>
        <v>2252140</v>
      </c>
      <c r="G40">
        <f t="shared" si="7"/>
        <v>1024723.7000000001</v>
      </c>
      <c r="H40">
        <f t="shared" si="8"/>
        <v>51236185</v>
      </c>
      <c r="I40">
        <f t="shared" si="9"/>
        <v>962.7604381976023</v>
      </c>
    </row>
    <row r="41" spans="1:9" x14ac:dyDescent="0.2">
      <c r="A41">
        <v>12</v>
      </c>
      <c r="B41" t="s">
        <v>33</v>
      </c>
      <c r="C41" s="5"/>
      <c r="D41" s="5">
        <f>83182+257</f>
        <v>83439</v>
      </c>
      <c r="E41" s="5">
        <f>25918+140</f>
        <v>26058</v>
      </c>
      <c r="F41">
        <f t="shared" si="6"/>
        <v>2866380</v>
      </c>
      <c r="G41">
        <f t="shared" si="7"/>
        <v>1304202.9000000001</v>
      </c>
      <c r="H41">
        <f t="shared" si="8"/>
        <v>65210145.000000007</v>
      </c>
      <c r="I41">
        <f t="shared" si="9"/>
        <v>781.53075899759119</v>
      </c>
    </row>
    <row r="42" spans="1:9" x14ac:dyDescent="0.2">
      <c r="A42">
        <v>13</v>
      </c>
      <c r="B42" t="s">
        <v>33</v>
      </c>
      <c r="C42" s="5"/>
      <c r="D42" s="5">
        <v>71385</v>
      </c>
      <c r="E42" s="5">
        <v>23189</v>
      </c>
      <c r="F42">
        <f t="shared" si="6"/>
        <v>2550790</v>
      </c>
      <c r="G42">
        <f t="shared" si="7"/>
        <v>1160609.45</v>
      </c>
      <c r="H42">
        <f t="shared" si="8"/>
        <v>58030472.5</v>
      </c>
      <c r="I42">
        <f t="shared" si="9"/>
        <v>812.9224977236114</v>
      </c>
    </row>
    <row r="43" spans="1:9" x14ac:dyDescent="0.2">
      <c r="A43">
        <v>14</v>
      </c>
      <c r="B43" t="s">
        <v>33</v>
      </c>
      <c r="C43" s="5"/>
      <c r="D43" s="5">
        <v>74157</v>
      </c>
      <c r="E43" s="5">
        <v>25352</v>
      </c>
      <c r="F43">
        <f t="shared" si="6"/>
        <v>2788720</v>
      </c>
      <c r="G43">
        <f t="shared" si="7"/>
        <v>1268867.6000000001</v>
      </c>
      <c r="H43">
        <f t="shared" si="8"/>
        <v>63443380.000000007</v>
      </c>
      <c r="I43">
        <f t="shared" si="9"/>
        <v>855.52786655339355</v>
      </c>
    </row>
    <row r="44" spans="1:9" x14ac:dyDescent="0.2">
      <c r="A44">
        <v>1</v>
      </c>
      <c r="B44" t="s">
        <v>24</v>
      </c>
      <c r="C44" s="5"/>
      <c r="D44" s="5">
        <f>123+7832+882</f>
        <v>8837</v>
      </c>
      <c r="E44" s="5">
        <f>65+3717+490</f>
        <v>4272</v>
      </c>
      <c r="F44">
        <f>E44*$K$4</f>
        <v>368673.6</v>
      </c>
      <c r="G44">
        <f>F44*0.455</f>
        <v>167746.48799999998</v>
      </c>
      <c r="H44">
        <f>G44*50</f>
        <v>8387324.3999999994</v>
      </c>
      <c r="I44">
        <f>H44/D44</f>
        <v>949.11445060540905</v>
      </c>
    </row>
    <row r="45" spans="1:9" x14ac:dyDescent="0.2">
      <c r="A45">
        <v>2</v>
      </c>
      <c r="B45" t="s">
        <v>24</v>
      </c>
      <c r="C45" s="5"/>
      <c r="D45" s="5">
        <f>186+9745+326</f>
        <v>10257</v>
      </c>
      <c r="E45" s="5">
        <f>89+4159+171</f>
        <v>4419</v>
      </c>
      <c r="F45">
        <f>E45*$K$4</f>
        <v>381359.7</v>
      </c>
      <c r="G45">
        <f t="shared" si="7"/>
        <v>173518.66350000002</v>
      </c>
      <c r="H45">
        <f>G45*50</f>
        <v>8675933.1750000007</v>
      </c>
      <c r="I45">
        <f t="shared" si="9"/>
        <v>845.85484790874534</v>
      </c>
    </row>
    <row r="46" spans="1:9" x14ac:dyDescent="0.2">
      <c r="A46">
        <v>3</v>
      </c>
      <c r="B46" t="s">
        <v>24</v>
      </c>
      <c r="C46" s="5"/>
      <c r="D46" s="5">
        <f>4999+180+518</f>
        <v>5697</v>
      </c>
      <c r="E46" s="5">
        <f>2097+90+225</f>
        <v>2412</v>
      </c>
      <c r="F46">
        <f t="shared" ref="F46:F57" si="10">E46*$K$5</f>
        <v>106731</v>
      </c>
      <c r="G46">
        <f t="shared" si="7"/>
        <v>48562.605000000003</v>
      </c>
      <c r="H46">
        <f t="shared" si="8"/>
        <v>2428130.25</v>
      </c>
      <c r="I46">
        <f t="shared" si="9"/>
        <v>426.21208530805688</v>
      </c>
    </row>
    <row r="47" spans="1:9" x14ac:dyDescent="0.2">
      <c r="A47">
        <v>4</v>
      </c>
      <c r="B47" t="s">
        <v>24</v>
      </c>
      <c r="C47" s="5"/>
      <c r="D47" s="5">
        <f>12470+2478+265</f>
        <v>15213</v>
      </c>
      <c r="E47" s="5">
        <f>4925+1424+164</f>
        <v>6513</v>
      </c>
      <c r="F47">
        <f t="shared" si="10"/>
        <v>288200.25</v>
      </c>
      <c r="G47">
        <f t="shared" si="7"/>
        <v>131131.11375000002</v>
      </c>
      <c r="H47">
        <f t="shared" si="8"/>
        <v>6556555.6875000009</v>
      </c>
      <c r="I47">
        <f>H47/D47</f>
        <v>430.98374334450807</v>
      </c>
    </row>
    <row r="48" spans="1:9" x14ac:dyDescent="0.2">
      <c r="A48">
        <v>5</v>
      </c>
      <c r="B48" t="s">
        <v>24</v>
      </c>
      <c r="C48" s="5"/>
      <c r="D48" s="5">
        <f>7492+6357+223</f>
        <v>14072</v>
      </c>
      <c r="E48" s="5">
        <f>2453+2181+82</f>
        <v>4716</v>
      </c>
      <c r="F48">
        <f t="shared" si="10"/>
        <v>208683</v>
      </c>
      <c r="G48">
        <f t="shared" si="7"/>
        <v>94950.764999999999</v>
      </c>
      <c r="H48">
        <f t="shared" si="8"/>
        <v>4747538.25</v>
      </c>
      <c r="I48">
        <f t="shared" si="9"/>
        <v>337.37480457646387</v>
      </c>
    </row>
    <row r="49" spans="1:9" x14ac:dyDescent="0.2">
      <c r="A49">
        <v>6</v>
      </c>
      <c r="B49" t="s">
        <v>24</v>
      </c>
      <c r="C49" s="5"/>
      <c r="D49" s="5">
        <f>10634+564+217</f>
        <v>11415</v>
      </c>
      <c r="E49" s="5">
        <f>4897+285+75</f>
        <v>5257</v>
      </c>
      <c r="F49">
        <f t="shared" si="10"/>
        <v>232622.25</v>
      </c>
      <c r="G49">
        <f t="shared" si="7"/>
        <v>105843.12375</v>
      </c>
      <c r="H49">
        <f t="shared" si="8"/>
        <v>5292156.1875</v>
      </c>
      <c r="I49">
        <f t="shared" si="9"/>
        <v>463.6142082785808</v>
      </c>
    </row>
    <row r="50" spans="1:9" x14ac:dyDescent="0.2">
      <c r="A50">
        <v>7</v>
      </c>
      <c r="B50" t="s">
        <v>24</v>
      </c>
      <c r="C50" s="5"/>
      <c r="D50" s="5">
        <f>5045+3486+434</f>
        <v>8965</v>
      </c>
      <c r="E50" s="5">
        <f>2315+2073+258</f>
        <v>4646</v>
      </c>
      <c r="F50">
        <f t="shared" si="10"/>
        <v>205585.5</v>
      </c>
      <c r="G50">
        <f t="shared" si="7"/>
        <v>93541.402499999997</v>
      </c>
      <c r="H50">
        <f t="shared" si="8"/>
        <v>4677070.125</v>
      </c>
      <c r="I50">
        <f t="shared" si="9"/>
        <v>521.70330451756831</v>
      </c>
    </row>
    <row r="51" spans="1:9" x14ac:dyDescent="0.2">
      <c r="A51">
        <v>8</v>
      </c>
      <c r="B51" t="s">
        <v>24</v>
      </c>
      <c r="C51" s="5"/>
      <c r="D51" s="5">
        <f>8485+2441+485</f>
        <v>11411</v>
      </c>
      <c r="E51" s="5">
        <f>3874+1461+287</f>
        <v>5622</v>
      </c>
      <c r="F51">
        <f t="shared" si="10"/>
        <v>248773.5</v>
      </c>
      <c r="G51">
        <f t="shared" si="7"/>
        <v>113191.9425</v>
      </c>
      <c r="H51">
        <f t="shared" si="8"/>
        <v>5659597.125</v>
      </c>
      <c r="I51">
        <f t="shared" si="9"/>
        <v>495.97731355709402</v>
      </c>
    </row>
    <row r="52" spans="1:9" x14ac:dyDescent="0.2">
      <c r="A52">
        <v>9</v>
      </c>
      <c r="B52" t="s">
        <v>24</v>
      </c>
      <c r="C52" s="5"/>
      <c r="D52" s="5">
        <f>12413+5026+264</f>
        <v>17703</v>
      </c>
      <c r="E52" s="5">
        <f>4741+2888+133</f>
        <v>7762</v>
      </c>
      <c r="F52">
        <f t="shared" si="10"/>
        <v>343468.5</v>
      </c>
      <c r="G52">
        <f t="shared" si="7"/>
        <v>156278.16750000001</v>
      </c>
      <c r="H52">
        <f t="shared" si="8"/>
        <v>7813908.3750000009</v>
      </c>
      <c r="I52">
        <f t="shared" si="9"/>
        <v>441.3889383155398</v>
      </c>
    </row>
    <row r="53" spans="1:9" x14ac:dyDescent="0.2">
      <c r="A53">
        <v>10</v>
      </c>
      <c r="B53" t="s">
        <v>24</v>
      </c>
      <c r="C53" s="5"/>
      <c r="D53" s="5">
        <f>11860+4114+63</f>
        <v>16037</v>
      </c>
      <c r="E53" s="5">
        <f>3968+1890+24</f>
        <v>5882</v>
      </c>
      <c r="F53">
        <f t="shared" si="10"/>
        <v>260278.5</v>
      </c>
      <c r="G53">
        <f t="shared" si="7"/>
        <v>118426.7175</v>
      </c>
      <c r="H53">
        <f t="shared" si="8"/>
        <v>5921335.875</v>
      </c>
      <c r="I53">
        <f t="shared" si="9"/>
        <v>369.22964862505455</v>
      </c>
    </row>
    <row r="54" spans="1:9" x14ac:dyDescent="0.2">
      <c r="A54">
        <v>11</v>
      </c>
      <c r="B54" t="s">
        <v>24</v>
      </c>
      <c r="C54" s="5"/>
      <c r="D54" s="5">
        <f>9303+1137+544</f>
        <v>10984</v>
      </c>
      <c r="E54" s="5">
        <f>4199+635+257</f>
        <v>5091</v>
      </c>
      <c r="F54">
        <f t="shared" si="10"/>
        <v>225276.75</v>
      </c>
      <c r="G54">
        <f t="shared" si="7"/>
        <v>102500.92125</v>
      </c>
      <c r="H54">
        <f t="shared" si="8"/>
        <v>5125046.0625</v>
      </c>
      <c r="I54">
        <f t="shared" si="9"/>
        <v>466.59195762017481</v>
      </c>
    </row>
    <row r="55" spans="1:9" x14ac:dyDescent="0.2">
      <c r="A55">
        <v>12</v>
      </c>
      <c r="B55" t="s">
        <v>24</v>
      </c>
      <c r="C55" s="5"/>
      <c r="D55" s="5">
        <f>10390+202+1</f>
        <v>10593</v>
      </c>
      <c r="E55" s="5">
        <f>4869+117+1</f>
        <v>4987</v>
      </c>
      <c r="F55">
        <f t="shared" si="10"/>
        <v>220674.75</v>
      </c>
      <c r="G55">
        <f t="shared" si="7"/>
        <v>100407.01125000001</v>
      </c>
      <c r="H55">
        <f t="shared" si="8"/>
        <v>5020350.5625000009</v>
      </c>
      <c r="I55">
        <f t="shared" si="9"/>
        <v>473.93095086377804</v>
      </c>
    </row>
    <row r="56" spans="1:9" x14ac:dyDescent="0.2">
      <c r="A56">
        <v>13</v>
      </c>
      <c r="B56" t="s">
        <v>24</v>
      </c>
      <c r="C56" s="5"/>
      <c r="D56" s="5">
        <f>8219+533+14</f>
        <v>8766</v>
      </c>
      <c r="E56" s="5">
        <f>3539+244+7</f>
        <v>3790</v>
      </c>
      <c r="F56">
        <f t="shared" si="10"/>
        <v>167707.5</v>
      </c>
      <c r="G56">
        <f t="shared" si="7"/>
        <v>76306.912500000006</v>
      </c>
      <c r="H56">
        <f t="shared" si="8"/>
        <v>3815345.6250000005</v>
      </c>
      <c r="I56">
        <f t="shared" si="9"/>
        <v>435.24362594113626</v>
      </c>
    </row>
    <row r="57" spans="1:9" x14ac:dyDescent="0.2">
      <c r="A57">
        <v>14</v>
      </c>
      <c r="B57" t="s">
        <v>24</v>
      </c>
      <c r="C57" s="5"/>
      <c r="D57" s="5">
        <f>7009+325+25</f>
        <v>7359</v>
      </c>
      <c r="E57" s="5">
        <f>2951+169+12</f>
        <v>3132</v>
      </c>
      <c r="F57">
        <f t="shared" si="10"/>
        <v>138591</v>
      </c>
      <c r="G57">
        <f t="shared" si="7"/>
        <v>63058.904999999999</v>
      </c>
      <c r="H57">
        <f t="shared" si="8"/>
        <v>3152945.25</v>
      </c>
      <c r="I57">
        <f t="shared" si="9"/>
        <v>428.44751324908276</v>
      </c>
    </row>
    <row r="58" spans="1:9" x14ac:dyDescent="0.2">
      <c r="C58" s="5"/>
      <c r="D58" s="5">
        <f>SUM(D2:D57)</f>
        <v>1265658</v>
      </c>
      <c r="E58" s="5">
        <f>SUM(E2:E57)</f>
        <v>488554</v>
      </c>
      <c r="F58" s="5">
        <f>SUM(F2:F57)</f>
        <v>45943415.850000001</v>
      </c>
      <c r="G58" s="5">
        <f>SUM(G2:G57)</f>
        <v>20904254.211750012</v>
      </c>
      <c r="H58" s="5">
        <f>SUM(H2:H57)</f>
        <v>1045212710.5875</v>
      </c>
      <c r="I58" s="5">
        <f>AVERAGE(I2:I57)</f>
        <v>794.2524087599885</v>
      </c>
    </row>
    <row r="60" spans="1:9" x14ac:dyDescent="0.2">
      <c r="C60" s="5"/>
      <c r="D60" s="5"/>
      <c r="E60" s="5"/>
    </row>
    <row r="61" spans="1:9" x14ac:dyDescent="0.2">
      <c r="C61" s="5"/>
      <c r="D61" s="5"/>
      <c r="E61" s="5"/>
    </row>
    <row r="156" spans="3:5" x14ac:dyDescent="0.2">
      <c r="C156" s="6"/>
      <c r="D156" s="6"/>
      <c r="E156" s="6"/>
    </row>
    <row r="157" spans="3:5" x14ac:dyDescent="0.2">
      <c r="C157" s="6"/>
      <c r="D157" s="6"/>
      <c r="E157" s="6"/>
    </row>
    <row r="158" spans="3:5" x14ac:dyDescent="0.2">
      <c r="C158" s="6"/>
      <c r="D158" s="6"/>
      <c r="E158" s="6"/>
    </row>
    <row r="159" spans="3:5" x14ac:dyDescent="0.2">
      <c r="C159" s="6"/>
      <c r="D159" s="6"/>
      <c r="E159" s="6"/>
    </row>
    <row r="160" spans="3:5" x14ac:dyDescent="0.2">
      <c r="D160" s="6"/>
      <c r="E160" s="6"/>
    </row>
    <row r="161" spans="3:5" x14ac:dyDescent="0.2">
      <c r="C161" s="6"/>
      <c r="D161" s="6"/>
      <c r="E161" s="6"/>
    </row>
    <row r="162" spans="3:5" x14ac:dyDescent="0.2">
      <c r="C162" s="6"/>
      <c r="D162" s="6"/>
      <c r="E162" s="6"/>
    </row>
    <row r="163" spans="3:5" x14ac:dyDescent="0.2">
      <c r="C163" s="6"/>
      <c r="D163" s="6"/>
      <c r="E163" s="6"/>
    </row>
    <row r="164" spans="3:5" x14ac:dyDescent="0.2">
      <c r="C164" s="6"/>
      <c r="D164" s="6"/>
      <c r="E164" s="6"/>
    </row>
    <row r="165" spans="3:5" x14ac:dyDescent="0.2">
      <c r="C165" s="6"/>
      <c r="D165" s="6"/>
      <c r="E165" s="6"/>
    </row>
    <row r="166" spans="3:5" x14ac:dyDescent="0.2">
      <c r="C166" s="6"/>
      <c r="D166" s="6"/>
      <c r="E166" s="6"/>
    </row>
  </sheetData>
  <sortState xmlns:xlrd2="http://schemas.microsoft.com/office/spreadsheetml/2017/richdata2" ref="A2:I64">
    <sortCondition ref="B2:B6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D179-269F-5E4C-867B-1CEA5498D806}">
  <dimension ref="A1:S17"/>
  <sheetViews>
    <sheetView tabSelected="1" zoomScale="130" zoomScaleNormal="130" workbookViewId="0">
      <selection activeCell="Q19" sqref="Q19"/>
    </sheetView>
  </sheetViews>
  <sheetFormatPr baseColWidth="10" defaultRowHeight="15" x14ac:dyDescent="0.2"/>
  <cols>
    <col min="2" max="2" width="25.83203125" bestFit="1" customWidth="1"/>
    <col min="3" max="3" width="21.5" bestFit="1" customWidth="1"/>
    <col min="4" max="4" width="24.1640625" bestFit="1" customWidth="1"/>
    <col min="5" max="5" width="23.6640625" bestFit="1" customWidth="1"/>
    <col min="6" max="6" width="15.1640625" bestFit="1" customWidth="1"/>
    <col min="7" max="7" width="22.1640625" bestFit="1" customWidth="1"/>
    <col min="8" max="8" width="17.83203125" bestFit="1" customWidth="1"/>
    <col min="9" max="9" width="21.1640625" bestFit="1" customWidth="1"/>
    <col min="10" max="10" width="20.6640625" bestFit="1" customWidth="1"/>
    <col min="11" max="11" width="28.5" bestFit="1" customWidth="1"/>
    <col min="12" max="12" width="23.33203125" bestFit="1" customWidth="1"/>
    <col min="13" max="13" width="26.83203125" bestFit="1" customWidth="1"/>
    <col min="14" max="14" width="26.1640625" bestFit="1" customWidth="1"/>
    <col min="15" max="18" width="26.83203125" bestFit="1" customWidth="1"/>
    <col min="19" max="19" width="25" bestFit="1" customWidth="1"/>
  </cols>
  <sheetData>
    <row r="1" spans="1:19" x14ac:dyDescent="0.2">
      <c r="A1" t="s">
        <v>39</v>
      </c>
      <c r="B1" t="s">
        <v>61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</row>
    <row r="2" spans="1:19" x14ac:dyDescent="0.2">
      <c r="A2">
        <v>1</v>
      </c>
      <c r="B2" s="5">
        <f>22559+472</f>
        <v>23031</v>
      </c>
      <c r="C2" s="5">
        <v>1855</v>
      </c>
      <c r="D2" s="5">
        <f>65+3717+490</f>
        <v>4272</v>
      </c>
      <c r="E2" s="5">
        <v>4487</v>
      </c>
      <c r="F2" s="5">
        <f>SUM(B2:E2)</f>
        <v>33645</v>
      </c>
      <c r="G2" s="5">
        <f>67008+897</f>
        <v>67905</v>
      </c>
      <c r="H2" s="5">
        <v>4353</v>
      </c>
      <c r="I2" s="5">
        <f>123+7832+882</f>
        <v>8837</v>
      </c>
      <c r="J2" s="5">
        <v>7344</v>
      </c>
      <c r="K2">
        <f>H2*110</f>
        <v>478830</v>
      </c>
      <c r="L2">
        <f>H2*86.3</f>
        <v>375663.89999999997</v>
      </c>
      <c r="M2">
        <f>I2*86.2</f>
        <v>761749.4</v>
      </c>
      <c r="N2">
        <f>J2*44.25</f>
        <v>324972</v>
      </c>
      <c r="O2">
        <f>Organizing!H30/'For ArcGIS'!G2</f>
        <v>848.76043737574548</v>
      </c>
      <c r="P2">
        <f>Organizing!H16/'For ArcGIS'!H2</f>
        <v>835.6875143579141</v>
      </c>
      <c r="Q2">
        <f>Organizing!H44/'For ArcGIS'!I2</f>
        <v>949.11445060540905</v>
      </c>
      <c r="R2">
        <f>Organizing!H2/'For ArcGIS'!J2</f>
        <v>615.06084048202615</v>
      </c>
      <c r="S2">
        <f>SUM(O2:R2)</f>
        <v>3248.6232428210942</v>
      </c>
    </row>
    <row r="3" spans="1:19" x14ac:dyDescent="0.2">
      <c r="A3">
        <v>2</v>
      </c>
      <c r="B3" s="5">
        <f>22080+298</f>
        <v>22378</v>
      </c>
      <c r="C3" s="5">
        <v>1095</v>
      </c>
      <c r="D3" s="5">
        <f>89+4159+171</f>
        <v>4419</v>
      </c>
      <c r="E3" s="5">
        <v>2898</v>
      </c>
      <c r="F3" s="5">
        <f>SUM(B3:E3)</f>
        <v>30790</v>
      </c>
      <c r="G3" s="5">
        <f>71872+458</f>
        <v>72330</v>
      </c>
      <c r="H3" s="5">
        <v>2806</v>
      </c>
      <c r="I3" s="5">
        <f>186+9745+326</f>
        <v>10257</v>
      </c>
      <c r="J3" s="5">
        <v>5123</v>
      </c>
      <c r="K3">
        <f t="shared" ref="K3:K15" si="0">H3*110</f>
        <v>308660</v>
      </c>
      <c r="L3">
        <f t="shared" ref="L3:L15" si="1">H3*86.3</f>
        <v>242157.8</v>
      </c>
      <c r="M3">
        <f t="shared" ref="M3:M15" si="2">I3*86.2</f>
        <v>884153.4</v>
      </c>
      <c r="N3">
        <f t="shared" ref="N3:N15" si="3">J3*44.25</f>
        <v>226692.75</v>
      </c>
      <c r="O3">
        <f>Organizing!H31/'For ArcGIS'!G3</f>
        <v>774.2422922715333</v>
      </c>
      <c r="P3">
        <f>Organizing!H17/'For ArcGIS'!H3</f>
        <v>765.27075908766926</v>
      </c>
      <c r="Q3">
        <f>Organizing!H45/'For ArcGIS'!I3</f>
        <v>845.85484790874534</v>
      </c>
      <c r="R3">
        <f>Organizing!H3/'For ArcGIS'!J3</f>
        <v>569.46718231504985</v>
      </c>
      <c r="S3">
        <f t="shared" ref="S3:S15" si="4">SUM(O3:R3)</f>
        <v>2954.8350815829976</v>
      </c>
    </row>
    <row r="4" spans="1:19" x14ac:dyDescent="0.2">
      <c r="A4">
        <v>3</v>
      </c>
      <c r="B4" s="5">
        <v>17295</v>
      </c>
      <c r="C4" s="5">
        <v>1140</v>
      </c>
      <c r="D4" s="5">
        <f>2097+90+225</f>
        <v>2412</v>
      </c>
      <c r="E4" s="5">
        <v>2407</v>
      </c>
      <c r="F4" s="5">
        <f t="shared" ref="F4:F15" si="5">SUM(B4:E4)</f>
        <v>23254</v>
      </c>
      <c r="G4" s="5">
        <v>57603</v>
      </c>
      <c r="H4" s="5">
        <v>2991</v>
      </c>
      <c r="I4" s="5">
        <f>4999+180+518</f>
        <v>5697</v>
      </c>
      <c r="J4" s="5">
        <v>4253</v>
      </c>
      <c r="K4">
        <f t="shared" si="0"/>
        <v>329010</v>
      </c>
      <c r="L4">
        <f t="shared" si="1"/>
        <v>258123.3</v>
      </c>
      <c r="M4">
        <f t="shared" si="2"/>
        <v>491081.4</v>
      </c>
      <c r="N4">
        <f t="shared" si="3"/>
        <v>188195.25</v>
      </c>
      <c r="O4">
        <f>Organizing!H32/'For ArcGIS'!G4</f>
        <v>751.36255924170621</v>
      </c>
      <c r="P4">
        <f>Organizing!H18/'For ArcGIS'!H4</f>
        <v>747.44132397191572</v>
      </c>
      <c r="Q4">
        <f>Organizing!H46/'For ArcGIS'!I4</f>
        <v>426.21208530805688</v>
      </c>
      <c r="R4">
        <f>Organizing!H4/'For ArcGIS'!J4</f>
        <v>1111.1505466729368</v>
      </c>
      <c r="S4">
        <f t="shared" si="4"/>
        <v>3036.1665151946154</v>
      </c>
    </row>
    <row r="5" spans="1:19" x14ac:dyDescent="0.2">
      <c r="A5">
        <v>4</v>
      </c>
      <c r="B5" s="5">
        <f>24032+119</f>
        <v>24151</v>
      </c>
      <c r="C5" s="5">
        <v>3523</v>
      </c>
      <c r="D5" s="5">
        <f>4925+1424+164</f>
        <v>6513</v>
      </c>
      <c r="E5" s="5">
        <v>4075</v>
      </c>
      <c r="F5" s="5">
        <f t="shared" si="5"/>
        <v>38262</v>
      </c>
      <c r="G5" s="5">
        <f>65669+205</f>
        <v>65874</v>
      </c>
      <c r="H5" s="5">
        <v>9191</v>
      </c>
      <c r="I5" s="5">
        <f>12470+2478+265</f>
        <v>15213</v>
      </c>
      <c r="J5" s="5">
        <v>6458</v>
      </c>
      <c r="K5">
        <f t="shared" si="0"/>
        <v>1011010</v>
      </c>
      <c r="L5">
        <f t="shared" si="1"/>
        <v>793183.29999999993</v>
      </c>
      <c r="M5">
        <f t="shared" si="2"/>
        <v>1311360.6000000001</v>
      </c>
      <c r="N5">
        <f t="shared" si="3"/>
        <v>285766.5</v>
      </c>
      <c r="O5">
        <f>Organizing!H33/'For ArcGIS'!G5</f>
        <v>917.47696359717031</v>
      </c>
      <c r="P5">
        <f>Organizing!H19/'For ArcGIS'!H5</f>
        <v>751.68960396039608</v>
      </c>
      <c r="Q5">
        <f>Organizing!H47/'For ArcGIS'!I5</f>
        <v>430.98374334450807</v>
      </c>
      <c r="R5">
        <f>Organizing!H5/'For ArcGIS'!J5</f>
        <v>1238.8586830288016</v>
      </c>
      <c r="S5">
        <f t="shared" si="4"/>
        <v>3339.0089939308764</v>
      </c>
    </row>
    <row r="6" spans="1:19" x14ac:dyDescent="0.2">
      <c r="A6">
        <v>5</v>
      </c>
      <c r="B6" s="5">
        <v>16981</v>
      </c>
      <c r="C6" s="5">
        <v>1893</v>
      </c>
      <c r="D6" s="5">
        <f>2453+2181+82</f>
        <v>4716</v>
      </c>
      <c r="E6" s="5">
        <v>3016</v>
      </c>
      <c r="F6" s="5">
        <f t="shared" si="5"/>
        <v>26606</v>
      </c>
      <c r="G6" s="5">
        <v>67450</v>
      </c>
      <c r="H6" s="5">
        <v>6515</v>
      </c>
      <c r="I6" s="5">
        <f>7492+6357+223</f>
        <v>14072</v>
      </c>
      <c r="J6" s="5">
        <v>7087</v>
      </c>
      <c r="K6">
        <f t="shared" si="0"/>
        <v>716650</v>
      </c>
      <c r="L6">
        <f t="shared" si="1"/>
        <v>562244.5</v>
      </c>
      <c r="M6">
        <f t="shared" si="2"/>
        <v>1213006.4000000001</v>
      </c>
      <c r="N6">
        <f t="shared" si="3"/>
        <v>313599.75</v>
      </c>
      <c r="O6">
        <f>Organizing!H34/'For ArcGIS'!G6</f>
        <v>630.02153446997772</v>
      </c>
      <c r="P6">
        <f>Organizing!H20/'For ArcGIS'!H6</f>
        <v>569.80316960859557</v>
      </c>
      <c r="Q6">
        <f>Organizing!H48/'For ArcGIS'!I6</f>
        <v>337.37480457646387</v>
      </c>
      <c r="R6">
        <f>Organizing!H6/'For ArcGIS'!J6</f>
        <v>835.528178354734</v>
      </c>
      <c r="S6">
        <f t="shared" si="4"/>
        <v>2372.7276870097712</v>
      </c>
    </row>
    <row r="7" spans="1:19" x14ac:dyDescent="0.2">
      <c r="A7">
        <v>6</v>
      </c>
      <c r="B7" s="5">
        <v>20681</v>
      </c>
      <c r="C7" s="5">
        <v>2363</v>
      </c>
      <c r="D7" s="5">
        <f>4897+285+75</f>
        <v>5257</v>
      </c>
      <c r="E7" s="5">
        <v>5136</v>
      </c>
      <c r="F7" s="5">
        <f t="shared" si="5"/>
        <v>33437</v>
      </c>
      <c r="G7" s="5">
        <v>65191</v>
      </c>
      <c r="H7" s="5">
        <v>5350</v>
      </c>
      <c r="I7" s="5">
        <f>10634+564+217</f>
        <v>11415</v>
      </c>
      <c r="J7" s="5">
        <v>8416</v>
      </c>
      <c r="K7">
        <f t="shared" si="0"/>
        <v>588500</v>
      </c>
      <c r="L7">
        <f t="shared" si="1"/>
        <v>461705</v>
      </c>
      <c r="M7">
        <f t="shared" si="2"/>
        <v>983973</v>
      </c>
      <c r="N7">
        <f t="shared" si="3"/>
        <v>372408</v>
      </c>
      <c r="O7">
        <f>Organizing!H35/'For ArcGIS'!G7</f>
        <v>793.88569741221943</v>
      </c>
      <c r="P7">
        <f>Organizing!H21/'For ArcGIS'!H7</f>
        <v>866.16096261682253</v>
      </c>
      <c r="Q7">
        <f>Organizing!H49/'For ArcGIS'!I7</f>
        <v>463.6142082785808</v>
      </c>
      <c r="R7">
        <f>Organizing!H7/'For ArcGIS'!J7</f>
        <v>1198.1508079847911</v>
      </c>
      <c r="S7">
        <f t="shared" si="4"/>
        <v>3321.8116762924137</v>
      </c>
    </row>
    <row r="8" spans="1:19" x14ac:dyDescent="0.2">
      <c r="A8">
        <v>7</v>
      </c>
      <c r="B8" s="5">
        <v>11902</v>
      </c>
      <c r="C8" s="5">
        <v>3979</v>
      </c>
      <c r="D8" s="5">
        <f>2315+2073+258</f>
        <v>4646</v>
      </c>
      <c r="E8" s="5">
        <v>14539</v>
      </c>
      <c r="F8" s="5">
        <f t="shared" si="5"/>
        <v>35066</v>
      </c>
      <c r="G8" s="5">
        <v>29461</v>
      </c>
      <c r="H8" s="5">
        <v>10562</v>
      </c>
      <c r="I8" s="5">
        <f>5045+3486+434</f>
        <v>8965</v>
      </c>
      <c r="J8" s="5">
        <v>22102</v>
      </c>
      <c r="K8">
        <f t="shared" si="0"/>
        <v>1161820</v>
      </c>
      <c r="L8">
        <f t="shared" si="1"/>
        <v>911500.6</v>
      </c>
      <c r="M8">
        <f t="shared" si="2"/>
        <v>772783</v>
      </c>
      <c r="N8">
        <f t="shared" si="3"/>
        <v>978013.5</v>
      </c>
      <c r="O8">
        <f>Organizing!H36/'For ArcGIS'!G8</f>
        <v>1010.9892739553986</v>
      </c>
      <c r="P8">
        <f>Organizing!H22/'For ArcGIS'!H8</f>
        <v>738.78223347850792</v>
      </c>
      <c r="Q8">
        <f>Organizing!H50/'For ArcGIS'!I8</f>
        <v>521.70330451756831</v>
      </c>
      <c r="R8">
        <f>Organizing!H8/'For ArcGIS'!J8</f>
        <v>1291.5022249117728</v>
      </c>
      <c r="S8">
        <f t="shared" si="4"/>
        <v>3562.977036863248</v>
      </c>
    </row>
    <row r="9" spans="1:19" x14ac:dyDescent="0.2">
      <c r="A9">
        <v>8</v>
      </c>
      <c r="B9" s="5">
        <v>9158</v>
      </c>
      <c r="C9" s="5">
        <v>3412</v>
      </c>
      <c r="D9" s="5">
        <f>3874+1461+287</f>
        <v>5622</v>
      </c>
      <c r="E9" s="5">
        <v>29960</v>
      </c>
      <c r="F9" s="5">
        <f t="shared" si="5"/>
        <v>48152</v>
      </c>
      <c r="G9" s="5">
        <v>23687</v>
      </c>
      <c r="H9" s="5">
        <v>8853</v>
      </c>
      <c r="I9" s="5">
        <f>8485+2441+485</f>
        <v>11411</v>
      </c>
      <c r="J9" s="5">
        <v>46714</v>
      </c>
      <c r="K9">
        <f t="shared" si="0"/>
        <v>973830</v>
      </c>
      <c r="L9">
        <f t="shared" si="1"/>
        <v>764013.9</v>
      </c>
      <c r="M9">
        <f t="shared" si="2"/>
        <v>983628.20000000007</v>
      </c>
      <c r="N9">
        <f t="shared" si="3"/>
        <v>2067094.5</v>
      </c>
      <c r="O9">
        <f>Organizing!H37/'For ArcGIS'!G9</f>
        <v>967.5305019631021</v>
      </c>
      <c r="P9">
        <f>Organizing!H23/'For ArcGIS'!H9</f>
        <v>755.80058737151262</v>
      </c>
      <c r="Q9">
        <f>Organizing!H51/'For ArcGIS'!I9</f>
        <v>495.97731355709402</v>
      </c>
      <c r="R9">
        <f>Organizing!H9/'For ArcGIS'!J9</f>
        <v>1259.177484265959</v>
      </c>
      <c r="S9">
        <f t="shared" si="4"/>
        <v>3478.485887157668</v>
      </c>
    </row>
    <row r="10" spans="1:19" x14ac:dyDescent="0.2">
      <c r="A10">
        <v>9</v>
      </c>
      <c r="B10" s="5">
        <f>17458+890</f>
        <v>18348</v>
      </c>
      <c r="C10" s="5">
        <v>3516</v>
      </c>
      <c r="D10" s="5">
        <f>4741+2888+133</f>
        <v>7762</v>
      </c>
      <c r="E10" s="5">
        <v>8462</v>
      </c>
      <c r="F10" s="5">
        <f t="shared" si="5"/>
        <v>38088</v>
      </c>
      <c r="G10" s="5">
        <f>46647+1782</f>
        <v>48429</v>
      </c>
      <c r="H10" s="5">
        <v>9993</v>
      </c>
      <c r="I10" s="5">
        <f>12413+5026+264</f>
        <v>17703</v>
      </c>
      <c r="J10" s="5">
        <v>13799</v>
      </c>
      <c r="K10">
        <f t="shared" si="0"/>
        <v>1099230</v>
      </c>
      <c r="L10">
        <f t="shared" si="1"/>
        <v>862395.9</v>
      </c>
      <c r="M10">
        <f t="shared" si="2"/>
        <v>1525998.6</v>
      </c>
      <c r="N10">
        <f t="shared" si="3"/>
        <v>610605.75</v>
      </c>
      <c r="O10">
        <f>Organizing!H38/'For ArcGIS'!G10</f>
        <v>948.10691940779282</v>
      </c>
      <c r="P10">
        <f>Organizing!H24/'For ArcGIS'!H10</f>
        <v>689.98817172020426</v>
      </c>
      <c r="Q10">
        <f>Organizing!H52/'For ArcGIS'!I10</f>
        <v>441.3889383155398</v>
      </c>
      <c r="R10">
        <f>Organizing!H10/'For ArcGIS'!J10</f>
        <v>1203.9753714037249</v>
      </c>
      <c r="S10">
        <f t="shared" si="4"/>
        <v>3283.4594008472613</v>
      </c>
    </row>
    <row r="11" spans="1:19" x14ac:dyDescent="0.2">
      <c r="A11">
        <v>10</v>
      </c>
      <c r="B11" s="5">
        <f>19625+285</f>
        <v>19910</v>
      </c>
      <c r="C11" s="5">
        <v>2767</v>
      </c>
      <c r="D11" s="5">
        <f>3968+1890+24</f>
        <v>5882</v>
      </c>
      <c r="E11" s="5">
        <v>2108</v>
      </c>
      <c r="F11" s="5">
        <f t="shared" si="5"/>
        <v>30667</v>
      </c>
      <c r="G11" s="5">
        <f>63926+497</f>
        <v>64423</v>
      </c>
      <c r="H11" s="5">
        <v>8075</v>
      </c>
      <c r="I11" s="5">
        <f>11860+4114+63</f>
        <v>16037</v>
      </c>
      <c r="J11" s="5">
        <v>4035</v>
      </c>
      <c r="K11">
        <f t="shared" si="0"/>
        <v>888250</v>
      </c>
      <c r="L11">
        <f t="shared" si="1"/>
        <v>696872.5</v>
      </c>
      <c r="M11">
        <f t="shared" si="2"/>
        <v>1382389.4000000001</v>
      </c>
      <c r="N11">
        <f t="shared" si="3"/>
        <v>178548.75</v>
      </c>
      <c r="O11">
        <f>Organizing!H39/'For ArcGIS'!G11</f>
        <v>773.40041600049676</v>
      </c>
      <c r="P11">
        <f>Organizing!H25/'For ArcGIS'!H11</f>
        <v>671.97837151702777</v>
      </c>
      <c r="Q11">
        <f>Organizing!H53/'For ArcGIS'!I11</f>
        <v>369.22964862505455</v>
      </c>
      <c r="R11">
        <f>Organizing!H11/'For ArcGIS'!J11</f>
        <v>1025.6974225526644</v>
      </c>
      <c r="S11">
        <f t="shared" si="4"/>
        <v>2840.3058586952434</v>
      </c>
    </row>
    <row r="12" spans="1:19" x14ac:dyDescent="0.2">
      <c r="A12">
        <v>11</v>
      </c>
      <c r="B12" s="5">
        <f>20437+37</f>
        <v>20474</v>
      </c>
      <c r="C12" s="5">
        <v>2349</v>
      </c>
      <c r="D12" s="5">
        <f>4199+635+257</f>
        <v>5091</v>
      </c>
      <c r="E12" s="5">
        <v>18067</v>
      </c>
      <c r="F12" s="5">
        <f t="shared" si="5"/>
        <v>45981</v>
      </c>
      <c r="G12" s="5">
        <f>53159+59</f>
        <v>53218</v>
      </c>
      <c r="H12" s="5">
        <v>5666</v>
      </c>
      <c r="I12" s="5">
        <f>9303+1137+544</f>
        <v>10984</v>
      </c>
      <c r="J12" s="5">
        <v>28159</v>
      </c>
      <c r="K12">
        <f t="shared" si="0"/>
        <v>623260</v>
      </c>
      <c r="L12">
        <f t="shared" si="1"/>
        <v>488975.8</v>
      </c>
      <c r="M12">
        <f t="shared" si="2"/>
        <v>946820.8</v>
      </c>
      <c r="N12">
        <f t="shared" si="3"/>
        <v>1246035.75</v>
      </c>
      <c r="O12">
        <f>Organizing!H40/'For ArcGIS'!G12</f>
        <v>962.7604381976023</v>
      </c>
      <c r="P12">
        <f>Organizing!H26/'For ArcGIS'!H12</f>
        <v>813.00855100600086</v>
      </c>
      <c r="Q12">
        <f>Organizing!H54/'For ArcGIS'!I12</f>
        <v>466.59195762017481</v>
      </c>
      <c r="R12">
        <f>Organizing!H12/'For ArcGIS'!J12</f>
        <v>1259.6822605561276</v>
      </c>
      <c r="S12">
        <f t="shared" si="4"/>
        <v>3502.0432073799057</v>
      </c>
    </row>
    <row r="13" spans="1:19" x14ac:dyDescent="0.2">
      <c r="A13">
        <v>12</v>
      </c>
      <c r="B13" s="5">
        <f>25918+140</f>
        <v>26058</v>
      </c>
      <c r="C13" s="5">
        <v>2237</v>
      </c>
      <c r="D13" s="5">
        <f>4869+117+1</f>
        <v>4987</v>
      </c>
      <c r="E13" s="5">
        <v>5458</v>
      </c>
      <c r="F13" s="5">
        <f t="shared" si="5"/>
        <v>38740</v>
      </c>
      <c r="G13" s="5">
        <f>83182+257</f>
        <v>83439</v>
      </c>
      <c r="H13" s="5">
        <v>5675</v>
      </c>
      <c r="I13" s="5">
        <f>10390+202+1</f>
        <v>10593</v>
      </c>
      <c r="J13" s="5">
        <v>9537</v>
      </c>
      <c r="K13">
        <f t="shared" si="0"/>
        <v>624250</v>
      </c>
      <c r="L13">
        <f t="shared" si="1"/>
        <v>489752.5</v>
      </c>
      <c r="M13">
        <f t="shared" si="2"/>
        <v>913116.6</v>
      </c>
      <c r="N13">
        <f t="shared" si="3"/>
        <v>422012.25</v>
      </c>
      <c r="O13">
        <f>Organizing!H41/'For ArcGIS'!G13</f>
        <v>781.53075899759119</v>
      </c>
      <c r="P13">
        <f>Organizing!H27/'For ArcGIS'!H13</f>
        <v>773.01653744493387</v>
      </c>
      <c r="Q13">
        <f>Organizing!H55/'For ArcGIS'!I13</f>
        <v>473.93095086377804</v>
      </c>
      <c r="R13">
        <f>Organizing!H13/'For ArcGIS'!J13</f>
        <v>1123.6057303135158</v>
      </c>
      <c r="S13">
        <f t="shared" si="4"/>
        <v>3152.0839776198191</v>
      </c>
    </row>
    <row r="14" spans="1:19" x14ac:dyDescent="0.2">
      <c r="A14">
        <v>13</v>
      </c>
      <c r="B14" s="5">
        <v>23189</v>
      </c>
      <c r="C14" s="5">
        <v>1380</v>
      </c>
      <c r="D14" s="5">
        <f>3539+244+7</f>
        <v>3790</v>
      </c>
      <c r="E14" s="5">
        <v>3772</v>
      </c>
      <c r="F14" s="5">
        <f t="shared" si="5"/>
        <v>32131</v>
      </c>
      <c r="G14" s="5">
        <v>71385</v>
      </c>
      <c r="H14" s="5">
        <v>3365</v>
      </c>
      <c r="I14" s="5">
        <f>8219+533+14</f>
        <v>8766</v>
      </c>
      <c r="J14" s="5">
        <v>7030</v>
      </c>
      <c r="K14">
        <f t="shared" si="0"/>
        <v>370150</v>
      </c>
      <c r="L14">
        <f t="shared" si="1"/>
        <v>290399.5</v>
      </c>
      <c r="M14">
        <f t="shared" si="2"/>
        <v>755629.20000000007</v>
      </c>
      <c r="N14">
        <f t="shared" si="3"/>
        <v>311077.5</v>
      </c>
      <c r="O14">
        <f>Organizing!H42/'For ArcGIS'!G14</f>
        <v>812.9224977236114</v>
      </c>
      <c r="P14">
        <f>Organizing!H28/'For ArcGIS'!H14</f>
        <v>804.23447251114408</v>
      </c>
      <c r="Q14">
        <f>Organizing!H56/'For ArcGIS'!I14</f>
        <v>435.24362594113626</v>
      </c>
      <c r="R14">
        <f>Organizing!H14/'For ArcGIS'!J14</f>
        <v>1053.4369701280227</v>
      </c>
      <c r="S14">
        <f t="shared" si="4"/>
        <v>3105.8375663039142</v>
      </c>
    </row>
    <row r="15" spans="1:19" x14ac:dyDescent="0.2">
      <c r="A15">
        <v>14</v>
      </c>
      <c r="B15" s="5">
        <v>25352</v>
      </c>
      <c r="C15" s="5">
        <v>2133</v>
      </c>
      <c r="D15" s="5">
        <f>2951+169+12</f>
        <v>3132</v>
      </c>
      <c r="E15" s="5">
        <v>3118</v>
      </c>
      <c r="F15" s="5">
        <f t="shared" si="5"/>
        <v>33735</v>
      </c>
      <c r="G15" s="5">
        <v>74157</v>
      </c>
      <c r="H15" s="5">
        <v>5220</v>
      </c>
      <c r="I15" s="5">
        <f>7009+325+25</f>
        <v>7359</v>
      </c>
      <c r="J15" s="5">
        <v>5125</v>
      </c>
      <c r="K15">
        <f t="shared" si="0"/>
        <v>574200</v>
      </c>
      <c r="L15">
        <f t="shared" si="1"/>
        <v>450486</v>
      </c>
      <c r="M15">
        <f t="shared" si="2"/>
        <v>634345.80000000005</v>
      </c>
      <c r="N15">
        <f t="shared" si="3"/>
        <v>226781.25</v>
      </c>
      <c r="O15">
        <f>Organizing!H43/'For ArcGIS'!G15</f>
        <v>855.52786655339355</v>
      </c>
      <c r="P15">
        <f>Organizing!H29/'For ArcGIS'!H15</f>
        <v>801.32560344827596</v>
      </c>
      <c r="Q15">
        <f>Organizing!H57/'For ArcGIS'!I15</f>
        <v>428.44751324908276</v>
      </c>
      <c r="R15">
        <f>Organizing!H15/'For ArcGIS'!J15</f>
        <v>1194.467775609756</v>
      </c>
      <c r="S15">
        <f t="shared" si="4"/>
        <v>3279.7687588605086</v>
      </c>
    </row>
    <row r="16" spans="1:19" x14ac:dyDescent="0.2">
      <c r="B16" s="5">
        <f>SUM(B2:B15)</f>
        <v>278908</v>
      </c>
      <c r="C16" s="5">
        <f>SUM(C2:C15)</f>
        <v>33642</v>
      </c>
      <c r="D16" s="5">
        <f t="shared" ref="D16:F16" si="6">SUM(D2:D15)</f>
        <v>68501</v>
      </c>
      <c r="E16" s="5">
        <f t="shared" si="6"/>
        <v>107503</v>
      </c>
      <c r="F16" s="5">
        <f t="shared" si="6"/>
        <v>488554</v>
      </c>
      <c r="G16" s="5"/>
    </row>
    <row r="17" spans="2:5" x14ac:dyDescent="0.2">
      <c r="B17">
        <f>(B16/F16)*100</f>
        <v>57.088469237791529</v>
      </c>
      <c r="C17">
        <f>(C16/F16)*100</f>
        <v>6.8860351158725548</v>
      </c>
      <c r="D17">
        <f>(D16/F16)*100</f>
        <v>14.02117268510748</v>
      </c>
      <c r="E17">
        <f>(E16/F16)*100</f>
        <v>22.004322961228443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33.33203125" bestFit="1" customWidth="1"/>
    <col min="2" max="3" width="12.1640625" bestFit="1" customWidth="1"/>
    <col min="4" max="4" width="33.33203125" bestFit="1" customWidth="1"/>
    <col min="5" max="5" width="12.1640625" bestFit="1" customWidth="1"/>
    <col min="6" max="6" width="19.6640625" bestFit="1" customWidth="1"/>
  </cols>
  <sheetData>
    <row r="1" spans="1:7" x14ac:dyDescent="0.2">
      <c r="A1" s="1" t="s">
        <v>34</v>
      </c>
      <c r="B1" s="1" t="s">
        <v>35</v>
      </c>
      <c r="D1" s="2" t="s">
        <v>9</v>
      </c>
      <c r="E1" s="2" t="s">
        <v>35</v>
      </c>
      <c r="F1" t="s">
        <v>45</v>
      </c>
    </row>
    <row r="2" spans="1:7" x14ac:dyDescent="0.2">
      <c r="A2" t="s">
        <v>0</v>
      </c>
      <c r="B2">
        <v>116397.2965</v>
      </c>
      <c r="D2" t="s">
        <v>0</v>
      </c>
      <c r="E2">
        <v>1569931.8370000001</v>
      </c>
      <c r="F2">
        <f>E2*0.169037</f>
        <v>265376.567930969</v>
      </c>
    </row>
    <row r="3" spans="1:7" x14ac:dyDescent="0.2">
      <c r="A3" t="s">
        <v>1</v>
      </c>
      <c r="B3">
        <v>1262245.442100001</v>
      </c>
      <c r="D3" t="s">
        <v>1</v>
      </c>
      <c r="E3">
        <v>1406106.6376</v>
      </c>
      <c r="F3">
        <f t="shared" ref="F3:F6" si="0">E3*0.169037</f>
        <v>237684.04769999121</v>
      </c>
      <c r="G3">
        <f>(F3/F7)*100</f>
        <v>45.599146404638624</v>
      </c>
    </row>
    <row r="4" spans="1:7" x14ac:dyDescent="0.2">
      <c r="A4" t="s">
        <v>2</v>
      </c>
      <c r="D4" t="s">
        <v>2</v>
      </c>
    </row>
    <row r="5" spans="1:7" x14ac:dyDescent="0.2">
      <c r="A5" t="s">
        <v>3</v>
      </c>
      <c r="D5" t="s">
        <v>4</v>
      </c>
    </row>
    <row r="6" spans="1:7" x14ac:dyDescent="0.2">
      <c r="A6" t="s">
        <v>4</v>
      </c>
      <c r="D6" t="s">
        <v>3</v>
      </c>
      <c r="E6">
        <v>107586.43610000001</v>
      </c>
      <c r="F6">
        <f t="shared" si="0"/>
        <v>18186.0883990357</v>
      </c>
    </row>
    <row r="7" spans="1:7" x14ac:dyDescent="0.2">
      <c r="A7" t="s">
        <v>5</v>
      </c>
      <c r="D7" t="s">
        <v>10</v>
      </c>
      <c r="F7">
        <f>SUM(F2,F3,F6)</f>
        <v>521246.70402999589</v>
      </c>
    </row>
    <row r="8" spans="1:7" x14ac:dyDescent="0.2">
      <c r="A8" t="s">
        <v>6</v>
      </c>
      <c r="B8">
        <v>136331.53349999999</v>
      </c>
      <c r="D8" t="s">
        <v>5</v>
      </c>
    </row>
    <row r="9" spans="1:7" x14ac:dyDescent="0.2">
      <c r="A9" t="s">
        <v>7</v>
      </c>
      <c r="D9" t="s">
        <v>11</v>
      </c>
    </row>
    <row r="10" spans="1:7" x14ac:dyDescent="0.2">
      <c r="A10" t="s">
        <v>8</v>
      </c>
      <c r="E10">
        <f>SUM(E2,E3,E6)</f>
        <v>3083624.9107000004</v>
      </c>
    </row>
    <row r="28" spans="4:4" x14ac:dyDescent="0.2">
      <c r="D28" t="s">
        <v>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6.1640625" bestFit="1" customWidth="1"/>
    <col min="2" max="2" width="26.83203125" bestFit="1" customWidth="1"/>
    <col min="3" max="3" width="34.6640625" bestFit="1" customWidth="1"/>
    <col min="4" max="4" width="21.1640625" bestFit="1" customWidth="1"/>
    <col min="6" max="6" width="34.6640625" bestFit="1" customWidth="1"/>
    <col min="7" max="7" width="21.1640625" bestFit="1" customWidth="1"/>
  </cols>
  <sheetData>
    <row r="1" spans="1:7" ht="16" thickBot="1" x14ac:dyDescent="0.25">
      <c r="A1" s="3" t="s">
        <v>12</v>
      </c>
      <c r="B1" s="4" t="s">
        <v>36</v>
      </c>
      <c r="C1" s="3" t="s">
        <v>48</v>
      </c>
      <c r="D1" s="3" t="s">
        <v>49</v>
      </c>
      <c r="F1" s="3" t="s">
        <v>48</v>
      </c>
      <c r="G1" s="3" t="s">
        <v>49</v>
      </c>
    </row>
    <row r="2" spans="1:7" x14ac:dyDescent="0.2">
      <c r="A2" t="s">
        <v>13</v>
      </c>
      <c r="B2">
        <v>152324747.21104601</v>
      </c>
      <c r="C2">
        <f>B2*0.169037</f>
        <v>25748518.294313584</v>
      </c>
      <c r="D2">
        <f>C2*0.455</f>
        <v>11715575.82391268</v>
      </c>
      <c r="F2">
        <v>25748518.289999999</v>
      </c>
    </row>
    <row r="3" spans="1:7" x14ac:dyDescent="0.2">
      <c r="A3" t="s">
        <v>14</v>
      </c>
      <c r="B3">
        <v>29837528.369236998</v>
      </c>
      <c r="C3">
        <f t="shared" ref="C3:C4" si="0">B3*0.169037</f>
        <v>5043646.2829507142</v>
      </c>
      <c r="D3">
        <f t="shared" ref="D3:D4" si="1">C3*0.455</f>
        <v>2294859.0587425749</v>
      </c>
      <c r="F3">
        <v>5043646.2829999998</v>
      </c>
    </row>
    <row r="4" spans="1:7" x14ac:dyDescent="0.2">
      <c r="A4" t="s">
        <v>15</v>
      </c>
      <c r="B4">
        <v>13230408.123655999</v>
      </c>
      <c r="C4">
        <f t="shared" si="0"/>
        <v>2236428.4979984392</v>
      </c>
      <c r="D4">
        <f t="shared" si="1"/>
        <v>1017574.9665892898</v>
      </c>
      <c r="F4">
        <v>2236428.4980000001</v>
      </c>
    </row>
    <row r="5" spans="1:7" x14ac:dyDescent="0.2">
      <c r="A5" t="s">
        <v>46</v>
      </c>
      <c r="B5">
        <f>SUM(B2:B4)</f>
        <v>195392683.70393902</v>
      </c>
      <c r="C5">
        <f>SUM(C2:C4)</f>
        <v>33028593.075262737</v>
      </c>
      <c r="D5">
        <f>SUM(D2:D4)</f>
        <v>15028009.849244546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24.5" bestFit="1" customWidth="1"/>
    <col min="2" max="2" width="12.1640625" bestFit="1" customWidth="1"/>
    <col min="3" max="3" width="4.33203125" customWidth="1"/>
    <col min="4" max="4" width="24.5" bestFit="1" customWidth="1"/>
    <col min="5" max="5" width="12.1640625" bestFit="1" customWidth="1"/>
  </cols>
  <sheetData>
    <row r="1" spans="1:5" ht="16" thickBot="1" x14ac:dyDescent="0.25">
      <c r="A1" s="4" t="s">
        <v>37</v>
      </c>
      <c r="B1" s="4" t="s">
        <v>38</v>
      </c>
      <c r="D1" s="3" t="s">
        <v>17</v>
      </c>
      <c r="E1" s="3" t="s">
        <v>38</v>
      </c>
    </row>
    <row r="2" spans="1:5" x14ac:dyDescent="0.2">
      <c r="A2" t="s">
        <v>16</v>
      </c>
      <c r="B2">
        <v>1075535.8244</v>
      </c>
      <c r="D2" t="s">
        <v>18</v>
      </c>
      <c r="E2">
        <v>395239.13589999999</v>
      </c>
    </row>
    <row r="3" spans="1:5" x14ac:dyDescent="0.2">
      <c r="A3" t="s">
        <v>7</v>
      </c>
      <c r="D3" t="s">
        <v>19</v>
      </c>
      <c r="E3">
        <v>156939.29430000001</v>
      </c>
    </row>
    <row r="4" spans="1:5" x14ac:dyDescent="0.2">
      <c r="A4" t="s">
        <v>8</v>
      </c>
      <c r="D4" t="s">
        <v>20</v>
      </c>
      <c r="E4">
        <v>1075535.8244</v>
      </c>
    </row>
    <row r="5" spans="1:5" x14ac:dyDescent="0.2">
      <c r="D5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6"/>
  <sheetViews>
    <sheetView workbookViewId="0">
      <selection activeCell="G23" sqref="G23"/>
    </sheetView>
  </sheetViews>
  <sheetFormatPr baseColWidth="10" defaultColWidth="8.83203125" defaultRowHeight="15" x14ac:dyDescent="0.2"/>
  <cols>
    <col min="2" max="2" width="17.6640625" bestFit="1" customWidth="1"/>
    <col min="4" max="4" width="36" bestFit="1" customWidth="1"/>
    <col min="5" max="5" width="14.6640625" bestFit="1" customWidth="1"/>
    <col min="6" max="6" width="13" bestFit="1" customWidth="1"/>
    <col min="7" max="7" width="20.83203125" bestFit="1" customWidth="1"/>
  </cols>
  <sheetData>
    <row r="1" spans="1:7" x14ac:dyDescent="0.2">
      <c r="A1" s="1"/>
      <c r="B1" s="1" t="s">
        <v>41</v>
      </c>
      <c r="C1" s="1" t="s">
        <v>39</v>
      </c>
      <c r="D1" s="1" t="s">
        <v>40</v>
      </c>
      <c r="E1" s="1" t="s">
        <v>42</v>
      </c>
      <c r="F1" s="1" t="s">
        <v>43</v>
      </c>
      <c r="G1" s="1" t="s">
        <v>44</v>
      </c>
    </row>
    <row r="2" spans="1:7" x14ac:dyDescent="0.2">
      <c r="B2">
        <v>2019</v>
      </c>
      <c r="C2">
        <v>1</v>
      </c>
      <c r="D2" t="s">
        <v>33</v>
      </c>
      <c r="E2" s="5">
        <v>23063</v>
      </c>
      <c r="F2" s="5">
        <v>67008</v>
      </c>
      <c r="G2" s="5">
        <v>22559</v>
      </c>
    </row>
    <row r="3" spans="1:7" x14ac:dyDescent="0.2">
      <c r="B3">
        <v>2019</v>
      </c>
      <c r="C3">
        <v>1</v>
      </c>
      <c r="D3" t="s">
        <v>21</v>
      </c>
      <c r="E3" s="5">
        <v>1959</v>
      </c>
      <c r="F3" s="5">
        <v>4353</v>
      </c>
      <c r="G3" s="5">
        <v>1855</v>
      </c>
    </row>
    <row r="4" spans="1:7" x14ac:dyDescent="0.2">
      <c r="B4">
        <v>2019</v>
      </c>
      <c r="C4">
        <v>1</v>
      </c>
      <c r="D4" t="s">
        <v>22</v>
      </c>
      <c r="E4" s="5">
        <v>84</v>
      </c>
      <c r="F4" s="5">
        <v>123</v>
      </c>
      <c r="G4" s="5">
        <v>65</v>
      </c>
    </row>
    <row r="5" spans="1:7" x14ac:dyDescent="0.2">
      <c r="B5">
        <v>2019</v>
      </c>
      <c r="C5">
        <v>1</v>
      </c>
      <c r="D5" t="s">
        <v>23</v>
      </c>
      <c r="E5" s="5">
        <v>4741</v>
      </c>
      <c r="F5" s="5">
        <v>7344</v>
      </c>
      <c r="G5" s="5">
        <v>4487</v>
      </c>
    </row>
    <row r="6" spans="1:7" x14ac:dyDescent="0.2">
      <c r="B6">
        <v>2019</v>
      </c>
      <c r="C6">
        <v>1</v>
      </c>
      <c r="D6" t="s">
        <v>24</v>
      </c>
      <c r="E6" s="5">
        <v>3972</v>
      </c>
      <c r="F6" s="5">
        <v>7832</v>
      </c>
      <c r="G6" s="5">
        <v>3717</v>
      </c>
    </row>
    <row r="7" spans="1:7" x14ac:dyDescent="0.2">
      <c r="B7">
        <v>2019</v>
      </c>
      <c r="C7">
        <v>1</v>
      </c>
      <c r="D7" t="s">
        <v>25</v>
      </c>
      <c r="E7" s="5">
        <v>495</v>
      </c>
      <c r="F7" s="5">
        <v>897</v>
      </c>
      <c r="G7" s="5">
        <v>472</v>
      </c>
    </row>
    <row r="8" spans="1:7" x14ac:dyDescent="0.2">
      <c r="B8">
        <v>2019</v>
      </c>
      <c r="C8">
        <v>1</v>
      </c>
      <c r="D8" t="s">
        <v>26</v>
      </c>
      <c r="E8" s="5">
        <v>606</v>
      </c>
      <c r="F8" s="5">
        <v>882</v>
      </c>
      <c r="G8" s="5">
        <v>490</v>
      </c>
    </row>
    <row r="9" spans="1:7" x14ac:dyDescent="0.2">
      <c r="B9">
        <v>2019</v>
      </c>
      <c r="C9">
        <v>1</v>
      </c>
      <c r="D9" t="s">
        <v>27</v>
      </c>
      <c r="E9" s="5">
        <v>5</v>
      </c>
      <c r="F9" s="5">
        <v>3</v>
      </c>
      <c r="G9" s="5">
        <v>1</v>
      </c>
    </row>
    <row r="10" spans="1:7" x14ac:dyDescent="0.2">
      <c r="B10">
        <v>2019</v>
      </c>
      <c r="C10">
        <v>1</v>
      </c>
      <c r="D10" t="s">
        <v>28</v>
      </c>
      <c r="E10" s="5">
        <v>2</v>
      </c>
      <c r="F10" s="5">
        <v>1</v>
      </c>
      <c r="G10" s="5">
        <v>1</v>
      </c>
    </row>
    <row r="11" spans="1:7" x14ac:dyDescent="0.2">
      <c r="B11">
        <v>2019</v>
      </c>
      <c r="C11">
        <v>1</v>
      </c>
      <c r="D11" t="s">
        <v>29</v>
      </c>
      <c r="E11" s="5">
        <v>2</v>
      </c>
      <c r="F11" s="5">
        <v>0</v>
      </c>
      <c r="G11" s="5">
        <v>0</v>
      </c>
    </row>
    <row r="12" spans="1:7" x14ac:dyDescent="0.2">
      <c r="B12">
        <v>2019</v>
      </c>
      <c r="C12">
        <v>1</v>
      </c>
      <c r="D12" t="s">
        <v>30</v>
      </c>
      <c r="E12" s="5">
        <v>5</v>
      </c>
      <c r="F12" s="5">
        <v>655</v>
      </c>
      <c r="G12" s="5">
        <v>5</v>
      </c>
    </row>
    <row r="13" spans="1:7" x14ac:dyDescent="0.2">
      <c r="B13">
        <v>2019</v>
      </c>
      <c r="C13">
        <v>1</v>
      </c>
      <c r="D13" t="s">
        <v>31</v>
      </c>
      <c r="E13" s="5">
        <v>14</v>
      </c>
      <c r="F13" s="5">
        <v>60</v>
      </c>
      <c r="G13" s="5">
        <v>12</v>
      </c>
    </row>
    <row r="14" spans="1:7" x14ac:dyDescent="0.2">
      <c r="B14">
        <v>2019</v>
      </c>
      <c r="C14">
        <v>1</v>
      </c>
      <c r="D14" t="s">
        <v>32</v>
      </c>
      <c r="E14" s="5">
        <v>10</v>
      </c>
      <c r="F14" s="5">
        <v>96</v>
      </c>
      <c r="G14" s="5">
        <v>8</v>
      </c>
    </row>
    <row r="15" spans="1:7" x14ac:dyDescent="0.2">
      <c r="B15">
        <v>2019</v>
      </c>
      <c r="C15">
        <v>2</v>
      </c>
      <c r="D15" t="s">
        <v>33</v>
      </c>
      <c r="E15" s="5">
        <v>22689</v>
      </c>
      <c r="F15" s="5">
        <v>71872</v>
      </c>
      <c r="G15" s="5">
        <v>22080</v>
      </c>
    </row>
    <row r="16" spans="1:7" x14ac:dyDescent="0.2">
      <c r="B16">
        <v>2019</v>
      </c>
      <c r="C16">
        <v>2</v>
      </c>
      <c r="D16" t="s">
        <v>21</v>
      </c>
      <c r="E16" s="5">
        <v>1153</v>
      </c>
      <c r="F16" s="5">
        <v>2806</v>
      </c>
      <c r="G16" s="5">
        <v>1095</v>
      </c>
    </row>
    <row r="17" spans="2:7" x14ac:dyDescent="0.2">
      <c r="B17">
        <v>2019</v>
      </c>
      <c r="C17">
        <v>2</v>
      </c>
      <c r="D17" t="s">
        <v>22</v>
      </c>
      <c r="E17" s="5">
        <v>97</v>
      </c>
      <c r="F17" s="5">
        <v>186</v>
      </c>
      <c r="G17" s="5">
        <v>89</v>
      </c>
    </row>
    <row r="18" spans="2:7" x14ac:dyDescent="0.2">
      <c r="B18">
        <v>2019</v>
      </c>
      <c r="C18">
        <v>2</v>
      </c>
      <c r="D18" t="s">
        <v>23</v>
      </c>
      <c r="E18" s="5">
        <v>3246</v>
      </c>
      <c r="F18" s="5">
        <v>5123</v>
      </c>
      <c r="G18" s="5">
        <v>2898</v>
      </c>
    </row>
    <row r="19" spans="2:7" x14ac:dyDescent="0.2">
      <c r="B19">
        <v>2019</v>
      </c>
      <c r="C19">
        <v>2</v>
      </c>
      <c r="D19" t="s">
        <v>24</v>
      </c>
      <c r="E19" s="5">
        <v>4520</v>
      </c>
      <c r="F19" s="5">
        <v>9745</v>
      </c>
      <c r="G19" s="5">
        <v>4159</v>
      </c>
    </row>
    <row r="20" spans="2:7" x14ac:dyDescent="0.2">
      <c r="B20">
        <v>2019</v>
      </c>
      <c r="C20">
        <v>2</v>
      </c>
      <c r="D20" t="s">
        <v>25</v>
      </c>
      <c r="E20" s="5">
        <v>310</v>
      </c>
      <c r="F20" s="5">
        <v>458</v>
      </c>
      <c r="G20" s="5">
        <v>298</v>
      </c>
    </row>
    <row r="21" spans="2:7" x14ac:dyDescent="0.2">
      <c r="B21">
        <v>2019</v>
      </c>
      <c r="C21">
        <v>2</v>
      </c>
      <c r="D21" t="s">
        <v>26</v>
      </c>
      <c r="E21" s="5">
        <v>221</v>
      </c>
      <c r="F21" s="5">
        <v>326</v>
      </c>
      <c r="G21" s="5">
        <v>171</v>
      </c>
    </row>
    <row r="22" spans="2:7" x14ac:dyDescent="0.2">
      <c r="B22">
        <v>2019</v>
      </c>
      <c r="C22">
        <v>2</v>
      </c>
      <c r="D22" t="s">
        <v>30</v>
      </c>
      <c r="E22" s="5">
        <v>6</v>
      </c>
      <c r="F22" s="5">
        <v>692</v>
      </c>
      <c r="G22" s="5">
        <v>6</v>
      </c>
    </row>
    <row r="23" spans="2:7" x14ac:dyDescent="0.2">
      <c r="B23">
        <v>2019</v>
      </c>
      <c r="C23">
        <v>2</v>
      </c>
      <c r="D23" t="s">
        <v>31</v>
      </c>
      <c r="E23" s="5">
        <v>4</v>
      </c>
      <c r="F23" s="5">
        <v>907</v>
      </c>
      <c r="G23" s="5">
        <v>3</v>
      </c>
    </row>
    <row r="24" spans="2:7" x14ac:dyDescent="0.2">
      <c r="B24">
        <v>2019</v>
      </c>
      <c r="C24">
        <v>2</v>
      </c>
      <c r="D24" t="s">
        <v>32</v>
      </c>
      <c r="E24" s="5">
        <v>1</v>
      </c>
      <c r="F24" s="5">
        <v>0</v>
      </c>
      <c r="G24" s="5">
        <v>0</v>
      </c>
    </row>
    <row r="25" spans="2:7" x14ac:dyDescent="0.2">
      <c r="B25">
        <v>2019</v>
      </c>
      <c r="C25">
        <v>3</v>
      </c>
      <c r="D25" t="s">
        <v>33</v>
      </c>
      <c r="E25" s="5">
        <v>17906</v>
      </c>
      <c r="F25" s="5">
        <v>57603</v>
      </c>
      <c r="G25" s="5">
        <v>17295</v>
      </c>
    </row>
    <row r="26" spans="2:7" x14ac:dyDescent="0.2">
      <c r="B26">
        <v>2019</v>
      </c>
      <c r="C26">
        <v>3</v>
      </c>
      <c r="D26" t="s">
        <v>21</v>
      </c>
      <c r="E26" s="5">
        <v>1301</v>
      </c>
      <c r="F26" s="5">
        <v>2991</v>
      </c>
      <c r="G26" s="5">
        <v>1140</v>
      </c>
    </row>
    <row r="27" spans="2:7" x14ac:dyDescent="0.2">
      <c r="B27">
        <v>2019</v>
      </c>
      <c r="C27">
        <v>3</v>
      </c>
      <c r="D27" t="s">
        <v>22</v>
      </c>
      <c r="E27" s="5">
        <v>95</v>
      </c>
      <c r="F27" s="5">
        <v>180</v>
      </c>
      <c r="G27" s="5">
        <v>90</v>
      </c>
    </row>
    <row r="28" spans="2:7" x14ac:dyDescent="0.2">
      <c r="B28">
        <v>2019</v>
      </c>
      <c r="C28">
        <v>3</v>
      </c>
      <c r="D28" t="s">
        <v>23</v>
      </c>
      <c r="E28" s="5">
        <v>2557</v>
      </c>
      <c r="F28" s="5">
        <v>4253</v>
      </c>
      <c r="G28" s="5">
        <v>2407</v>
      </c>
    </row>
    <row r="29" spans="2:7" x14ac:dyDescent="0.2">
      <c r="B29">
        <v>2019</v>
      </c>
      <c r="C29">
        <v>3</v>
      </c>
      <c r="D29" t="s">
        <v>24</v>
      </c>
      <c r="E29" s="5">
        <v>2343</v>
      </c>
      <c r="F29" s="5">
        <v>4999</v>
      </c>
      <c r="G29" s="5">
        <v>2097</v>
      </c>
    </row>
    <row r="30" spans="2:7" x14ac:dyDescent="0.2">
      <c r="B30">
        <v>2019</v>
      </c>
      <c r="C30">
        <v>3</v>
      </c>
      <c r="D30" t="s">
        <v>25</v>
      </c>
      <c r="E30" s="5">
        <v>1</v>
      </c>
      <c r="F30" s="5">
        <v>0</v>
      </c>
      <c r="G30" s="5">
        <v>0</v>
      </c>
    </row>
    <row r="31" spans="2:7" x14ac:dyDescent="0.2">
      <c r="B31">
        <v>2019</v>
      </c>
      <c r="C31">
        <v>3</v>
      </c>
      <c r="D31" t="s">
        <v>26</v>
      </c>
      <c r="E31" s="5">
        <v>273</v>
      </c>
      <c r="F31" s="5">
        <v>518</v>
      </c>
      <c r="G31" s="5">
        <v>225</v>
      </c>
    </row>
    <row r="32" spans="2:7" x14ac:dyDescent="0.2">
      <c r="B32">
        <v>2019</v>
      </c>
      <c r="C32">
        <v>3</v>
      </c>
      <c r="D32" t="s">
        <v>30</v>
      </c>
      <c r="E32" s="5">
        <v>3</v>
      </c>
      <c r="F32" s="5">
        <v>280</v>
      </c>
      <c r="G32" s="5">
        <v>3</v>
      </c>
    </row>
    <row r="33" spans="2:7" x14ac:dyDescent="0.2">
      <c r="B33">
        <v>2019</v>
      </c>
      <c r="C33">
        <v>4</v>
      </c>
      <c r="D33" t="s">
        <v>33</v>
      </c>
      <c r="E33" s="5">
        <v>24741</v>
      </c>
      <c r="F33" s="5">
        <v>65669</v>
      </c>
      <c r="G33" s="5">
        <v>24032</v>
      </c>
    </row>
    <row r="34" spans="2:7" x14ac:dyDescent="0.2">
      <c r="B34">
        <v>2019</v>
      </c>
      <c r="C34">
        <v>4</v>
      </c>
      <c r="D34" t="s">
        <v>21</v>
      </c>
      <c r="E34" s="5">
        <v>3741</v>
      </c>
      <c r="F34" s="5">
        <v>9191</v>
      </c>
      <c r="G34" s="5">
        <v>3523</v>
      </c>
    </row>
    <row r="35" spans="2:7" x14ac:dyDescent="0.2">
      <c r="B35">
        <v>2019</v>
      </c>
      <c r="C35">
        <v>4</v>
      </c>
      <c r="D35" t="s">
        <v>22</v>
      </c>
      <c r="E35" s="5">
        <v>186</v>
      </c>
      <c r="F35" s="5">
        <v>265</v>
      </c>
      <c r="G35" s="5">
        <v>164</v>
      </c>
    </row>
    <row r="36" spans="2:7" x14ac:dyDescent="0.2">
      <c r="B36">
        <v>2019</v>
      </c>
      <c r="C36">
        <v>4</v>
      </c>
      <c r="D36" t="s">
        <v>23</v>
      </c>
      <c r="E36" s="5">
        <v>4359</v>
      </c>
      <c r="F36" s="5">
        <v>6458</v>
      </c>
      <c r="G36" s="5">
        <v>4075</v>
      </c>
    </row>
    <row r="37" spans="2:7" x14ac:dyDescent="0.2">
      <c r="B37">
        <v>2019</v>
      </c>
      <c r="C37">
        <v>4</v>
      </c>
      <c r="D37" t="s">
        <v>24</v>
      </c>
      <c r="E37" s="5">
        <v>5235</v>
      </c>
      <c r="F37" s="5">
        <v>12470</v>
      </c>
      <c r="G37" s="5">
        <v>4925</v>
      </c>
    </row>
    <row r="38" spans="2:7" x14ac:dyDescent="0.2">
      <c r="B38">
        <v>2019</v>
      </c>
      <c r="C38">
        <v>4</v>
      </c>
      <c r="D38" t="s">
        <v>25</v>
      </c>
      <c r="E38" s="5">
        <v>126</v>
      </c>
      <c r="F38" s="5">
        <v>205</v>
      </c>
      <c r="G38" s="5">
        <v>119</v>
      </c>
    </row>
    <row r="39" spans="2:7" x14ac:dyDescent="0.2">
      <c r="B39">
        <v>2019</v>
      </c>
      <c r="C39">
        <v>4</v>
      </c>
      <c r="D39" t="s">
        <v>26</v>
      </c>
      <c r="E39" s="5">
        <v>1954</v>
      </c>
      <c r="F39" s="5">
        <v>2478</v>
      </c>
      <c r="G39" s="5">
        <v>1424</v>
      </c>
    </row>
    <row r="40" spans="2:7" x14ac:dyDescent="0.2">
      <c r="B40">
        <v>2019</v>
      </c>
      <c r="C40">
        <v>4</v>
      </c>
      <c r="D40" t="s">
        <v>28</v>
      </c>
      <c r="E40" s="5">
        <v>3</v>
      </c>
      <c r="F40" s="5">
        <v>3</v>
      </c>
      <c r="G40" s="5">
        <v>2</v>
      </c>
    </row>
    <row r="41" spans="2:7" x14ac:dyDescent="0.2">
      <c r="B41">
        <v>2019</v>
      </c>
      <c r="C41">
        <v>4</v>
      </c>
      <c r="D41" t="s">
        <v>29</v>
      </c>
      <c r="E41" s="5">
        <v>6</v>
      </c>
      <c r="F41" s="5">
        <v>9</v>
      </c>
      <c r="G41" s="5">
        <v>6</v>
      </c>
    </row>
    <row r="42" spans="2:7" x14ac:dyDescent="0.2">
      <c r="B42">
        <v>2019</v>
      </c>
      <c r="C42">
        <v>4</v>
      </c>
      <c r="D42" t="s">
        <v>30</v>
      </c>
      <c r="E42" s="5">
        <v>2</v>
      </c>
      <c r="F42" s="5">
        <v>313</v>
      </c>
      <c r="G42" s="5">
        <v>2</v>
      </c>
    </row>
    <row r="43" spans="2:7" x14ac:dyDescent="0.2">
      <c r="B43">
        <v>2019</v>
      </c>
      <c r="C43">
        <v>4</v>
      </c>
      <c r="D43" t="s">
        <v>32</v>
      </c>
      <c r="E43" s="5">
        <v>3</v>
      </c>
      <c r="F43" s="5">
        <v>50</v>
      </c>
      <c r="G43" s="5">
        <v>1</v>
      </c>
    </row>
    <row r="44" spans="2:7" x14ac:dyDescent="0.2">
      <c r="B44">
        <v>2019</v>
      </c>
      <c r="C44">
        <v>5</v>
      </c>
      <c r="D44" t="s">
        <v>33</v>
      </c>
      <c r="E44" s="5">
        <v>18005</v>
      </c>
      <c r="F44" s="5">
        <v>67440</v>
      </c>
      <c r="G44" s="5">
        <v>16978</v>
      </c>
    </row>
    <row r="45" spans="2:7" x14ac:dyDescent="0.2">
      <c r="B45">
        <v>2019</v>
      </c>
      <c r="C45">
        <v>5</v>
      </c>
      <c r="D45" t="s">
        <v>21</v>
      </c>
      <c r="E45" s="5">
        <v>2151</v>
      </c>
      <c r="F45" s="5">
        <v>6515</v>
      </c>
      <c r="G45" s="5">
        <v>1893</v>
      </c>
    </row>
    <row r="46" spans="2:7" x14ac:dyDescent="0.2">
      <c r="B46">
        <v>2019</v>
      </c>
      <c r="C46">
        <v>5</v>
      </c>
      <c r="D46" t="s">
        <v>22</v>
      </c>
      <c r="E46" s="5">
        <v>90</v>
      </c>
      <c r="F46" s="5">
        <v>223</v>
      </c>
      <c r="G46" s="5">
        <v>82</v>
      </c>
    </row>
    <row r="47" spans="2:7" x14ac:dyDescent="0.2">
      <c r="B47">
        <v>2019</v>
      </c>
      <c r="C47">
        <v>5</v>
      </c>
      <c r="D47" t="s">
        <v>23</v>
      </c>
      <c r="E47" s="5">
        <v>3626</v>
      </c>
      <c r="F47" s="5">
        <v>7087</v>
      </c>
      <c r="G47" s="5">
        <v>3016</v>
      </c>
    </row>
    <row r="48" spans="2:7" x14ac:dyDescent="0.2">
      <c r="B48">
        <v>2019</v>
      </c>
      <c r="C48">
        <v>5</v>
      </c>
      <c r="D48" t="s">
        <v>24</v>
      </c>
      <c r="E48" s="5">
        <v>2949</v>
      </c>
      <c r="F48" s="5">
        <v>7492</v>
      </c>
      <c r="G48" s="5">
        <v>2453</v>
      </c>
    </row>
    <row r="49" spans="2:7" x14ac:dyDescent="0.2">
      <c r="B49">
        <v>2019</v>
      </c>
      <c r="C49">
        <v>5</v>
      </c>
      <c r="D49" t="s">
        <v>25</v>
      </c>
      <c r="E49" s="5">
        <v>3</v>
      </c>
      <c r="F49" s="5">
        <v>10</v>
      </c>
      <c r="G49" s="5">
        <v>3</v>
      </c>
    </row>
    <row r="50" spans="2:7" x14ac:dyDescent="0.2">
      <c r="B50">
        <v>2019</v>
      </c>
      <c r="C50">
        <v>5</v>
      </c>
      <c r="D50" t="s">
        <v>26</v>
      </c>
      <c r="E50" s="5">
        <v>2801</v>
      </c>
      <c r="F50" s="5">
        <v>6357</v>
      </c>
      <c r="G50" s="5">
        <v>2181</v>
      </c>
    </row>
    <row r="51" spans="2:7" x14ac:dyDescent="0.2">
      <c r="B51">
        <v>2019</v>
      </c>
      <c r="C51">
        <v>5</v>
      </c>
      <c r="D51" t="s">
        <v>27</v>
      </c>
      <c r="E51" s="5">
        <v>2</v>
      </c>
      <c r="F51" s="5">
        <v>4</v>
      </c>
      <c r="G51" s="5">
        <v>2</v>
      </c>
    </row>
    <row r="52" spans="2:7" x14ac:dyDescent="0.2">
      <c r="B52">
        <v>2019</v>
      </c>
      <c r="C52">
        <v>5</v>
      </c>
      <c r="D52" t="s">
        <v>29</v>
      </c>
      <c r="E52" s="5">
        <v>1</v>
      </c>
      <c r="F52" s="5">
        <v>4</v>
      </c>
      <c r="G52" s="5">
        <v>1</v>
      </c>
    </row>
    <row r="53" spans="2:7" x14ac:dyDescent="0.2">
      <c r="B53">
        <v>2019</v>
      </c>
      <c r="C53">
        <v>8</v>
      </c>
      <c r="D53" t="s">
        <v>33</v>
      </c>
      <c r="E53" s="5">
        <v>9864</v>
      </c>
      <c r="F53" s="5">
        <v>23687</v>
      </c>
      <c r="G53" s="5">
        <v>9158</v>
      </c>
    </row>
    <row r="54" spans="2:7" x14ac:dyDescent="0.2">
      <c r="B54">
        <v>2019</v>
      </c>
      <c r="C54">
        <v>8</v>
      </c>
      <c r="D54" t="s">
        <v>21</v>
      </c>
      <c r="E54" s="5">
        <v>3771</v>
      </c>
      <c r="F54" s="5">
        <v>8853</v>
      </c>
      <c r="G54" s="5">
        <v>3412</v>
      </c>
    </row>
    <row r="55" spans="2:7" x14ac:dyDescent="0.2">
      <c r="B55">
        <v>2019</v>
      </c>
      <c r="C55">
        <v>5</v>
      </c>
      <c r="D55" t="s">
        <v>30</v>
      </c>
      <c r="E55" s="5">
        <v>3</v>
      </c>
      <c r="F55" s="5">
        <v>585</v>
      </c>
      <c r="G55" s="5">
        <v>2</v>
      </c>
    </row>
    <row r="56" spans="2:7" x14ac:dyDescent="0.2">
      <c r="B56">
        <v>2019</v>
      </c>
      <c r="C56">
        <v>5</v>
      </c>
      <c r="D56" t="s">
        <v>32</v>
      </c>
      <c r="E56" s="5">
        <v>14</v>
      </c>
      <c r="F56" s="5">
        <v>0</v>
      </c>
      <c r="G56" s="5">
        <v>0</v>
      </c>
    </row>
    <row r="57" spans="2:7" x14ac:dyDescent="0.2">
      <c r="B57">
        <v>2019</v>
      </c>
      <c r="C57">
        <v>6</v>
      </c>
      <c r="D57" t="s">
        <v>33</v>
      </c>
      <c r="E57" s="5">
        <v>21215</v>
      </c>
      <c r="F57" s="5">
        <v>65191</v>
      </c>
      <c r="G57" s="5">
        <v>20681</v>
      </c>
    </row>
    <row r="58" spans="2:7" x14ac:dyDescent="0.2">
      <c r="B58">
        <v>2019</v>
      </c>
      <c r="C58">
        <v>6</v>
      </c>
      <c r="D58" t="s">
        <v>21</v>
      </c>
      <c r="E58" s="5">
        <v>2455</v>
      </c>
      <c r="F58" s="5">
        <v>5350</v>
      </c>
      <c r="G58" s="5">
        <v>2363</v>
      </c>
    </row>
    <row r="59" spans="2:7" x14ac:dyDescent="0.2">
      <c r="B59">
        <v>2019</v>
      </c>
      <c r="C59">
        <v>6</v>
      </c>
      <c r="D59" t="s">
        <v>22</v>
      </c>
      <c r="E59" s="5">
        <v>86</v>
      </c>
      <c r="F59" s="5">
        <v>217</v>
      </c>
      <c r="G59" s="5">
        <v>75</v>
      </c>
    </row>
    <row r="60" spans="2:7" x14ac:dyDescent="0.2">
      <c r="B60">
        <v>2019</v>
      </c>
      <c r="C60">
        <v>6</v>
      </c>
      <c r="D60" t="s">
        <v>23</v>
      </c>
      <c r="E60" s="5">
        <v>5744</v>
      </c>
      <c r="F60" s="5">
        <v>8416</v>
      </c>
      <c r="G60" s="5">
        <v>5136</v>
      </c>
    </row>
    <row r="61" spans="2:7" x14ac:dyDescent="0.2">
      <c r="B61">
        <v>2019</v>
      </c>
      <c r="C61">
        <v>6</v>
      </c>
      <c r="D61" t="s">
        <v>24</v>
      </c>
      <c r="E61" s="5">
        <v>5164</v>
      </c>
      <c r="F61" s="5">
        <v>10634</v>
      </c>
      <c r="G61" s="5">
        <v>4897</v>
      </c>
    </row>
    <row r="62" spans="2:7" x14ac:dyDescent="0.2">
      <c r="B62">
        <v>2019</v>
      </c>
      <c r="C62">
        <v>6</v>
      </c>
      <c r="D62" t="s">
        <v>25</v>
      </c>
      <c r="E62" s="5">
        <v>1</v>
      </c>
      <c r="F62" s="5">
        <v>0</v>
      </c>
      <c r="G62" s="5">
        <v>0</v>
      </c>
    </row>
    <row r="63" spans="2:7" x14ac:dyDescent="0.2">
      <c r="B63">
        <v>2019</v>
      </c>
      <c r="C63">
        <v>6</v>
      </c>
      <c r="D63" t="s">
        <v>26</v>
      </c>
      <c r="E63" s="5">
        <v>331</v>
      </c>
      <c r="F63" s="5">
        <v>564</v>
      </c>
      <c r="G63" s="5">
        <v>285</v>
      </c>
    </row>
    <row r="64" spans="2:7" x14ac:dyDescent="0.2">
      <c r="B64">
        <v>2019</v>
      </c>
      <c r="C64">
        <v>6</v>
      </c>
      <c r="D64" t="s">
        <v>29</v>
      </c>
      <c r="E64" s="5">
        <v>4</v>
      </c>
      <c r="F64" s="5">
        <v>5</v>
      </c>
      <c r="G64" s="5">
        <v>2</v>
      </c>
    </row>
    <row r="65" spans="2:7" x14ac:dyDescent="0.2">
      <c r="B65">
        <v>2019</v>
      </c>
      <c r="C65">
        <v>6</v>
      </c>
      <c r="D65" t="s">
        <v>30</v>
      </c>
      <c r="E65" s="5">
        <v>8</v>
      </c>
      <c r="F65" s="5">
        <v>653</v>
      </c>
      <c r="G65" s="5">
        <v>8</v>
      </c>
    </row>
    <row r="66" spans="2:7" x14ac:dyDescent="0.2">
      <c r="B66">
        <v>2019</v>
      </c>
      <c r="C66">
        <v>6</v>
      </c>
      <c r="D66" t="s">
        <v>32</v>
      </c>
      <c r="E66" s="5">
        <v>5</v>
      </c>
      <c r="F66" s="5">
        <v>189</v>
      </c>
      <c r="G66" s="5">
        <v>5</v>
      </c>
    </row>
    <row r="67" spans="2:7" x14ac:dyDescent="0.2">
      <c r="B67">
        <v>2019</v>
      </c>
      <c r="C67">
        <v>7</v>
      </c>
      <c r="D67" t="s">
        <v>33</v>
      </c>
      <c r="E67" s="5">
        <v>12768</v>
      </c>
      <c r="F67" s="5">
        <v>29461</v>
      </c>
      <c r="G67" s="5">
        <v>11902</v>
      </c>
    </row>
    <row r="68" spans="2:7" x14ac:dyDescent="0.2">
      <c r="B68">
        <v>2019</v>
      </c>
      <c r="C68">
        <v>7</v>
      </c>
      <c r="D68" t="s">
        <v>21</v>
      </c>
      <c r="E68" s="5">
        <v>4330</v>
      </c>
      <c r="F68" s="5">
        <v>10562</v>
      </c>
      <c r="G68" s="5">
        <v>3979</v>
      </c>
    </row>
    <row r="69" spans="2:7" x14ac:dyDescent="0.2">
      <c r="B69">
        <v>2019</v>
      </c>
      <c r="C69">
        <v>7</v>
      </c>
      <c r="D69" t="s">
        <v>22</v>
      </c>
      <c r="E69" s="5">
        <v>308</v>
      </c>
      <c r="F69" s="5">
        <v>434</v>
      </c>
      <c r="G69" s="5">
        <v>258</v>
      </c>
    </row>
    <row r="70" spans="2:7" x14ac:dyDescent="0.2">
      <c r="B70">
        <v>2019</v>
      </c>
      <c r="C70">
        <v>7</v>
      </c>
      <c r="D70" t="s">
        <v>23</v>
      </c>
      <c r="E70" s="5">
        <v>16474</v>
      </c>
      <c r="F70" s="5">
        <v>22102</v>
      </c>
      <c r="G70" s="5">
        <v>14539</v>
      </c>
    </row>
    <row r="71" spans="2:7" x14ac:dyDescent="0.2">
      <c r="B71">
        <v>2019</v>
      </c>
      <c r="C71">
        <v>7</v>
      </c>
      <c r="D71" t="s">
        <v>24</v>
      </c>
      <c r="E71" s="5">
        <v>2625</v>
      </c>
      <c r="F71" s="5">
        <v>5045</v>
      </c>
      <c r="G71" s="5">
        <v>2315</v>
      </c>
    </row>
    <row r="72" spans="2:7" x14ac:dyDescent="0.2">
      <c r="B72">
        <v>2019</v>
      </c>
      <c r="C72">
        <v>7</v>
      </c>
      <c r="D72" t="s">
        <v>26</v>
      </c>
      <c r="E72" s="5">
        <v>2627</v>
      </c>
      <c r="F72" s="5">
        <v>3486</v>
      </c>
      <c r="G72" s="5">
        <v>2073</v>
      </c>
    </row>
    <row r="73" spans="2:7" x14ac:dyDescent="0.2">
      <c r="B73">
        <v>2019</v>
      </c>
      <c r="C73">
        <v>7</v>
      </c>
      <c r="D73" t="s">
        <v>27</v>
      </c>
      <c r="E73" s="5">
        <v>18</v>
      </c>
      <c r="F73" s="5">
        <v>30</v>
      </c>
      <c r="G73" s="5">
        <v>10</v>
      </c>
    </row>
    <row r="74" spans="2:7" x14ac:dyDescent="0.2">
      <c r="B74">
        <v>2019</v>
      </c>
      <c r="C74">
        <v>7</v>
      </c>
      <c r="D74" t="s">
        <v>28</v>
      </c>
      <c r="E74" s="5">
        <v>35</v>
      </c>
      <c r="F74" s="5">
        <v>35</v>
      </c>
      <c r="G74" s="5">
        <v>31</v>
      </c>
    </row>
    <row r="75" spans="2:7" x14ac:dyDescent="0.2">
      <c r="B75">
        <v>2019</v>
      </c>
      <c r="C75">
        <v>7</v>
      </c>
      <c r="D75" t="s">
        <v>29</v>
      </c>
      <c r="E75" s="5">
        <v>12</v>
      </c>
      <c r="F75" s="5">
        <v>18</v>
      </c>
      <c r="G75" s="5">
        <v>10</v>
      </c>
    </row>
    <row r="76" spans="2:7" x14ac:dyDescent="0.2">
      <c r="B76">
        <v>2019</v>
      </c>
      <c r="C76">
        <v>7</v>
      </c>
      <c r="D76" t="s">
        <v>30</v>
      </c>
      <c r="E76" s="5">
        <v>11</v>
      </c>
      <c r="F76" s="5">
        <v>1643</v>
      </c>
      <c r="G76" s="5">
        <v>11</v>
      </c>
    </row>
    <row r="77" spans="2:7" x14ac:dyDescent="0.2">
      <c r="B77">
        <v>2019</v>
      </c>
      <c r="C77">
        <v>7</v>
      </c>
      <c r="D77" t="s">
        <v>31</v>
      </c>
      <c r="E77" s="5">
        <v>5</v>
      </c>
      <c r="F77" s="5">
        <v>113</v>
      </c>
      <c r="G77" s="5">
        <v>2</v>
      </c>
    </row>
    <row r="78" spans="2:7" x14ac:dyDescent="0.2">
      <c r="B78">
        <v>2019</v>
      </c>
      <c r="C78">
        <v>7</v>
      </c>
      <c r="D78" t="s">
        <v>32</v>
      </c>
      <c r="E78" s="5">
        <v>42</v>
      </c>
      <c r="F78" s="5">
        <v>4351</v>
      </c>
      <c r="G78" s="5">
        <v>17</v>
      </c>
    </row>
    <row r="79" spans="2:7" x14ac:dyDescent="0.2">
      <c r="B79">
        <v>2019</v>
      </c>
      <c r="C79">
        <v>8</v>
      </c>
      <c r="D79" t="s">
        <v>22</v>
      </c>
      <c r="E79" s="5">
        <v>354</v>
      </c>
      <c r="F79" s="5">
        <v>485</v>
      </c>
      <c r="G79" s="5">
        <v>287</v>
      </c>
    </row>
    <row r="80" spans="2:7" x14ac:dyDescent="0.2">
      <c r="B80">
        <v>2019</v>
      </c>
      <c r="C80">
        <v>8</v>
      </c>
      <c r="D80" t="s">
        <v>23</v>
      </c>
      <c r="E80" s="5">
        <v>33071</v>
      </c>
      <c r="F80" s="5">
        <v>46714</v>
      </c>
      <c r="G80" s="5">
        <v>29960</v>
      </c>
    </row>
    <row r="81" spans="2:7" x14ac:dyDescent="0.2">
      <c r="B81">
        <v>2019</v>
      </c>
      <c r="C81">
        <v>8</v>
      </c>
      <c r="D81" t="s">
        <v>24</v>
      </c>
      <c r="E81" s="5">
        <v>4171</v>
      </c>
      <c r="F81" s="5">
        <v>8485</v>
      </c>
      <c r="G81" s="5">
        <v>3874</v>
      </c>
    </row>
    <row r="82" spans="2:7" x14ac:dyDescent="0.2">
      <c r="B82">
        <v>2019</v>
      </c>
      <c r="C82">
        <v>8</v>
      </c>
      <c r="D82" t="s">
        <v>26</v>
      </c>
      <c r="E82" s="5">
        <v>1872</v>
      </c>
      <c r="F82" s="5">
        <v>2441</v>
      </c>
      <c r="G82" s="5">
        <v>1461</v>
      </c>
    </row>
    <row r="83" spans="2:7" x14ac:dyDescent="0.2">
      <c r="B83">
        <v>2019</v>
      </c>
      <c r="C83">
        <v>8</v>
      </c>
      <c r="D83" t="s">
        <v>27</v>
      </c>
      <c r="E83" s="5">
        <v>4</v>
      </c>
      <c r="F83" s="5">
        <v>5</v>
      </c>
      <c r="G83" s="5">
        <v>4</v>
      </c>
    </row>
    <row r="84" spans="2:7" x14ac:dyDescent="0.2">
      <c r="B84">
        <v>2019</v>
      </c>
      <c r="C84">
        <v>8</v>
      </c>
      <c r="D84" t="s">
        <v>28</v>
      </c>
      <c r="E84" s="5">
        <v>63</v>
      </c>
      <c r="F84" s="5">
        <v>58</v>
      </c>
      <c r="G84" s="5">
        <v>49</v>
      </c>
    </row>
    <row r="85" spans="2:7" x14ac:dyDescent="0.2">
      <c r="B85">
        <v>2019</v>
      </c>
      <c r="C85">
        <v>8</v>
      </c>
      <c r="D85" t="s">
        <v>29</v>
      </c>
      <c r="E85" s="5">
        <v>66</v>
      </c>
      <c r="F85" s="5">
        <v>76</v>
      </c>
      <c r="G85" s="5">
        <v>45</v>
      </c>
    </row>
    <row r="86" spans="2:7" x14ac:dyDescent="0.2">
      <c r="B86">
        <v>2019</v>
      </c>
      <c r="C86">
        <v>8</v>
      </c>
      <c r="D86" t="s">
        <v>30</v>
      </c>
      <c r="E86" s="5">
        <v>8</v>
      </c>
      <c r="F86" s="5">
        <v>1074</v>
      </c>
      <c r="G86" s="5">
        <v>8</v>
      </c>
    </row>
    <row r="87" spans="2:7" x14ac:dyDescent="0.2">
      <c r="B87">
        <v>2019</v>
      </c>
      <c r="C87">
        <v>8</v>
      </c>
      <c r="D87" t="s">
        <v>31</v>
      </c>
      <c r="E87" s="5">
        <v>2</v>
      </c>
      <c r="F87" s="5">
        <v>28</v>
      </c>
      <c r="G87" s="5">
        <v>1</v>
      </c>
    </row>
    <row r="88" spans="2:7" x14ac:dyDescent="0.2">
      <c r="B88">
        <v>2019</v>
      </c>
      <c r="C88">
        <v>8</v>
      </c>
      <c r="D88" t="s">
        <v>32</v>
      </c>
      <c r="E88" s="5">
        <v>23</v>
      </c>
      <c r="F88" s="5">
        <v>1093</v>
      </c>
      <c r="G88" s="5">
        <v>12</v>
      </c>
    </row>
    <row r="89" spans="2:7" x14ac:dyDescent="0.2">
      <c r="B89">
        <v>2019</v>
      </c>
      <c r="C89">
        <v>9</v>
      </c>
      <c r="D89" t="s">
        <v>33</v>
      </c>
      <c r="E89" s="5">
        <v>18105</v>
      </c>
      <c r="F89" s="5">
        <v>46647</v>
      </c>
      <c r="G89" s="5">
        <v>17458</v>
      </c>
    </row>
    <row r="90" spans="2:7" x14ac:dyDescent="0.2">
      <c r="B90">
        <v>2019</v>
      </c>
      <c r="C90">
        <v>9</v>
      </c>
      <c r="D90" t="s">
        <v>21</v>
      </c>
      <c r="E90" s="5">
        <v>3713</v>
      </c>
      <c r="F90" s="5">
        <v>9993</v>
      </c>
      <c r="G90" s="5">
        <v>3516</v>
      </c>
    </row>
    <row r="91" spans="2:7" x14ac:dyDescent="0.2">
      <c r="B91">
        <v>2019</v>
      </c>
      <c r="C91">
        <v>9</v>
      </c>
      <c r="D91" t="s">
        <v>22</v>
      </c>
      <c r="E91" s="5">
        <v>150</v>
      </c>
      <c r="F91" s="5">
        <v>264</v>
      </c>
      <c r="G91" s="5">
        <v>133</v>
      </c>
    </row>
    <row r="92" spans="2:7" x14ac:dyDescent="0.2">
      <c r="B92">
        <v>2019</v>
      </c>
      <c r="C92">
        <v>9</v>
      </c>
      <c r="D92" t="s">
        <v>23</v>
      </c>
      <c r="E92" s="5">
        <v>9317</v>
      </c>
      <c r="F92" s="5">
        <v>13799</v>
      </c>
      <c r="G92" s="5">
        <v>8462</v>
      </c>
    </row>
    <row r="93" spans="2:7" x14ac:dyDescent="0.2">
      <c r="B93">
        <v>2019</v>
      </c>
      <c r="C93">
        <v>9</v>
      </c>
      <c r="D93" t="s">
        <v>24</v>
      </c>
      <c r="E93" s="5">
        <v>5027</v>
      </c>
      <c r="F93" s="5">
        <v>12413</v>
      </c>
      <c r="G93" s="5">
        <v>4741</v>
      </c>
    </row>
    <row r="94" spans="2:7" x14ac:dyDescent="0.2">
      <c r="B94">
        <v>2019</v>
      </c>
      <c r="C94">
        <v>9</v>
      </c>
      <c r="D94" t="s">
        <v>25</v>
      </c>
      <c r="E94" s="5">
        <v>966</v>
      </c>
      <c r="F94" s="5">
        <v>1782</v>
      </c>
      <c r="G94" s="5">
        <v>890</v>
      </c>
    </row>
    <row r="95" spans="2:7" x14ac:dyDescent="0.2">
      <c r="B95">
        <v>2019</v>
      </c>
      <c r="C95">
        <v>9</v>
      </c>
      <c r="D95" t="s">
        <v>26</v>
      </c>
      <c r="E95" s="5">
        <v>3715</v>
      </c>
      <c r="F95" s="5">
        <v>5026</v>
      </c>
      <c r="G95" s="5">
        <v>2888</v>
      </c>
    </row>
    <row r="96" spans="2:7" x14ac:dyDescent="0.2">
      <c r="B96">
        <v>2019</v>
      </c>
      <c r="C96">
        <v>9</v>
      </c>
      <c r="D96" t="s">
        <v>27</v>
      </c>
      <c r="E96" s="5">
        <v>3</v>
      </c>
      <c r="F96" s="5">
        <v>19</v>
      </c>
      <c r="G96" s="5">
        <v>3</v>
      </c>
    </row>
    <row r="97" spans="2:7" x14ac:dyDescent="0.2">
      <c r="B97">
        <v>2019</v>
      </c>
      <c r="C97">
        <v>9</v>
      </c>
      <c r="D97" t="s">
        <v>28</v>
      </c>
      <c r="E97" s="5">
        <v>63</v>
      </c>
      <c r="F97" s="5">
        <v>61</v>
      </c>
      <c r="G97" s="5">
        <v>34</v>
      </c>
    </row>
    <row r="98" spans="2:7" x14ac:dyDescent="0.2">
      <c r="B98">
        <v>2019</v>
      </c>
      <c r="C98">
        <v>9</v>
      </c>
      <c r="D98" t="s">
        <v>29</v>
      </c>
      <c r="E98" s="5">
        <v>16</v>
      </c>
      <c r="F98" s="5">
        <v>24</v>
      </c>
      <c r="G98" s="5">
        <v>13</v>
      </c>
    </row>
    <row r="99" spans="2:7" x14ac:dyDescent="0.2">
      <c r="B99">
        <v>2019</v>
      </c>
      <c r="C99">
        <v>9</v>
      </c>
      <c r="D99" t="s">
        <v>30</v>
      </c>
      <c r="E99" s="5">
        <v>9</v>
      </c>
      <c r="F99" s="5">
        <v>998</v>
      </c>
      <c r="G99" s="5">
        <v>9</v>
      </c>
    </row>
    <row r="100" spans="2:7" x14ac:dyDescent="0.2">
      <c r="B100">
        <v>2019</v>
      </c>
      <c r="C100">
        <v>9</v>
      </c>
      <c r="D100" t="s">
        <v>31</v>
      </c>
      <c r="E100" s="5">
        <v>3</v>
      </c>
      <c r="F100" s="5">
        <v>32</v>
      </c>
      <c r="G100" s="5">
        <v>2</v>
      </c>
    </row>
    <row r="101" spans="2:7" x14ac:dyDescent="0.2">
      <c r="B101">
        <v>2019</v>
      </c>
      <c r="C101">
        <v>9</v>
      </c>
      <c r="D101" t="s">
        <v>32</v>
      </c>
      <c r="E101" s="5">
        <v>15</v>
      </c>
      <c r="F101" s="5">
        <v>637</v>
      </c>
      <c r="G101" s="5">
        <v>8</v>
      </c>
    </row>
    <row r="102" spans="2:7" x14ac:dyDescent="0.2">
      <c r="B102">
        <v>2019</v>
      </c>
      <c r="C102">
        <v>10</v>
      </c>
      <c r="D102" t="s">
        <v>33</v>
      </c>
      <c r="E102" s="5">
        <v>20098</v>
      </c>
      <c r="F102" s="5">
        <v>63926</v>
      </c>
      <c r="G102" s="5">
        <v>19625</v>
      </c>
    </row>
    <row r="103" spans="2:7" x14ac:dyDescent="0.2">
      <c r="B103">
        <v>2019</v>
      </c>
      <c r="C103">
        <v>10</v>
      </c>
      <c r="D103" t="s">
        <v>21</v>
      </c>
      <c r="E103" s="5">
        <v>2905</v>
      </c>
      <c r="F103" s="5">
        <v>8075</v>
      </c>
      <c r="G103" s="5">
        <v>2767</v>
      </c>
    </row>
    <row r="104" spans="2:7" x14ac:dyDescent="0.2">
      <c r="B104">
        <v>2019</v>
      </c>
      <c r="C104">
        <v>10</v>
      </c>
      <c r="D104" t="s">
        <v>22</v>
      </c>
      <c r="E104" s="5">
        <v>24</v>
      </c>
      <c r="F104" s="5">
        <v>63</v>
      </c>
      <c r="G104" s="5">
        <v>24</v>
      </c>
    </row>
    <row r="105" spans="2:7" x14ac:dyDescent="0.2">
      <c r="B105">
        <v>2019</v>
      </c>
      <c r="C105">
        <v>10</v>
      </c>
      <c r="D105" t="s">
        <v>23</v>
      </c>
      <c r="E105" s="5">
        <v>2207</v>
      </c>
      <c r="F105" s="5">
        <v>4035</v>
      </c>
      <c r="G105" s="5">
        <v>2108</v>
      </c>
    </row>
    <row r="106" spans="2:7" x14ac:dyDescent="0.2">
      <c r="B106">
        <v>2019</v>
      </c>
      <c r="C106">
        <v>10</v>
      </c>
      <c r="D106" t="s">
        <v>24</v>
      </c>
      <c r="E106" s="5">
        <v>4177</v>
      </c>
      <c r="F106" s="5">
        <v>11860</v>
      </c>
      <c r="G106" s="5">
        <v>3968</v>
      </c>
    </row>
    <row r="107" spans="2:7" x14ac:dyDescent="0.2">
      <c r="B107">
        <v>2019</v>
      </c>
      <c r="C107">
        <v>10</v>
      </c>
      <c r="D107" t="s">
        <v>25</v>
      </c>
      <c r="E107" s="5">
        <v>302</v>
      </c>
      <c r="F107" s="5">
        <v>497</v>
      </c>
      <c r="G107" s="5">
        <v>285</v>
      </c>
    </row>
    <row r="108" spans="2:7" x14ac:dyDescent="0.2">
      <c r="B108">
        <v>2019</v>
      </c>
      <c r="C108">
        <v>10</v>
      </c>
      <c r="D108" t="s">
        <v>26</v>
      </c>
      <c r="E108" s="5">
        <v>2648</v>
      </c>
      <c r="F108" s="5">
        <v>4114</v>
      </c>
      <c r="G108" s="5">
        <v>1890</v>
      </c>
    </row>
    <row r="109" spans="2:7" x14ac:dyDescent="0.2">
      <c r="B109">
        <v>2019</v>
      </c>
      <c r="C109">
        <v>10</v>
      </c>
      <c r="D109" t="s">
        <v>27</v>
      </c>
      <c r="E109" s="5">
        <v>2</v>
      </c>
      <c r="F109" s="5">
        <v>9</v>
      </c>
      <c r="G109" s="5">
        <v>2</v>
      </c>
    </row>
    <row r="110" spans="2:7" x14ac:dyDescent="0.2">
      <c r="B110">
        <v>2019</v>
      </c>
      <c r="C110">
        <v>10</v>
      </c>
      <c r="D110" t="s">
        <v>28</v>
      </c>
      <c r="E110" s="5">
        <v>1</v>
      </c>
      <c r="F110" s="5">
        <v>4</v>
      </c>
      <c r="G110" s="5">
        <v>1</v>
      </c>
    </row>
    <row r="111" spans="2:7" x14ac:dyDescent="0.2">
      <c r="B111">
        <v>2019</v>
      </c>
      <c r="C111">
        <v>10</v>
      </c>
      <c r="D111" t="s">
        <v>29</v>
      </c>
      <c r="E111" s="5">
        <v>5</v>
      </c>
      <c r="F111" s="5">
        <v>4</v>
      </c>
      <c r="G111" s="5">
        <v>2</v>
      </c>
    </row>
    <row r="112" spans="2:7" x14ac:dyDescent="0.2">
      <c r="B112">
        <v>2019</v>
      </c>
      <c r="C112">
        <v>10</v>
      </c>
      <c r="D112" t="s">
        <v>30</v>
      </c>
      <c r="E112" s="5">
        <v>2</v>
      </c>
      <c r="F112" s="5">
        <v>282</v>
      </c>
      <c r="G112" s="5">
        <v>2</v>
      </c>
    </row>
    <row r="113" spans="2:7" x14ac:dyDescent="0.2">
      <c r="B113">
        <v>2019</v>
      </c>
      <c r="C113">
        <v>10</v>
      </c>
      <c r="D113" t="s">
        <v>31</v>
      </c>
      <c r="E113" s="5">
        <v>1</v>
      </c>
      <c r="F113" s="5">
        <v>9</v>
      </c>
      <c r="G113" s="5">
        <v>1</v>
      </c>
    </row>
    <row r="114" spans="2:7" x14ac:dyDescent="0.2">
      <c r="B114">
        <v>2019</v>
      </c>
      <c r="C114">
        <v>10</v>
      </c>
      <c r="D114" t="s">
        <v>32</v>
      </c>
      <c r="E114" s="5">
        <v>20</v>
      </c>
      <c r="F114" s="5">
        <v>23</v>
      </c>
      <c r="G114" s="5">
        <v>3</v>
      </c>
    </row>
    <row r="115" spans="2:7" x14ac:dyDescent="0.2">
      <c r="B115">
        <v>2019</v>
      </c>
      <c r="C115">
        <v>11</v>
      </c>
      <c r="D115" t="s">
        <v>33</v>
      </c>
      <c r="E115" s="5">
        <v>21167</v>
      </c>
      <c r="F115" s="5">
        <v>53159</v>
      </c>
      <c r="G115" s="5">
        <v>20437</v>
      </c>
    </row>
    <row r="116" spans="2:7" x14ac:dyDescent="0.2">
      <c r="B116">
        <v>2019</v>
      </c>
      <c r="C116">
        <v>11</v>
      </c>
      <c r="D116" t="s">
        <v>21</v>
      </c>
      <c r="E116" s="5">
        <v>2494</v>
      </c>
      <c r="F116" s="5">
        <v>5666</v>
      </c>
      <c r="G116" s="5">
        <v>2349</v>
      </c>
    </row>
    <row r="117" spans="2:7" x14ac:dyDescent="0.2">
      <c r="B117">
        <v>2019</v>
      </c>
      <c r="C117">
        <v>11</v>
      </c>
      <c r="D117" t="s">
        <v>22</v>
      </c>
      <c r="E117" s="5">
        <v>277</v>
      </c>
      <c r="F117" s="5">
        <v>544</v>
      </c>
      <c r="G117" s="5">
        <v>257</v>
      </c>
    </row>
    <row r="118" spans="2:7" x14ac:dyDescent="0.2">
      <c r="B118">
        <v>2019</v>
      </c>
      <c r="C118">
        <v>11</v>
      </c>
      <c r="D118" t="s">
        <v>23</v>
      </c>
      <c r="E118" s="5">
        <v>19793</v>
      </c>
      <c r="F118" s="5">
        <v>28159</v>
      </c>
      <c r="G118" s="5">
        <v>18067</v>
      </c>
    </row>
    <row r="119" spans="2:7" x14ac:dyDescent="0.2">
      <c r="B119">
        <v>2019</v>
      </c>
      <c r="C119">
        <v>11</v>
      </c>
      <c r="D119" t="s">
        <v>24</v>
      </c>
      <c r="E119" s="5">
        <v>4399</v>
      </c>
      <c r="F119" s="5">
        <v>9303</v>
      </c>
      <c r="G119" s="5">
        <v>4199</v>
      </c>
    </row>
    <row r="120" spans="2:7" x14ac:dyDescent="0.2">
      <c r="B120">
        <v>2019</v>
      </c>
      <c r="C120">
        <v>11</v>
      </c>
      <c r="D120" t="s">
        <v>25</v>
      </c>
      <c r="E120" s="5">
        <v>94</v>
      </c>
      <c r="F120" s="5">
        <v>59</v>
      </c>
      <c r="G120" s="5">
        <v>37</v>
      </c>
    </row>
    <row r="121" spans="2:7" x14ac:dyDescent="0.2">
      <c r="B121">
        <v>2019</v>
      </c>
      <c r="C121">
        <v>11</v>
      </c>
      <c r="D121" t="s">
        <v>26</v>
      </c>
      <c r="E121" s="5">
        <v>826</v>
      </c>
      <c r="F121" s="5">
        <v>1137</v>
      </c>
      <c r="G121" s="5">
        <v>635</v>
      </c>
    </row>
    <row r="122" spans="2:7" x14ac:dyDescent="0.2">
      <c r="B122">
        <v>2019</v>
      </c>
      <c r="C122">
        <v>11</v>
      </c>
      <c r="D122" t="s">
        <v>27</v>
      </c>
      <c r="E122" s="5">
        <v>6</v>
      </c>
      <c r="F122" s="5">
        <v>48</v>
      </c>
      <c r="G122" s="5">
        <v>5</v>
      </c>
    </row>
    <row r="123" spans="2:7" x14ac:dyDescent="0.2">
      <c r="B123">
        <v>2019</v>
      </c>
      <c r="C123">
        <v>11</v>
      </c>
      <c r="D123" t="s">
        <v>28</v>
      </c>
      <c r="E123" s="5">
        <v>17</v>
      </c>
      <c r="F123" s="5">
        <v>7</v>
      </c>
      <c r="G123" s="5">
        <v>3</v>
      </c>
    </row>
    <row r="124" spans="2:7" x14ac:dyDescent="0.2">
      <c r="B124">
        <v>2019</v>
      </c>
      <c r="C124">
        <v>11</v>
      </c>
      <c r="D124" t="s">
        <v>29</v>
      </c>
      <c r="E124" s="5">
        <v>8</v>
      </c>
      <c r="F124" s="5">
        <v>20</v>
      </c>
      <c r="G124" s="5">
        <v>7</v>
      </c>
    </row>
    <row r="125" spans="2:7" x14ac:dyDescent="0.2">
      <c r="B125">
        <v>2019</v>
      </c>
      <c r="C125">
        <v>11</v>
      </c>
      <c r="D125" t="s">
        <v>30</v>
      </c>
      <c r="E125" s="5">
        <v>11</v>
      </c>
      <c r="F125" s="5">
        <v>1233</v>
      </c>
      <c r="G125" s="5">
        <v>10</v>
      </c>
    </row>
    <row r="126" spans="2:7" x14ac:dyDescent="0.2">
      <c r="B126">
        <v>2019</v>
      </c>
      <c r="C126">
        <v>11</v>
      </c>
      <c r="D126" t="s">
        <v>31</v>
      </c>
      <c r="E126" s="5">
        <v>1</v>
      </c>
      <c r="F126" s="5">
        <v>39</v>
      </c>
      <c r="G126" s="5">
        <v>1</v>
      </c>
    </row>
    <row r="127" spans="2:7" x14ac:dyDescent="0.2">
      <c r="B127">
        <v>2019</v>
      </c>
      <c r="C127">
        <v>11</v>
      </c>
      <c r="D127" t="s">
        <v>32</v>
      </c>
      <c r="E127" s="5">
        <v>20</v>
      </c>
      <c r="F127" s="5">
        <v>629</v>
      </c>
      <c r="G127" s="5">
        <v>11</v>
      </c>
    </row>
    <row r="128" spans="2:7" x14ac:dyDescent="0.2">
      <c r="B128">
        <v>2019</v>
      </c>
      <c r="C128">
        <v>12</v>
      </c>
      <c r="D128" t="s">
        <v>33</v>
      </c>
      <c r="E128" s="5">
        <v>26627</v>
      </c>
      <c r="F128" s="5">
        <v>83182</v>
      </c>
      <c r="G128" s="5">
        <v>25918</v>
      </c>
    </row>
    <row r="129" spans="2:7" x14ac:dyDescent="0.2">
      <c r="B129">
        <v>2019</v>
      </c>
      <c r="C129">
        <v>12</v>
      </c>
      <c r="D129" t="s">
        <v>21</v>
      </c>
      <c r="E129" s="5">
        <v>2341</v>
      </c>
      <c r="F129" s="5">
        <v>5675</v>
      </c>
      <c r="G129" s="5">
        <v>2237</v>
      </c>
    </row>
    <row r="130" spans="2:7" x14ac:dyDescent="0.2">
      <c r="B130">
        <v>2019</v>
      </c>
      <c r="C130">
        <v>12</v>
      </c>
      <c r="D130" t="s">
        <v>22</v>
      </c>
      <c r="E130" s="5">
        <v>3</v>
      </c>
      <c r="F130" s="5">
        <v>1</v>
      </c>
      <c r="G130" s="5">
        <v>1</v>
      </c>
    </row>
    <row r="131" spans="2:7" x14ac:dyDescent="0.2">
      <c r="B131">
        <v>2019</v>
      </c>
      <c r="C131">
        <v>12</v>
      </c>
      <c r="D131" t="s">
        <v>23</v>
      </c>
      <c r="E131" s="5">
        <v>6311</v>
      </c>
      <c r="F131" s="5">
        <v>9537</v>
      </c>
      <c r="G131" s="5">
        <v>5458</v>
      </c>
    </row>
    <row r="132" spans="2:7" x14ac:dyDescent="0.2">
      <c r="B132">
        <v>2019</v>
      </c>
      <c r="C132">
        <v>12</v>
      </c>
      <c r="D132" t="s">
        <v>24</v>
      </c>
      <c r="E132" s="5">
        <v>5196</v>
      </c>
      <c r="F132" s="5">
        <v>10390</v>
      </c>
      <c r="G132" s="5">
        <v>4869</v>
      </c>
    </row>
    <row r="133" spans="2:7" x14ac:dyDescent="0.2">
      <c r="B133">
        <v>2019</v>
      </c>
      <c r="C133">
        <v>12</v>
      </c>
      <c r="D133" t="s">
        <v>25</v>
      </c>
      <c r="E133" s="5">
        <v>151</v>
      </c>
      <c r="F133" s="5">
        <v>257</v>
      </c>
      <c r="G133" s="5">
        <v>140</v>
      </c>
    </row>
    <row r="134" spans="2:7" x14ac:dyDescent="0.2">
      <c r="B134">
        <v>2019</v>
      </c>
      <c r="C134">
        <v>12</v>
      </c>
      <c r="D134" t="s">
        <v>26</v>
      </c>
      <c r="E134" s="5">
        <v>141</v>
      </c>
      <c r="F134" s="5">
        <v>202</v>
      </c>
      <c r="G134" s="5">
        <v>117</v>
      </c>
    </row>
    <row r="135" spans="2:7" x14ac:dyDescent="0.2">
      <c r="B135">
        <v>2019</v>
      </c>
      <c r="C135">
        <v>12</v>
      </c>
      <c r="D135" t="s">
        <v>29</v>
      </c>
      <c r="E135" s="5">
        <v>94</v>
      </c>
      <c r="F135" s="5">
        <v>102</v>
      </c>
      <c r="G135" s="5">
        <v>82</v>
      </c>
    </row>
    <row r="136" spans="2:7" x14ac:dyDescent="0.2">
      <c r="B136">
        <v>2019</v>
      </c>
      <c r="C136">
        <v>12</v>
      </c>
      <c r="D136" t="s">
        <v>30</v>
      </c>
      <c r="E136" s="5">
        <v>24</v>
      </c>
      <c r="F136" s="5">
        <v>790</v>
      </c>
      <c r="G136" s="5">
        <v>24</v>
      </c>
    </row>
    <row r="137" spans="2:7" x14ac:dyDescent="0.2">
      <c r="B137">
        <v>2019</v>
      </c>
      <c r="C137">
        <v>12</v>
      </c>
      <c r="D137" t="s">
        <v>31</v>
      </c>
      <c r="E137" s="5">
        <v>1</v>
      </c>
      <c r="F137" s="5">
        <v>39</v>
      </c>
      <c r="G137" s="5">
        <v>1</v>
      </c>
    </row>
    <row r="138" spans="2:7" x14ac:dyDescent="0.2">
      <c r="B138">
        <v>2019</v>
      </c>
      <c r="C138">
        <v>12</v>
      </c>
      <c r="D138" t="s">
        <v>32</v>
      </c>
      <c r="E138" s="5">
        <v>4</v>
      </c>
      <c r="F138" s="5">
        <v>0</v>
      </c>
      <c r="G138" s="5">
        <v>0</v>
      </c>
    </row>
    <row r="139" spans="2:7" x14ac:dyDescent="0.2">
      <c r="B139">
        <v>2019</v>
      </c>
      <c r="C139">
        <v>13</v>
      </c>
      <c r="D139" t="s">
        <v>33</v>
      </c>
      <c r="E139" s="5">
        <v>23726</v>
      </c>
      <c r="F139" s="5">
        <v>71383</v>
      </c>
      <c r="G139" s="5">
        <v>23185</v>
      </c>
    </row>
    <row r="140" spans="2:7" x14ac:dyDescent="0.2">
      <c r="B140">
        <v>2019</v>
      </c>
      <c r="C140">
        <v>13</v>
      </c>
      <c r="D140" t="s">
        <v>21</v>
      </c>
      <c r="E140" s="5">
        <v>1460</v>
      </c>
      <c r="F140" s="5">
        <v>3365</v>
      </c>
      <c r="G140" s="5">
        <v>1380</v>
      </c>
    </row>
    <row r="141" spans="2:7" x14ac:dyDescent="0.2">
      <c r="B141">
        <v>2019</v>
      </c>
      <c r="C141">
        <v>13</v>
      </c>
      <c r="D141" t="s">
        <v>22</v>
      </c>
      <c r="E141" s="5">
        <v>8</v>
      </c>
      <c r="F141" s="5">
        <v>14</v>
      </c>
      <c r="G141" s="5">
        <v>7</v>
      </c>
    </row>
    <row r="142" spans="2:7" x14ac:dyDescent="0.2">
      <c r="B142">
        <v>2019</v>
      </c>
      <c r="C142">
        <v>13</v>
      </c>
      <c r="D142" t="s">
        <v>23</v>
      </c>
      <c r="E142" s="5">
        <v>4105</v>
      </c>
      <c r="F142" s="5">
        <v>7030</v>
      </c>
      <c r="G142" s="5">
        <v>3772</v>
      </c>
    </row>
    <row r="143" spans="2:7" x14ac:dyDescent="0.2">
      <c r="B143">
        <v>2019</v>
      </c>
      <c r="C143">
        <v>13</v>
      </c>
      <c r="D143" t="s">
        <v>24</v>
      </c>
      <c r="E143" s="5">
        <v>3862</v>
      </c>
      <c r="F143" s="5">
        <v>8219</v>
      </c>
      <c r="G143" s="5">
        <v>3539</v>
      </c>
    </row>
    <row r="144" spans="2:7" x14ac:dyDescent="0.2">
      <c r="B144">
        <v>2019</v>
      </c>
      <c r="C144">
        <v>13</v>
      </c>
      <c r="D144" t="s">
        <v>25</v>
      </c>
      <c r="E144" s="5">
        <v>4</v>
      </c>
      <c r="F144" s="5">
        <v>2</v>
      </c>
      <c r="G144" s="5">
        <v>4</v>
      </c>
    </row>
    <row r="145" spans="2:7" x14ac:dyDescent="0.2">
      <c r="B145">
        <v>2019</v>
      </c>
      <c r="C145">
        <v>13</v>
      </c>
      <c r="D145" t="s">
        <v>26</v>
      </c>
      <c r="E145" s="5">
        <v>296</v>
      </c>
      <c r="F145" s="5">
        <v>533</v>
      </c>
      <c r="G145" s="5">
        <v>244</v>
      </c>
    </row>
    <row r="146" spans="2:7" x14ac:dyDescent="0.2">
      <c r="B146">
        <v>2019</v>
      </c>
      <c r="C146">
        <v>13</v>
      </c>
      <c r="D146" t="s">
        <v>30</v>
      </c>
      <c r="E146" s="5">
        <v>6</v>
      </c>
      <c r="F146" s="5">
        <v>662</v>
      </c>
      <c r="G146" s="5">
        <v>5</v>
      </c>
    </row>
    <row r="147" spans="2:7" x14ac:dyDescent="0.2">
      <c r="B147">
        <v>2019</v>
      </c>
      <c r="C147">
        <v>13</v>
      </c>
      <c r="D147" t="s">
        <v>31</v>
      </c>
      <c r="E147" s="5">
        <v>1</v>
      </c>
      <c r="F147" s="5">
        <v>27</v>
      </c>
      <c r="G147" s="5">
        <v>1</v>
      </c>
    </row>
    <row r="148" spans="2:7" x14ac:dyDescent="0.2">
      <c r="B148">
        <v>2019</v>
      </c>
      <c r="C148">
        <v>14</v>
      </c>
      <c r="D148" t="s">
        <v>33</v>
      </c>
      <c r="E148" s="5">
        <v>25956</v>
      </c>
      <c r="F148" s="5">
        <v>74157</v>
      </c>
      <c r="G148" s="5">
        <v>25352</v>
      </c>
    </row>
    <row r="149" spans="2:7" x14ac:dyDescent="0.2">
      <c r="B149">
        <v>2019</v>
      </c>
      <c r="C149">
        <v>14</v>
      </c>
      <c r="D149" t="s">
        <v>21</v>
      </c>
      <c r="E149" s="5">
        <v>2221</v>
      </c>
      <c r="F149" s="5">
        <v>5220</v>
      </c>
      <c r="G149" s="5">
        <v>2133</v>
      </c>
    </row>
    <row r="150" spans="2:7" x14ac:dyDescent="0.2">
      <c r="B150">
        <v>2019</v>
      </c>
      <c r="C150">
        <v>14</v>
      </c>
      <c r="D150" t="s">
        <v>22</v>
      </c>
      <c r="E150" s="5">
        <v>14</v>
      </c>
      <c r="F150" s="5">
        <v>25</v>
      </c>
      <c r="G150" s="5">
        <v>12</v>
      </c>
    </row>
    <row r="151" spans="2:7" x14ac:dyDescent="0.2">
      <c r="B151">
        <v>2019</v>
      </c>
      <c r="C151">
        <v>14</v>
      </c>
      <c r="D151" t="s">
        <v>23</v>
      </c>
      <c r="E151" s="5">
        <v>3453</v>
      </c>
      <c r="F151" s="5">
        <v>5125</v>
      </c>
      <c r="G151" s="5">
        <v>3118</v>
      </c>
    </row>
    <row r="152" spans="2:7" x14ac:dyDescent="0.2">
      <c r="B152">
        <v>2019</v>
      </c>
      <c r="C152">
        <v>14</v>
      </c>
      <c r="D152" t="s">
        <v>24</v>
      </c>
      <c r="E152" s="5">
        <v>3202</v>
      </c>
      <c r="F152" s="5">
        <v>7009</v>
      </c>
      <c r="G152" s="5">
        <v>2951</v>
      </c>
    </row>
    <row r="153" spans="2:7" x14ac:dyDescent="0.2">
      <c r="B153">
        <v>2019</v>
      </c>
      <c r="C153">
        <v>14</v>
      </c>
      <c r="D153" t="s">
        <v>26</v>
      </c>
      <c r="E153" s="5">
        <v>210</v>
      </c>
      <c r="F153" s="5">
        <v>325</v>
      </c>
      <c r="G153" s="5">
        <v>169</v>
      </c>
    </row>
    <row r="154" spans="2:7" x14ac:dyDescent="0.2">
      <c r="B154">
        <v>2019</v>
      </c>
      <c r="C154">
        <v>14</v>
      </c>
      <c r="D154" t="s">
        <v>29</v>
      </c>
      <c r="E154" s="5">
        <v>2</v>
      </c>
      <c r="F154" s="5">
        <v>4</v>
      </c>
      <c r="G154" s="5">
        <v>1</v>
      </c>
    </row>
    <row r="155" spans="2:7" x14ac:dyDescent="0.2">
      <c r="E155" s="5">
        <f t="shared" ref="E155:F155" si="0">SUM(E2:E154)</f>
        <v>521248</v>
      </c>
      <c r="F155" s="5">
        <f t="shared" si="0"/>
        <v>1284393</v>
      </c>
      <c r="G155" s="5">
        <f>SUM(G2:G154)</f>
        <v>489055</v>
      </c>
    </row>
    <row r="156" spans="2:7" x14ac:dyDescent="0.2">
      <c r="E156" s="6"/>
      <c r="F156" s="6"/>
      <c r="G156" s="6"/>
    </row>
    <row r="157" spans="2:7" x14ac:dyDescent="0.2">
      <c r="E157" s="6"/>
      <c r="F157" s="6"/>
      <c r="G157" s="6"/>
    </row>
    <row r="158" spans="2:7" x14ac:dyDescent="0.2">
      <c r="E158" s="6">
        <f>(E155/table_2.1a!E10)*100</f>
        <v>16.903742027485237</v>
      </c>
      <c r="F158" s="6"/>
      <c r="G158" s="6"/>
    </row>
    <row r="159" spans="2:7" x14ac:dyDescent="0.2">
      <c r="E159" s="6"/>
      <c r="F159" s="6"/>
      <c r="G159" s="6"/>
    </row>
    <row r="160" spans="2:7" x14ac:dyDescent="0.2">
      <c r="F160" s="6"/>
      <c r="G160" s="6"/>
    </row>
    <row r="161" spans="5:7" x14ac:dyDescent="0.2">
      <c r="E161" s="6"/>
      <c r="F161" s="6"/>
      <c r="G161" s="6"/>
    </row>
    <row r="162" spans="5:7" x14ac:dyDescent="0.2">
      <c r="E162" s="6"/>
      <c r="F162" s="6"/>
      <c r="G162" s="6"/>
    </row>
    <row r="163" spans="5:7" x14ac:dyDescent="0.2">
      <c r="E163" s="6"/>
      <c r="F163" s="6"/>
      <c r="G163" s="6"/>
    </row>
    <row r="164" spans="5:7" x14ac:dyDescent="0.2">
      <c r="E164" s="6"/>
      <c r="F164" s="6"/>
      <c r="G164" s="6"/>
    </row>
    <row r="165" spans="5:7" x14ac:dyDescent="0.2">
      <c r="E165" s="6"/>
      <c r="F165" s="6"/>
      <c r="G165" s="6"/>
    </row>
    <row r="166" spans="5:7" x14ac:dyDescent="0.2">
      <c r="E166" s="6"/>
      <c r="F166" s="6"/>
      <c r="G166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Organizing</vt:lpstr>
      <vt:lpstr>For ArcGIS</vt:lpstr>
      <vt:lpstr>table_2.1a</vt:lpstr>
      <vt:lpstr>table_3.1a</vt:lpstr>
      <vt:lpstr>table_7.1a</vt:lpstr>
      <vt:lpstr>dwelling_type_ward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Adara Thornton</cp:lastModifiedBy>
  <dcterms:created xsi:type="dcterms:W3CDTF">2025-10-05T06:16:42Z</dcterms:created>
  <dcterms:modified xsi:type="dcterms:W3CDTF">2025-10-29T16:31:40Z</dcterms:modified>
</cp:coreProperties>
</file>