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E\Desktop\Carpeta Selección Oscar\5 TEST\TEST EXTRAS\11 MINI MMPI\"/>
    </mc:Choice>
  </mc:AlternateContent>
  <bookViews>
    <workbookView xWindow="-120" yWindow="-120" windowWidth="20730" windowHeight="11160"/>
  </bookViews>
  <sheets>
    <sheet name="INGRESO" sheetId="1" r:id="rId1"/>
    <sheet name="INTERPRETACION" sheetId="2" r:id="rId2"/>
    <sheet name="REPORTE" sheetId="4" r:id="rId3"/>
    <sheet name="PERFIL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H10" i="2" s="1"/>
  <c r="B13" i="2"/>
  <c r="E13" i="2" s="1"/>
  <c r="B16" i="2"/>
  <c r="E16" i="2" s="1"/>
  <c r="B20" i="2"/>
  <c r="E20" i="2" s="1"/>
  <c r="C21" i="2"/>
  <c r="E21" i="2" s="1"/>
  <c r="C25" i="2"/>
  <c r="D25" i="2" s="1"/>
  <c r="B31" i="2"/>
  <c r="E31" i="2" s="1"/>
  <c r="B39" i="2"/>
  <c r="M39" i="2" s="1"/>
  <c r="B49" i="2"/>
  <c r="E49" i="2" s="1"/>
  <c r="B51" i="2"/>
  <c r="E51" i="2" s="1"/>
  <c r="B59" i="2"/>
  <c r="E59" i="2" s="1"/>
  <c r="C60" i="2"/>
  <c r="E60" i="2" s="1"/>
  <c r="C62" i="2"/>
  <c r="H62" i="2" s="1"/>
  <c r="B65" i="2"/>
  <c r="M65" i="2" s="1"/>
  <c r="B72" i="2"/>
  <c r="E72" i="2" s="1"/>
  <c r="C7" i="2"/>
  <c r="F7" i="2" s="1"/>
  <c r="C12" i="2"/>
  <c r="F12" i="2" s="1"/>
  <c r="C24" i="2"/>
  <c r="F24" i="2" s="1"/>
  <c r="C34" i="2"/>
  <c r="F34" i="2" s="1"/>
  <c r="C35" i="2"/>
  <c r="J35" i="2" s="1"/>
  <c r="C37" i="2"/>
  <c r="F37" i="2" s="1"/>
  <c r="C38" i="2"/>
  <c r="G38" i="2" s="1"/>
  <c r="B41" i="2"/>
  <c r="F41" i="2" s="1"/>
  <c r="B42" i="2"/>
  <c r="I42" i="2" s="1"/>
  <c r="C44" i="2"/>
  <c r="J44" i="2" s="1"/>
  <c r="C52" i="2"/>
  <c r="F52" i="2" s="1"/>
  <c r="C57" i="2"/>
  <c r="F57" i="2" s="1"/>
  <c r="C66" i="2"/>
  <c r="H66" i="2" s="1"/>
  <c r="C68" i="2"/>
  <c r="F68" i="2" s="1"/>
  <c r="C70" i="2"/>
  <c r="F70" i="2" s="1"/>
  <c r="C71" i="2"/>
  <c r="F71" i="2" s="1"/>
  <c r="C2" i="2"/>
  <c r="H2" i="2" s="1"/>
  <c r="C3" i="2"/>
  <c r="L3" i="2" s="1"/>
  <c r="B7" i="2"/>
  <c r="H7" i="2" s="1"/>
  <c r="B19" i="2"/>
  <c r="G19" i="2" s="1"/>
  <c r="B27" i="2"/>
  <c r="M27" i="2" s="1"/>
  <c r="B33" i="2"/>
  <c r="G33" i="2" s="1"/>
  <c r="B45" i="2"/>
  <c r="H45" i="2" s="1"/>
  <c r="B46" i="2"/>
  <c r="G46" i="2" s="1"/>
  <c r="B47" i="2"/>
  <c r="I47" i="2" s="1"/>
  <c r="B56" i="2"/>
  <c r="G56" i="2" s="1"/>
  <c r="C63" i="2"/>
  <c r="G63" i="2" s="1"/>
  <c r="B64" i="2"/>
  <c r="K64" i="2" s="1"/>
  <c r="C4" i="2"/>
  <c r="L4" i="2" s="1"/>
  <c r="B5" i="2"/>
  <c r="N5" i="2" s="1"/>
  <c r="B14" i="2"/>
  <c r="I14" i="2" s="1"/>
  <c r="B18" i="2"/>
  <c r="M18" i="2" s="1"/>
  <c r="B23" i="2"/>
  <c r="J23" i="2" s="1"/>
  <c r="B26" i="2"/>
  <c r="H26" i="2" s="1"/>
  <c r="C29" i="2"/>
  <c r="H29" i="2" s="1"/>
  <c r="B37" i="2"/>
  <c r="H37" i="2" s="1"/>
  <c r="C43" i="2"/>
  <c r="L43" i="2" s="1"/>
  <c r="B61" i="2"/>
  <c r="H61" i="2" s="1"/>
  <c r="C30" i="2"/>
  <c r="I30" i="2" s="1"/>
  <c r="C32" i="2"/>
  <c r="I32" i="2" s="1"/>
  <c r="C36" i="2"/>
  <c r="J36" i="2" s="1"/>
  <c r="C50" i="2"/>
  <c r="J50" i="2" s="1"/>
  <c r="B58" i="2"/>
  <c r="I58" i="2" s="1"/>
  <c r="B8" i="2"/>
  <c r="J8" i="2" s="1"/>
  <c r="B11" i="2"/>
  <c r="M11" i="2" s="1"/>
  <c r="B15" i="2"/>
  <c r="J15" i="2" s="1"/>
  <c r="B17" i="2"/>
  <c r="M17" i="2" s="1"/>
  <c r="B28" i="2"/>
  <c r="L28" i="2" s="1"/>
  <c r="B53" i="2"/>
  <c r="J53" i="2" s="1"/>
  <c r="B6" i="2"/>
  <c r="M6" i="2" s="1"/>
  <c r="B9" i="2"/>
  <c r="L9" i="2" s="1"/>
  <c r="B40" i="2"/>
  <c r="K40" i="2" s="1"/>
  <c r="B67" i="2"/>
  <c r="K67" i="2" s="1"/>
  <c r="B69" i="2"/>
  <c r="L69" i="2" s="1"/>
  <c r="B52" i="2"/>
  <c r="L52" i="2" s="1"/>
  <c r="B22" i="2"/>
  <c r="N22" i="2" s="1"/>
  <c r="B30" i="2"/>
  <c r="N30" i="2" s="1"/>
  <c r="B35" i="2"/>
  <c r="N35" i="2" s="1"/>
  <c r="B55" i="2"/>
  <c r="N55" i="2" s="1"/>
  <c r="C61" i="2"/>
  <c r="N61" i="2" s="1"/>
  <c r="B87" i="2"/>
  <c r="C6" i="2"/>
  <c r="D6" i="2" s="1"/>
  <c r="B48" i="2"/>
  <c r="D48" i="2" s="1"/>
  <c r="C54" i="2"/>
  <c r="D54" i="2" s="1"/>
  <c r="H3" i="4"/>
  <c r="C77" i="2"/>
  <c r="C76" i="2"/>
  <c r="C75" i="2"/>
  <c r="C74" i="2"/>
  <c r="C73" i="2"/>
  <c r="C72" i="2"/>
  <c r="C69" i="2"/>
  <c r="C67" i="2"/>
  <c r="C65" i="2"/>
  <c r="C64" i="2"/>
  <c r="C59" i="2"/>
  <c r="C58" i="2"/>
  <c r="C56" i="2"/>
  <c r="C55" i="2"/>
  <c r="C53" i="2"/>
  <c r="C51" i="2"/>
  <c r="C49" i="2"/>
  <c r="C48" i="2"/>
  <c r="C47" i="2"/>
  <c r="C46" i="2"/>
  <c r="C45" i="2"/>
  <c r="C42" i="2"/>
  <c r="C41" i="2"/>
  <c r="C40" i="2"/>
  <c r="C39" i="2"/>
  <c r="C33" i="2"/>
  <c r="C31" i="2"/>
  <c r="C28" i="2"/>
  <c r="C27" i="2"/>
  <c r="C26" i="2"/>
  <c r="C23" i="2"/>
  <c r="C22" i="2"/>
  <c r="C20" i="2"/>
  <c r="C19" i="2"/>
  <c r="C18" i="2"/>
  <c r="C17" i="2"/>
  <c r="C16" i="2"/>
  <c r="C15" i="2"/>
  <c r="C14" i="2"/>
  <c r="C13" i="2"/>
  <c r="C11" i="2"/>
  <c r="C10" i="2"/>
  <c r="C9" i="2"/>
  <c r="C8" i="2"/>
  <c r="C5" i="2"/>
  <c r="B77" i="2"/>
  <c r="B76" i="2"/>
  <c r="B75" i="2"/>
  <c r="B74" i="2"/>
  <c r="B73" i="2"/>
  <c r="B71" i="2"/>
  <c r="B70" i="2"/>
  <c r="B68" i="2"/>
  <c r="B66" i="2"/>
  <c r="B63" i="2"/>
  <c r="B62" i="2"/>
  <c r="B60" i="2"/>
  <c r="B57" i="2"/>
  <c r="B54" i="2"/>
  <c r="B50" i="2"/>
  <c r="B44" i="2"/>
  <c r="B43" i="2"/>
  <c r="B38" i="2"/>
  <c r="B36" i="2"/>
  <c r="B34" i="2"/>
  <c r="B32" i="2"/>
  <c r="B29" i="2"/>
  <c r="B25" i="2"/>
  <c r="B24" i="2"/>
  <c r="B21" i="2"/>
  <c r="B12" i="2"/>
  <c r="B4" i="2"/>
  <c r="B3" i="2"/>
  <c r="B2" i="2"/>
  <c r="K8" i="4"/>
  <c r="K9" i="3" s="1"/>
  <c r="I8" i="4"/>
  <c r="I9" i="3" s="1"/>
  <c r="H8" i="4"/>
  <c r="H9" i="3" s="1"/>
  <c r="F8" i="4"/>
  <c r="F9" i="3" s="1"/>
  <c r="E8" i="4"/>
  <c r="E9" i="3" s="1"/>
  <c r="D8" i="4"/>
  <c r="D9" i="3" s="1"/>
  <c r="G2" i="2" l="1"/>
  <c r="I2" i="2"/>
  <c r="M47" i="2"/>
  <c r="J42" i="2"/>
  <c r="F38" i="2"/>
  <c r="I10" i="2"/>
  <c r="K6" i="2"/>
  <c r="E39" i="2"/>
  <c r="K68" i="2"/>
  <c r="M4" i="2"/>
  <c r="J4" i="2"/>
  <c r="I4" i="2"/>
  <c r="I19" i="2"/>
  <c r="G3" i="2"/>
  <c r="I3" i="2"/>
  <c r="J11" i="2"/>
  <c r="H4" i="2"/>
  <c r="I34" i="2"/>
  <c r="K30" i="2"/>
  <c r="J72" i="2"/>
  <c r="I50" i="2"/>
  <c r="K69" i="2"/>
  <c r="I63" i="2"/>
  <c r="I36" i="2"/>
  <c r="J29" i="2"/>
  <c r="K29" i="2"/>
  <c r="J28" i="2"/>
  <c r="H19" i="2"/>
  <c r="K11" i="2"/>
  <c r="L6" i="2"/>
  <c r="I12" i="2"/>
  <c r="I24" i="2"/>
  <c r="D12" i="2"/>
  <c r="F35" i="2"/>
  <c r="H12" i="2"/>
  <c r="F62" i="2"/>
  <c r="E62" i="2"/>
  <c r="E25" i="2"/>
  <c r="H14" i="2"/>
  <c r="J59" i="2"/>
  <c r="L26" i="2"/>
  <c r="H18" i="2"/>
  <c r="E10" i="2"/>
  <c r="H23" i="2"/>
  <c r="L18" i="2"/>
  <c r="J17" i="2"/>
  <c r="G10" i="2"/>
  <c r="M9" i="2"/>
  <c r="K16" i="2"/>
  <c r="M15" i="2"/>
  <c r="M8" i="2"/>
  <c r="G47" i="2"/>
  <c r="K9" i="2"/>
  <c r="N8" i="2"/>
  <c r="N9" i="2"/>
  <c r="I56" i="2"/>
  <c r="F42" i="2"/>
  <c r="M16" i="2"/>
  <c r="J16" i="2"/>
  <c r="F66" i="2"/>
  <c r="I46" i="2"/>
  <c r="G45" i="2"/>
  <c r="I41" i="2"/>
  <c r="H41" i="2"/>
  <c r="D80" i="2"/>
  <c r="D6" i="4" s="1"/>
  <c r="D7" i="3" s="1"/>
  <c r="G7" i="2"/>
  <c r="H5" i="2"/>
  <c r="G27" i="2"/>
  <c r="L14" i="2"/>
  <c r="M14" i="2"/>
  <c r="I38" i="2"/>
  <c r="I57" i="2"/>
  <c r="K32" i="2"/>
  <c r="M31" i="2"/>
  <c r="I45" i="2"/>
  <c r="J14" i="2"/>
  <c r="I29" i="2"/>
  <c r="N40" i="2"/>
  <c r="L67" i="2"/>
  <c r="F44" i="2"/>
  <c r="M67" i="2"/>
  <c r="J66" i="2"/>
  <c r="K65" i="2"/>
  <c r="E65" i="2"/>
  <c r="G64" i="2"/>
  <c r="M64" i="2"/>
  <c r="N58" i="2"/>
  <c r="L58" i="2"/>
  <c r="M58" i="2"/>
  <c r="L45" i="2"/>
  <c r="I44" i="2"/>
  <c r="N44" i="2"/>
  <c r="M43" i="2"/>
  <c r="H43" i="2"/>
  <c r="M40" i="2"/>
  <c r="H38" i="2"/>
  <c r="L37" i="2"/>
  <c r="K31" i="2"/>
  <c r="L23" i="2"/>
  <c r="F80" i="2" l="1"/>
  <c r="F6" i="4" s="1"/>
  <c r="F7" i="3" s="1"/>
  <c r="J80" i="2"/>
  <c r="J81" i="2" s="1"/>
  <c r="J7" i="4" s="1"/>
  <c r="J8" i="3" s="1"/>
  <c r="G80" i="2"/>
  <c r="G6" i="4" s="1"/>
  <c r="G7" i="3" s="1"/>
  <c r="E80" i="2"/>
  <c r="E6" i="4" s="1"/>
  <c r="E7" i="3" s="1"/>
  <c r="N80" i="2"/>
  <c r="N6" i="4" s="1"/>
  <c r="N7" i="3" s="1"/>
  <c r="I80" i="2"/>
  <c r="I6" i="4" s="1"/>
  <c r="I7" i="3" s="1"/>
  <c r="D81" i="2"/>
  <c r="D7" i="4" s="1"/>
  <c r="D8" i="3" s="1"/>
  <c r="H80" i="2"/>
  <c r="H81" i="2" s="1"/>
  <c r="H83" i="2" s="1"/>
  <c r="H9" i="4" s="1"/>
  <c r="H10" i="3" s="1"/>
  <c r="K80" i="2"/>
  <c r="K6" i="4" s="1"/>
  <c r="K7" i="3" s="1"/>
  <c r="M80" i="2"/>
  <c r="M81" i="2" s="1"/>
  <c r="M7" i="4" s="1"/>
  <c r="M8" i="3" s="1"/>
  <c r="L80" i="2"/>
  <c r="L81" i="2" s="1"/>
  <c r="F81" i="2" l="1"/>
  <c r="F83" i="2" s="1"/>
  <c r="F85" i="2" s="1"/>
  <c r="J6" i="4"/>
  <c r="J7" i="3" s="1"/>
  <c r="L6" i="4"/>
  <c r="L7" i="3" s="1"/>
  <c r="N81" i="2"/>
  <c r="N7" i="4" s="1"/>
  <c r="N8" i="3" s="1"/>
  <c r="E81" i="2"/>
  <c r="E7" i="4" s="1"/>
  <c r="E8" i="3" s="1"/>
  <c r="K81" i="2"/>
  <c r="K83" i="2" s="1"/>
  <c r="G81" i="2"/>
  <c r="G7" i="4" s="1"/>
  <c r="G8" i="3" s="1"/>
  <c r="D83" i="2"/>
  <c r="B151" i="2" s="1"/>
  <c r="A17" i="4" s="1"/>
  <c r="H85" i="2"/>
  <c r="I81" i="2"/>
  <c r="I83" i="2" s="1"/>
  <c r="I9" i="4" s="1"/>
  <c r="I10" i="3" s="1"/>
  <c r="H84" i="2"/>
  <c r="H6" i="4"/>
  <c r="H7" i="3" s="1"/>
  <c r="M6" i="4"/>
  <c r="M7" i="3" s="1"/>
  <c r="H7" i="4"/>
  <c r="H8" i="3" s="1"/>
  <c r="L7" i="4"/>
  <c r="L8" i="3" s="1"/>
  <c r="F7" i="4" l="1"/>
  <c r="F8" i="3" s="1"/>
  <c r="G82" i="2"/>
  <c r="G8" i="4" s="1"/>
  <c r="G9" i="3" s="1"/>
  <c r="M82" i="2"/>
  <c r="M8" i="4" s="1"/>
  <c r="M9" i="3" s="1"/>
  <c r="L82" i="2"/>
  <c r="L8" i="4" s="1"/>
  <c r="L9" i="3" s="1"/>
  <c r="F84" i="2"/>
  <c r="F87" i="2" s="1"/>
  <c r="F88" i="2" s="1"/>
  <c r="J82" i="2"/>
  <c r="J8" i="4" s="1"/>
  <c r="J9" i="3" s="1"/>
  <c r="F9" i="4"/>
  <c r="F10" i="3" s="1"/>
  <c r="N82" i="2"/>
  <c r="N8" i="4" s="1"/>
  <c r="N9" i="3" s="1"/>
  <c r="D9" i="4"/>
  <c r="D10" i="3" s="1"/>
  <c r="H87" i="2"/>
  <c r="B209" i="2" s="1"/>
  <c r="A75" i="4" s="1"/>
  <c r="B149" i="2"/>
  <c r="A15" i="4" s="1"/>
  <c r="E83" i="2"/>
  <c r="E9" i="4" s="1"/>
  <c r="E10" i="3" s="1"/>
  <c r="K7" i="4"/>
  <c r="K8" i="3" s="1"/>
  <c r="B153" i="2"/>
  <c r="A19" i="4" s="1"/>
  <c r="D84" i="2"/>
  <c r="B156" i="2"/>
  <c r="A22" i="4" s="1"/>
  <c r="B150" i="2"/>
  <c r="A16" i="4" s="1"/>
  <c r="B152" i="2"/>
  <c r="A18" i="4" s="1"/>
  <c r="B154" i="2"/>
  <c r="A20" i="4" s="1"/>
  <c r="D85" i="2"/>
  <c r="B155" i="2"/>
  <c r="A21" i="4" s="1"/>
  <c r="I85" i="2"/>
  <c r="I84" i="2"/>
  <c r="I7" i="4"/>
  <c r="I8" i="3" s="1"/>
  <c r="K85" i="2"/>
  <c r="K9" i="4"/>
  <c r="K10" i="3" s="1"/>
  <c r="K84" i="2"/>
  <c r="I87" i="2" l="1"/>
  <c r="B251" i="2" s="1"/>
  <c r="A117" i="4" s="1"/>
  <c r="F10" i="4"/>
  <c r="D16" i="3" s="1"/>
  <c r="B173" i="2"/>
  <c r="A39" i="4" s="1"/>
  <c r="B175" i="2"/>
  <c r="A41" i="4" s="1"/>
  <c r="B180" i="2"/>
  <c r="A46" i="4" s="1"/>
  <c r="M83" i="2"/>
  <c r="M84" i="2" s="1"/>
  <c r="B172" i="2"/>
  <c r="A38" i="4" s="1"/>
  <c r="B176" i="2"/>
  <c r="A42" i="4" s="1"/>
  <c r="B183" i="2"/>
  <c r="A49" i="4" s="1"/>
  <c r="B174" i="2"/>
  <c r="A40" i="4" s="1"/>
  <c r="G83" i="2"/>
  <c r="G85" i="2" s="1"/>
  <c r="B171" i="2"/>
  <c r="A37" i="4" s="1"/>
  <c r="B177" i="2"/>
  <c r="A43" i="4" s="1"/>
  <c r="B178" i="2"/>
  <c r="A44" i="4" s="1"/>
  <c r="B181" i="2"/>
  <c r="A47" i="4" s="1"/>
  <c r="J83" i="2"/>
  <c r="J84" i="2" s="1"/>
  <c r="B179" i="2"/>
  <c r="A45" i="4" s="1"/>
  <c r="B169" i="2"/>
  <c r="A35" i="4" s="1"/>
  <c r="B182" i="2"/>
  <c r="A48" i="4" s="1"/>
  <c r="B170" i="2"/>
  <c r="A36" i="4" s="1"/>
  <c r="L83" i="2"/>
  <c r="L9" i="4" s="1"/>
  <c r="L10" i="3" s="1"/>
  <c r="N83" i="2"/>
  <c r="N85" i="2" s="1"/>
  <c r="B218" i="2"/>
  <c r="A84" i="4" s="1"/>
  <c r="B225" i="2"/>
  <c r="A91" i="4" s="1"/>
  <c r="B232" i="2"/>
  <c r="A98" i="4" s="1"/>
  <c r="B222" i="2"/>
  <c r="A88" i="4" s="1"/>
  <c r="B216" i="2"/>
  <c r="A82" i="4" s="1"/>
  <c r="B213" i="2"/>
  <c r="A79" i="4" s="1"/>
  <c r="B226" i="2"/>
  <c r="A92" i="4" s="1"/>
  <c r="B217" i="2"/>
  <c r="A83" i="4" s="1"/>
  <c r="D87" i="2"/>
  <c r="D88" i="2" s="1"/>
  <c r="B207" i="2"/>
  <c r="A73" i="4" s="1"/>
  <c r="B212" i="2"/>
  <c r="A78" i="4" s="1"/>
  <c r="B229" i="2"/>
  <c r="A95" i="4" s="1"/>
  <c r="B231" i="2"/>
  <c r="A97" i="4" s="1"/>
  <c r="B214" i="2"/>
  <c r="A80" i="4" s="1"/>
  <c r="B233" i="2"/>
  <c r="A99" i="4" s="1"/>
  <c r="B223" i="2"/>
  <c r="A89" i="4" s="1"/>
  <c r="B215" i="2"/>
  <c r="A81" i="4" s="1"/>
  <c r="B211" i="2"/>
  <c r="A77" i="4" s="1"/>
  <c r="B208" i="2"/>
  <c r="A74" i="4" s="1"/>
  <c r="H88" i="2"/>
  <c r="B220" i="2"/>
  <c r="A86" i="4" s="1"/>
  <c r="B219" i="2"/>
  <c r="A85" i="4" s="1"/>
  <c r="B230" i="2"/>
  <c r="A96" i="4" s="1"/>
  <c r="B221" i="2"/>
  <c r="A87" i="4" s="1"/>
  <c r="B227" i="2"/>
  <c r="A93" i="4" s="1"/>
  <c r="H10" i="4"/>
  <c r="H11" i="3" s="1"/>
  <c r="B210" i="2"/>
  <c r="A76" i="4" s="1"/>
  <c r="B224" i="2"/>
  <c r="A90" i="4" s="1"/>
  <c r="B228" i="2"/>
  <c r="A94" i="4" s="1"/>
  <c r="E85" i="2"/>
  <c r="E84" i="2"/>
  <c r="F11" i="3"/>
  <c r="K87" i="2"/>
  <c r="B318" i="2" s="1"/>
  <c r="A184" i="4" s="1"/>
  <c r="E87" i="2" l="1"/>
  <c r="B158" i="2" s="1"/>
  <c r="A24" i="4" s="1"/>
  <c r="B250" i="2"/>
  <c r="A116" i="4" s="1"/>
  <c r="B260" i="2"/>
  <c r="A126" i="4" s="1"/>
  <c r="B237" i="2"/>
  <c r="A103" i="4" s="1"/>
  <c r="B254" i="2"/>
  <c r="A120" i="4" s="1"/>
  <c r="B262" i="2"/>
  <c r="A128" i="4" s="1"/>
  <c r="B235" i="2"/>
  <c r="A101" i="4" s="1"/>
  <c r="B241" i="2"/>
  <c r="A107" i="4" s="1"/>
  <c r="B245" i="2"/>
  <c r="A111" i="4" s="1"/>
  <c r="B238" i="2"/>
  <c r="A104" i="4" s="1"/>
  <c r="I88" i="2"/>
  <c r="B261" i="2"/>
  <c r="A127" i="4" s="1"/>
  <c r="B240" i="2"/>
  <c r="A106" i="4" s="1"/>
  <c r="B263" i="2"/>
  <c r="A129" i="4" s="1"/>
  <c r="B249" i="2"/>
  <c r="A115" i="4" s="1"/>
  <c r="B256" i="2"/>
  <c r="A122" i="4" s="1"/>
  <c r="B242" i="2"/>
  <c r="A108" i="4" s="1"/>
  <c r="B252" i="2"/>
  <c r="A118" i="4" s="1"/>
  <c r="B255" i="2"/>
  <c r="A121" i="4" s="1"/>
  <c r="B244" i="2"/>
  <c r="A110" i="4" s="1"/>
  <c r="B248" i="2"/>
  <c r="A114" i="4" s="1"/>
  <c r="B243" i="2"/>
  <c r="A109" i="4" s="1"/>
  <c r="B246" i="2"/>
  <c r="A112" i="4" s="1"/>
  <c r="B258" i="2"/>
  <c r="A124" i="4" s="1"/>
  <c r="B257" i="2"/>
  <c r="A123" i="4" s="1"/>
  <c r="B247" i="2"/>
  <c r="A113" i="4" s="1"/>
  <c r="B239" i="2"/>
  <c r="A105" i="4" s="1"/>
  <c r="I10" i="4"/>
  <c r="I11" i="3" s="1"/>
  <c r="B253" i="2"/>
  <c r="A119" i="4" s="1"/>
  <c r="B259" i="2"/>
  <c r="A125" i="4" s="1"/>
  <c r="B236" i="2"/>
  <c r="A102" i="4" s="1"/>
  <c r="M85" i="2"/>
  <c r="M87" i="2" s="1"/>
  <c r="M9" i="4"/>
  <c r="M10" i="3" s="1"/>
  <c r="G9" i="4"/>
  <c r="G10" i="3" s="1"/>
  <c r="G84" i="2"/>
  <c r="G87" i="2" s="1"/>
  <c r="G10" i="4" s="1"/>
  <c r="E16" i="3" s="1"/>
  <c r="J9" i="4"/>
  <c r="J10" i="3" s="1"/>
  <c r="J85" i="2"/>
  <c r="J87" i="2" s="1"/>
  <c r="B288" i="2" s="1"/>
  <c r="A154" i="4" s="1"/>
  <c r="L84" i="2"/>
  <c r="N84" i="2"/>
  <c r="N87" i="2" s="1"/>
  <c r="B429" i="2" s="1"/>
  <c r="A295" i="4" s="1"/>
  <c r="L85" i="2"/>
  <c r="N9" i="4"/>
  <c r="N10" i="3" s="1"/>
  <c r="D10" i="4"/>
  <c r="B16" i="3" s="1"/>
  <c r="F16" i="3"/>
  <c r="B314" i="2"/>
  <c r="A180" i="4" s="1"/>
  <c r="B324" i="2"/>
  <c r="A190" i="4" s="1"/>
  <c r="B329" i="2"/>
  <c r="A195" i="4" s="1"/>
  <c r="B320" i="2"/>
  <c r="A186" i="4" s="1"/>
  <c r="B332" i="2"/>
  <c r="A198" i="4" s="1"/>
  <c r="B322" i="2"/>
  <c r="A188" i="4" s="1"/>
  <c r="B325" i="2"/>
  <c r="A191" i="4" s="1"/>
  <c r="B313" i="2"/>
  <c r="A179" i="4" s="1"/>
  <c r="B319" i="2"/>
  <c r="A185" i="4" s="1"/>
  <c r="B321" i="2"/>
  <c r="A187" i="4" s="1"/>
  <c r="B315" i="2"/>
  <c r="A181" i="4" s="1"/>
  <c r="K88" i="2"/>
  <c r="B310" i="2"/>
  <c r="A176" i="4" s="1"/>
  <c r="B317" i="2"/>
  <c r="A183" i="4" s="1"/>
  <c r="B323" i="2"/>
  <c r="A189" i="4" s="1"/>
  <c r="B333" i="2"/>
  <c r="A199" i="4" s="1"/>
  <c r="B326" i="2"/>
  <c r="A192" i="4" s="1"/>
  <c r="B330" i="2"/>
  <c r="A196" i="4" s="1"/>
  <c r="K10" i="4"/>
  <c r="K11" i="3" s="1"/>
  <c r="B311" i="2"/>
  <c r="A177" i="4" s="1"/>
  <c r="B328" i="2"/>
  <c r="A194" i="4" s="1"/>
  <c r="B316" i="2"/>
  <c r="A182" i="4" s="1"/>
  <c r="B312" i="2"/>
  <c r="A178" i="4" s="1"/>
  <c r="B331" i="2"/>
  <c r="A197" i="4" s="1"/>
  <c r="B327" i="2"/>
  <c r="A193" i="4" s="1"/>
  <c r="B165" i="2" l="1"/>
  <c r="A31" i="4" s="1"/>
  <c r="E88" i="2"/>
  <c r="B161" i="2"/>
  <c r="A27" i="4" s="1"/>
  <c r="E10" i="4"/>
  <c r="C16" i="3" s="1"/>
  <c r="B167" i="2"/>
  <c r="A33" i="4" s="1"/>
  <c r="B163" i="2"/>
  <c r="A29" i="4" s="1"/>
  <c r="B164" i="2"/>
  <c r="A30" i="4" s="1"/>
  <c r="B159" i="2"/>
  <c r="A25" i="4" s="1"/>
  <c r="B166" i="2"/>
  <c r="A32" i="4" s="1"/>
  <c r="B160" i="2"/>
  <c r="A26" i="4" s="1"/>
  <c r="B162" i="2"/>
  <c r="A28" i="4" s="1"/>
  <c r="G16" i="3"/>
  <c r="B395" i="2"/>
  <c r="A261" i="4" s="1"/>
  <c r="B383" i="2"/>
  <c r="A249" i="4" s="1"/>
  <c r="B407" i="2"/>
  <c r="A273" i="4" s="1"/>
  <c r="B399" i="2"/>
  <c r="A265" i="4" s="1"/>
  <c r="B390" i="2"/>
  <c r="A256" i="4" s="1"/>
  <c r="B389" i="2"/>
  <c r="A255" i="4" s="1"/>
  <c r="B378" i="2"/>
  <c r="A244" i="4" s="1"/>
  <c r="B379" i="2"/>
  <c r="A245" i="4" s="1"/>
  <c r="B393" i="2"/>
  <c r="A259" i="4" s="1"/>
  <c r="B386" i="2"/>
  <c r="A252" i="4" s="1"/>
  <c r="B396" i="2"/>
  <c r="A262" i="4" s="1"/>
  <c r="B402" i="2"/>
  <c r="A268" i="4" s="1"/>
  <c r="B380" i="2"/>
  <c r="A246" i="4" s="1"/>
  <c r="B411" i="2"/>
  <c r="A277" i="4" s="1"/>
  <c r="B412" i="2"/>
  <c r="A278" i="4" s="1"/>
  <c r="M88" i="2"/>
  <c r="B397" i="2"/>
  <c r="A263" i="4" s="1"/>
  <c r="B403" i="2"/>
  <c r="A269" i="4" s="1"/>
  <c r="B376" i="2"/>
  <c r="A242" i="4" s="1"/>
  <c r="B400" i="2"/>
  <c r="A266" i="4" s="1"/>
  <c r="B392" i="2"/>
  <c r="A258" i="4" s="1"/>
  <c r="B404" i="2"/>
  <c r="A270" i="4" s="1"/>
  <c r="B405" i="2"/>
  <c r="A271" i="4" s="1"/>
  <c r="B410" i="2"/>
  <c r="A276" i="4" s="1"/>
  <c r="B382" i="2"/>
  <c r="A248" i="4" s="1"/>
  <c r="B385" i="2"/>
  <c r="A251" i="4" s="1"/>
  <c r="B388" i="2"/>
  <c r="A254" i="4" s="1"/>
  <c r="B409" i="2"/>
  <c r="A275" i="4" s="1"/>
  <c r="M10" i="4"/>
  <c r="K16" i="3" s="1"/>
  <c r="B394" i="2"/>
  <c r="A260" i="4" s="1"/>
  <c r="B384" i="2"/>
  <c r="A250" i="4" s="1"/>
  <c r="B381" i="2"/>
  <c r="A247" i="4" s="1"/>
  <c r="B398" i="2"/>
  <c r="A264" i="4" s="1"/>
  <c r="B377" i="2"/>
  <c r="A243" i="4" s="1"/>
  <c r="B408" i="2"/>
  <c r="A274" i="4" s="1"/>
  <c r="B406" i="2"/>
  <c r="A272" i="4" s="1"/>
  <c r="B387" i="2"/>
  <c r="A253" i="4" s="1"/>
  <c r="B401" i="2"/>
  <c r="A267" i="4" s="1"/>
  <c r="B391" i="2"/>
  <c r="A257" i="4" s="1"/>
  <c r="L87" i="2"/>
  <c r="B354" i="2" s="1"/>
  <c r="A220" i="4" s="1"/>
  <c r="B274" i="2"/>
  <c r="A140" i="4" s="1"/>
  <c r="D11" i="3"/>
  <c r="B444" i="2"/>
  <c r="A310" i="4" s="1"/>
  <c r="B294" i="2"/>
  <c r="A160" i="4" s="1"/>
  <c r="B449" i="2"/>
  <c r="A315" i="4" s="1"/>
  <c r="B185" i="2"/>
  <c r="A51" i="4" s="1"/>
  <c r="B266" i="2"/>
  <c r="A132" i="4" s="1"/>
  <c r="B275" i="2"/>
  <c r="A141" i="4" s="1"/>
  <c r="B302" i="2"/>
  <c r="A168" i="4" s="1"/>
  <c r="B269" i="2"/>
  <c r="A135" i="4" s="1"/>
  <c r="B300" i="2"/>
  <c r="A166" i="4" s="1"/>
  <c r="B426" i="2"/>
  <c r="A292" i="4" s="1"/>
  <c r="B442" i="2"/>
  <c r="A308" i="4" s="1"/>
  <c r="J10" i="4"/>
  <c r="J11" i="3" s="1"/>
  <c r="B295" i="2"/>
  <c r="A161" i="4" s="1"/>
  <c r="B283" i="2"/>
  <c r="A149" i="4" s="1"/>
  <c r="B188" i="2"/>
  <c r="A54" i="4" s="1"/>
  <c r="B200" i="2"/>
  <c r="A66" i="4" s="1"/>
  <c r="B189" i="2"/>
  <c r="A55" i="4" s="1"/>
  <c r="B202" i="2"/>
  <c r="A68" i="4" s="1"/>
  <c r="B199" i="2"/>
  <c r="A65" i="4" s="1"/>
  <c r="B186" i="2"/>
  <c r="A52" i="4" s="1"/>
  <c r="B205" i="2"/>
  <c r="A71" i="4" s="1"/>
  <c r="B192" i="2"/>
  <c r="A58" i="4" s="1"/>
  <c r="B191" i="2"/>
  <c r="A57" i="4" s="1"/>
  <c r="B195" i="2"/>
  <c r="A61" i="4" s="1"/>
  <c r="B201" i="2"/>
  <c r="A67" i="4" s="1"/>
  <c r="G88" i="2"/>
  <c r="B453" i="2"/>
  <c r="B194" i="2"/>
  <c r="A60" i="4" s="1"/>
  <c r="B187" i="2"/>
  <c r="A53" i="4" s="1"/>
  <c r="B197" i="2"/>
  <c r="A63" i="4" s="1"/>
  <c r="B203" i="2"/>
  <c r="A69" i="4" s="1"/>
  <c r="G11" i="3"/>
  <c r="B193" i="2"/>
  <c r="A59" i="4" s="1"/>
  <c r="B196" i="2"/>
  <c r="A62" i="4" s="1"/>
  <c r="B190" i="2"/>
  <c r="A56" i="4" s="1"/>
  <c r="B204" i="2"/>
  <c r="A70" i="4" s="1"/>
  <c r="B198" i="2"/>
  <c r="A64" i="4" s="1"/>
  <c r="B303" i="2"/>
  <c r="A169" i="4" s="1"/>
  <c r="B273" i="2"/>
  <c r="A139" i="4" s="1"/>
  <c r="B270" i="2"/>
  <c r="A136" i="4" s="1"/>
  <c r="B282" i="2"/>
  <c r="A148" i="4" s="1"/>
  <c r="B279" i="2"/>
  <c r="A145" i="4" s="1"/>
  <c r="B271" i="2"/>
  <c r="A137" i="4" s="1"/>
  <c r="B284" i="2"/>
  <c r="A150" i="4" s="1"/>
  <c r="B280" i="2"/>
  <c r="A146" i="4" s="1"/>
  <c r="J88" i="2"/>
  <c r="B304" i="2"/>
  <c r="A170" i="4" s="1"/>
  <c r="B290" i="2"/>
  <c r="A156" i="4" s="1"/>
  <c r="B308" i="2"/>
  <c r="A174" i="4" s="1"/>
  <c r="B428" i="2"/>
  <c r="A294" i="4" s="1"/>
  <c r="N88" i="2"/>
  <c r="B418" i="2"/>
  <c r="A284" i="4" s="1"/>
  <c r="B437" i="2"/>
  <c r="A303" i="4" s="1"/>
  <c r="B436" i="2"/>
  <c r="A302" i="4" s="1"/>
  <c r="B438" i="2"/>
  <c r="A304" i="4" s="1"/>
  <c r="B430" i="2"/>
  <c r="A296" i="4" s="1"/>
  <c r="B443" i="2"/>
  <c r="A309" i="4" s="1"/>
  <c r="B422" i="2"/>
  <c r="A288" i="4" s="1"/>
  <c r="B450" i="2"/>
  <c r="A316" i="4" s="1"/>
  <c r="B421" i="2"/>
  <c r="A287" i="4" s="1"/>
  <c r="B439" i="2"/>
  <c r="A305" i="4" s="1"/>
  <c r="N10" i="4"/>
  <c r="N11" i="3" s="1"/>
  <c r="B432" i="2"/>
  <c r="A298" i="4" s="1"/>
  <c r="B420" i="2"/>
  <c r="A286" i="4" s="1"/>
  <c r="B431" i="2"/>
  <c r="A297" i="4" s="1"/>
  <c r="B447" i="2"/>
  <c r="A313" i="4" s="1"/>
  <c r="B419" i="2"/>
  <c r="A285" i="4" s="1"/>
  <c r="B434" i="2"/>
  <c r="A300" i="4" s="1"/>
  <c r="B446" i="2"/>
  <c r="A312" i="4" s="1"/>
  <c r="B448" i="2"/>
  <c r="A314" i="4" s="1"/>
  <c r="B424" i="2"/>
  <c r="A290" i="4" s="1"/>
  <c r="B451" i="2"/>
  <c r="A317" i="4" s="1"/>
  <c r="B417" i="2"/>
  <c r="A283" i="4" s="1"/>
  <c r="B435" i="2"/>
  <c r="A301" i="4" s="1"/>
  <c r="B425" i="2"/>
  <c r="A291" i="4" s="1"/>
  <c r="B445" i="2"/>
  <c r="A311" i="4" s="1"/>
  <c r="B441" i="2"/>
  <c r="A307" i="4" s="1"/>
  <c r="B427" i="2"/>
  <c r="A293" i="4" s="1"/>
  <c r="B415" i="2"/>
  <c r="A281" i="4" s="1"/>
  <c r="B440" i="2"/>
  <c r="A306" i="4" s="1"/>
  <c r="B414" i="2"/>
  <c r="A280" i="4" s="1"/>
  <c r="B423" i="2"/>
  <c r="A289" i="4" s="1"/>
  <c r="B416" i="2"/>
  <c r="A282" i="4" s="1"/>
  <c r="B433" i="2"/>
  <c r="A299" i="4" s="1"/>
  <c r="B277" i="2"/>
  <c r="A143" i="4" s="1"/>
  <c r="B286" i="2"/>
  <c r="A152" i="4" s="1"/>
  <c r="B292" i="2"/>
  <c r="A158" i="4" s="1"/>
  <c r="B293" i="2"/>
  <c r="A159" i="4" s="1"/>
  <c r="B287" i="2"/>
  <c r="A153" i="4" s="1"/>
  <c r="B296" i="2"/>
  <c r="A162" i="4" s="1"/>
  <c r="B299" i="2"/>
  <c r="A165" i="4" s="1"/>
  <c r="B265" i="2"/>
  <c r="A131" i="4" s="1"/>
  <c r="B285" i="2"/>
  <c r="A151" i="4" s="1"/>
  <c r="B305" i="2"/>
  <c r="A171" i="4" s="1"/>
  <c r="B297" i="2"/>
  <c r="A163" i="4" s="1"/>
  <c r="B278" i="2"/>
  <c r="A144" i="4" s="1"/>
  <c r="B276" i="2"/>
  <c r="A142" i="4" s="1"/>
  <c r="B281" i="2"/>
  <c r="A147" i="4" s="1"/>
  <c r="B272" i="2"/>
  <c r="A138" i="4" s="1"/>
  <c r="B301" i="2"/>
  <c r="A167" i="4" s="1"/>
  <c r="B306" i="2"/>
  <c r="A172" i="4" s="1"/>
  <c r="B289" i="2"/>
  <c r="A155" i="4" s="1"/>
  <c r="B268" i="2"/>
  <c r="A134" i="4" s="1"/>
  <c r="B291" i="2"/>
  <c r="A157" i="4" s="1"/>
  <c r="B298" i="2"/>
  <c r="A164" i="4" s="1"/>
  <c r="B267" i="2"/>
  <c r="A133" i="4" s="1"/>
  <c r="B307" i="2"/>
  <c r="A173" i="4" s="1"/>
  <c r="I16" i="3"/>
  <c r="E11" i="3" l="1"/>
  <c r="B352" i="2"/>
  <c r="A218" i="4" s="1"/>
  <c r="M11" i="3"/>
  <c r="B336" i="2"/>
  <c r="A202" i="4" s="1"/>
  <c r="B356" i="2"/>
  <c r="A222" i="4" s="1"/>
  <c r="B353" i="2"/>
  <c r="A219" i="4" s="1"/>
  <c r="B364" i="2"/>
  <c r="A230" i="4" s="1"/>
  <c r="B346" i="2"/>
  <c r="A212" i="4" s="1"/>
  <c r="B350" i="2"/>
  <c r="A216" i="4" s="1"/>
  <c r="B347" i="2"/>
  <c r="A213" i="4" s="1"/>
  <c r="B351" i="2"/>
  <c r="A217" i="4" s="1"/>
  <c r="B371" i="2"/>
  <c r="A237" i="4" s="1"/>
  <c r="B368" i="2"/>
  <c r="A234" i="4" s="1"/>
  <c r="B343" i="2"/>
  <c r="A209" i="4" s="1"/>
  <c r="B345" i="2"/>
  <c r="A211" i="4" s="1"/>
  <c r="B359" i="2"/>
  <c r="A225" i="4" s="1"/>
  <c r="B366" i="2"/>
  <c r="A232" i="4" s="1"/>
  <c r="B374" i="2"/>
  <c r="A240" i="4" s="1"/>
  <c r="B344" i="2"/>
  <c r="A210" i="4" s="1"/>
  <c r="B362" i="2"/>
  <c r="A228" i="4" s="1"/>
  <c r="B337" i="2"/>
  <c r="A203" i="4" s="1"/>
  <c r="B342" i="2"/>
  <c r="A208" i="4" s="1"/>
  <c r="B367" i="2"/>
  <c r="A233" i="4" s="1"/>
  <c r="B357" i="2"/>
  <c r="A223" i="4" s="1"/>
  <c r="B340" i="2"/>
  <c r="A206" i="4" s="1"/>
  <c r="B358" i="2"/>
  <c r="A224" i="4" s="1"/>
  <c r="L10" i="4"/>
  <c r="L11" i="3" s="1"/>
  <c r="B349" i="2"/>
  <c r="A215" i="4" s="1"/>
  <c r="B348" i="2"/>
  <c r="A214" i="4" s="1"/>
  <c r="B369" i="2"/>
  <c r="A235" i="4" s="1"/>
  <c r="B339" i="2"/>
  <c r="A205" i="4" s="1"/>
  <c r="B372" i="2"/>
  <c r="A238" i="4" s="1"/>
  <c r="L88" i="2"/>
  <c r="T86" i="2" s="1"/>
  <c r="B370" i="2"/>
  <c r="A236" i="4" s="1"/>
  <c r="B365" i="2"/>
  <c r="A231" i="4" s="1"/>
  <c r="B363" i="2"/>
  <c r="A229" i="4" s="1"/>
  <c r="B361" i="2"/>
  <c r="A227" i="4" s="1"/>
  <c r="B338" i="2"/>
  <c r="A204" i="4" s="1"/>
  <c r="B355" i="2"/>
  <c r="A221" i="4" s="1"/>
  <c r="B341" i="2"/>
  <c r="A207" i="4" s="1"/>
  <c r="B360" i="2"/>
  <c r="A226" i="4" s="1"/>
  <c r="B335" i="2"/>
  <c r="A201" i="4" s="1"/>
  <c r="B373" i="2"/>
  <c r="A239" i="4" s="1"/>
  <c r="L16" i="3"/>
  <c r="H16" i="3"/>
  <c r="J16" i="3" l="1"/>
</calcChain>
</file>

<file path=xl/sharedStrings.xml><?xml version="1.0" encoding="utf-8"?>
<sst xmlns="http://schemas.openxmlformats.org/spreadsheetml/2006/main" count="2095" uniqueCount="238">
  <si>
    <t>ITEM</t>
  </si>
  <si>
    <t>CIERTO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</si>
  <si>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</si>
  <si>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</si>
  <si>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</si>
  <si>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</si>
  <si>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</si>
  <si>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</si>
  <si>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</si>
  <si>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</si>
  <si>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</si>
  <si>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</si>
  <si>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</si>
  <si>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</si>
  <si>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</si>
  <si>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</si>
  <si>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</si>
  <si>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</si>
  <si>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</si>
  <si>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</si>
  <si>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</si>
  <si>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</si>
  <si>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</si>
  <si>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</si>
  <si>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</si>
  <si>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</si>
  <si>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</si>
  <si>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</si>
  <si>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</si>
  <si>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</si>
  <si>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</si>
  <si>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</si>
  <si>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</si>
  <si>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</si>
  <si>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</si>
  <si>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</si>
  <si>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</si>
  <si>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</si>
  <si>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</si>
  <si>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</si>
  <si>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</si>
  <si>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</si>
  <si>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</si>
  <si>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</si>
  <si>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</si>
  <si>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</si>
  <si>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</si>
  <si>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</si>
  <si>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</si>
  <si>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</si>
  <si>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</si>
  <si>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</si>
  <si>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</si>
  <si>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</si>
  <si>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</si>
  <si>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</si>
  <si>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</si>
  <si>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</si>
  <si>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</si>
  <si>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</si>
  <si>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</si>
  <si>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</si>
  <si>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</si>
  <si>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</si>
  <si>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</si>
  <si>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</si>
  <si>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</si>
  <si>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</si>
  <si>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</si>
  <si>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</si>
  <si>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</si>
  <si>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</si>
  <si>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</si>
  <si>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</si>
  <si>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</si>
  <si>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</si>
  <si>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</si>
  <si>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</si>
  <si>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NOMBRES:</t>
  </si>
  <si>
    <t>SEXO: M=0   Y  F=1</t>
  </si>
  <si>
    <t>L</t>
  </si>
  <si>
    <t>F</t>
  </si>
  <si>
    <t>K</t>
  </si>
  <si>
    <t>T</t>
  </si>
  <si>
    <t>Hs</t>
  </si>
  <si>
    <t>D</t>
  </si>
  <si>
    <t>Hi</t>
  </si>
  <si>
    <t>4-Dp</t>
  </si>
  <si>
    <t>6-Pa</t>
  </si>
  <si>
    <t>Pt</t>
  </si>
  <si>
    <t>Es</t>
  </si>
  <si>
    <t>9-Ma</t>
  </si>
  <si>
    <t>M</t>
  </si>
  <si>
    <t>M y F</t>
  </si>
  <si>
    <t>BAJA</t>
  </si>
  <si>
    <t>PROM.</t>
  </si>
  <si>
    <t>ALTA</t>
  </si>
  <si>
    <t>ESCALAS</t>
  </si>
  <si>
    <t>PUNTAJES DIRECTOS</t>
  </si>
  <si>
    <t>CONVERSION</t>
  </si>
  <si>
    <t>AGREGAR FACTOR K</t>
  </si>
  <si>
    <t>PUNTUACION CORREGIDA</t>
  </si>
  <si>
    <t>PUNTAJE "T"</t>
  </si>
  <si>
    <t>SEXO:</t>
  </si>
  <si>
    <t>====&gt;</t>
  </si>
  <si>
    <t>FRACCIONES K</t>
  </si>
  <si>
    <t>TABLA DE CARACTERISTICAS DE PERSONALIDAD</t>
  </si>
  <si>
    <t>Convinaciones</t>
  </si>
  <si>
    <t>1-2</t>
  </si>
  <si>
    <t>INTERPRETACION DEL INVENTARIO MULTIFASICO DE LA PERSONALIDAD DE MINESOTTA FORMA ABREVIADA (MINIMULT)</t>
  </si>
  <si>
    <t>RESULTADOS</t>
  </si>
  <si>
    <t>Mentiras</t>
  </si>
  <si>
    <t>Compren.</t>
  </si>
  <si>
    <t>Defensiv.</t>
  </si>
  <si>
    <t>Hipocon.</t>
  </si>
  <si>
    <t>Depresion</t>
  </si>
  <si>
    <t>Histeria</t>
  </si>
  <si>
    <t>Desv.P.</t>
  </si>
  <si>
    <t>Paranoia</t>
  </si>
  <si>
    <t>Psicatenia</t>
  </si>
  <si>
    <t>Esquizofrenia</t>
  </si>
  <si>
    <t>Hipomanía</t>
  </si>
  <si>
    <t>ESCALAS DE VALIDEZ</t>
  </si>
  <si>
    <t>NOMBRE</t>
  </si>
  <si>
    <t>REPORTE Y PERFIL DE MINIMULT</t>
  </si>
  <si>
    <t>P. DIRECTO</t>
  </si>
  <si>
    <t>CONV.</t>
  </si>
  <si>
    <t>FACTOR K</t>
  </si>
  <si>
    <t>PUNT. CORR.</t>
  </si>
  <si>
    <t>HIPOMANIA</t>
  </si>
  <si>
    <t>ESQUIZOFRENIA</t>
  </si>
  <si>
    <t>PSICASTENIA</t>
  </si>
  <si>
    <t>PARANOIA</t>
  </si>
  <si>
    <t>DESV. PERSON.</t>
  </si>
  <si>
    <t>HISTERIA</t>
  </si>
  <si>
    <t>DEPRESION</t>
  </si>
  <si>
    <t>HIPOCONDRIACO</t>
  </si>
  <si>
    <t>1º</t>
  </si>
  <si>
    <t>2º</t>
  </si>
  <si>
    <t>3º</t>
  </si>
  <si>
    <t>4º</t>
  </si>
  <si>
    <t>Ment</t>
  </si>
  <si>
    <t>Comp</t>
  </si>
  <si>
    <t>Def.</t>
  </si>
  <si>
    <t>Hipoc</t>
  </si>
  <si>
    <t>Dep.</t>
  </si>
  <si>
    <t>Hist.</t>
  </si>
  <si>
    <t>D.P.</t>
  </si>
  <si>
    <t>Par.</t>
  </si>
  <si>
    <t>Esq.</t>
  </si>
  <si>
    <t>Hipom</t>
  </si>
  <si>
    <t>Psic</t>
  </si>
  <si>
    <t>EL TRASTORNO MAS SIGNIFICATIVO ES EL</t>
  </si>
  <si>
    <r>
      <t>COLOQUE</t>
    </r>
    <r>
      <rPr>
        <b/>
        <sz val="14"/>
        <color indexed="10"/>
        <rFont val="Arial"/>
        <family val="2"/>
      </rPr>
      <t xml:space="preserve"> 1 </t>
    </r>
    <r>
      <rPr>
        <b/>
        <sz val="10"/>
        <rFont val="Arial"/>
        <family val="2"/>
      </rPr>
      <t>DEBAJO DE CIERTO O FALSO, SEGÚN SEA SU RESPUESTA</t>
    </r>
  </si>
  <si>
    <t>Tengo buen apetito.</t>
  </si>
  <si>
    <t>Me despierto descansado y fresco casi todas las mañanas.</t>
  </si>
  <si>
    <t>Mi vida diaria está llena de cosas que me mantienen interesado.</t>
  </si>
  <si>
    <t>De vez en cuando pienso cosas demasiado malas para hablar de ellas.</t>
  </si>
  <si>
    <t>Muy raras veces sufro de estreñimiento.</t>
  </si>
  <si>
    <t>A veces e sentido un inmenso deseo de abandonar mi hogar.</t>
  </si>
  <si>
    <t>A veces me dan accesos de ira o llanto que no puedo controlar.</t>
  </si>
  <si>
    <t>Sufro ataques de nauseas y de vómitos.</t>
  </si>
  <si>
    <t>Nadie parece comprenderme.</t>
  </si>
  <si>
    <t>A veces siento deseos de maldecir.</t>
  </si>
  <si>
    <t>Me dan pesadillas con mucha frecuencia.</t>
  </si>
  <si>
    <t>Encuentro difícil concentrarme en una tarea o trabajo.</t>
  </si>
  <si>
    <t>He tenido experiencias muy peculiares y extrañas.</t>
  </si>
  <si>
    <t>Si la gente no la hubiera cogido conmigo, yo hubiera tenido mucho más éxito.</t>
  </si>
  <si>
    <t>Por un tiempo, cuando era más joven, participé en pequeños robos.</t>
  </si>
  <si>
    <t>He tenido periodos de días, semanas o meses que no podía ocuparme de nada, porque no tenía voluntad para hacerlo.</t>
  </si>
  <si>
    <t>Mi sueño es irregular e intranquilo.</t>
  </si>
  <si>
    <t>Cuando estoy con gente, me molesta oír cosas muy extrañas.</t>
  </si>
  <si>
    <t>Le agrado a la mayor parte de la gente que me conoce.</t>
  </si>
  <si>
    <t>Con frecuencia he tenido que recibir órdenes de alguien que no sabía tanto como yo.</t>
  </si>
  <si>
    <t>Quisiera poder ser tan feliz como otras personas parecen serlo.</t>
  </si>
  <si>
    <t>Creo que mucha gente exagera sus desdichas para que se consuelen de ellos y les ayuden.</t>
  </si>
  <si>
    <t>Algunas veces me enojo.</t>
  </si>
  <si>
    <t>Tengo poco o ningún problema con espasmos o contracciones musculares.</t>
  </si>
  <si>
    <t>Muchas veces me siento como si hubiera hecho algo incorrecto o malo.</t>
  </si>
  <si>
    <t>Casi siempre son feliz.</t>
  </si>
  <si>
    <t>Algunas personas son tan dominantes que he  sentido el deseo de hacer lo contrario de lo que me piden, aunque sepa que tienen la razón.</t>
  </si>
  <si>
    <t>La mayor parte de la gente se valen de medios algo injustos para obtener beneficios o ventajas antes que perderlos.</t>
  </si>
  <si>
    <t>Sufro mucho de trastornos estomacales.</t>
  </si>
  <si>
    <t>A menudo no puedo comprender porque he estado tan irritable y malhumorado.</t>
  </si>
  <si>
    <t>A veces los pensamientos pasan por mi mente con mayor rapidez que lo que puedo expresarlo con palabras.</t>
  </si>
  <si>
    <t>Decididamente, a veces me siento que no sirvo para nada.</t>
  </si>
  <si>
    <t>Creo que recientemente he sido castigado sin motivo.</t>
  </si>
  <si>
    <t>Nunca me he sentido mejor que ahora.</t>
  </si>
  <si>
    <t>No me preocupa lo que otros piensen de mí.</t>
  </si>
  <si>
    <t>Mi memoria parece ser buena.</t>
  </si>
  <si>
    <t>Encuentro difícil entablar conversación con alguien que conozco por primera vez.</t>
  </si>
  <si>
    <t>Siento debilidad general la mayor parte del tiempo.</t>
  </si>
  <si>
    <t>Muy pocas veces me duele la cabeza.</t>
  </si>
  <si>
    <t>No he tenido dificultad en mantener el equilibrio cuando camino.</t>
  </si>
  <si>
    <t>No me agradan todas las personas que conozco.</t>
  </si>
  <si>
    <t>Hay personas que quieren apoderarse de mis pensamientos o ideas.</t>
  </si>
  <si>
    <t>Debería no ser tan tímido.</t>
  </si>
  <si>
    <t>Creo que mis pecados son imperdonables.</t>
  </si>
  <si>
    <t xml:space="preserve">Consecuentemente me encuentro preocupado por algo. </t>
  </si>
  <si>
    <t>Con frecuencia, mis padres se han opuesto a la clase de gente con quien acostumbro a salir.</t>
  </si>
  <si>
    <t>A veces murmuro o chismeo de la gente.</t>
  </si>
  <si>
    <t>Rara vez noto los latidos de mi corazón y muy pocas veces me siento corto de respiración.</t>
  </si>
  <si>
    <t>Me molesto con facilidad pero se me pasa pronto.</t>
  </si>
  <si>
    <t>Tengo periodos de tanta intranquilidad que no puedo permanecer sentado en una silla por mucho tiempo.</t>
  </si>
  <si>
    <t>Mis padres y familiares me encuentran más defectos de los que debieran.</t>
  </si>
  <si>
    <t>A nadie le importa mucho lo que me sucede.</t>
  </si>
  <si>
    <t>No culpo a la persona que se aprovecha de alguien que se expone a que le ocurra tal cosa.</t>
  </si>
  <si>
    <t>A veces estoy lleno de energía.</t>
  </si>
  <si>
    <t>Mi vista está tan buena ahora como lo ha estado por años.</t>
  </si>
  <si>
    <t>Casi nunca noto que me zumban o chillan los oídos.</t>
  </si>
  <si>
    <t>Una o más veces en mi vida he sentido que alguien me hacía hacer cosas hipnotizándome.</t>
  </si>
  <si>
    <t>Tengo épocas en la que me siento muy alegre sin tener una razón especial.</t>
  </si>
  <si>
    <t>Aún cuando esté acompañado, me siento solo la mayor parte del tiempo.</t>
  </si>
  <si>
    <t>Creo que casi todo el mundo mentiría para evitarse problemas.</t>
  </si>
  <si>
    <t>Soy más sensible que la mayoría de la gente.</t>
  </si>
  <si>
    <t>Durante ciertos períodos, mi mente parece trabajar más despacio que de costumbre.</t>
  </si>
  <si>
    <t>La gente me desilusiona con frecuencia.</t>
  </si>
  <si>
    <r>
      <t xml:space="preserve"> </t>
    </r>
    <r>
      <rPr>
        <sz val="11"/>
        <rFont val="Arial"/>
        <family val="2"/>
      </rPr>
      <t>Decididamente  no tengo confianza en mí mismo.</t>
    </r>
  </si>
  <si>
    <r>
      <t xml:space="preserve"> </t>
    </r>
    <r>
      <rPr>
        <sz val="11"/>
        <rFont val="Arial"/>
        <family val="2"/>
      </rPr>
      <t>Creo que están conspirando contra mí (</t>
    </r>
    <r>
      <rPr>
        <i/>
        <sz val="11"/>
        <rFont val="Arial"/>
        <family val="2"/>
      </rPr>
      <t>cuando se unen varias personas contra alguien</t>
    </r>
    <r>
      <rPr>
        <sz val="11"/>
        <rFont val="Arial"/>
        <family val="2"/>
      </rPr>
      <t>).</t>
    </r>
  </si>
  <si>
    <r>
      <t>a.</t>
    </r>
    <r>
      <rPr>
        <sz val="11"/>
        <rFont val="Times New Roman"/>
        <family val="1"/>
      </rPr>
      <t xml:space="preserve">       </t>
    </r>
    <r>
      <rPr>
        <sz val="11"/>
        <rFont val="Arial"/>
        <family val="2"/>
      </rPr>
      <t>Siento remordimiento luego de estar tomando.</t>
    </r>
  </si>
  <si>
    <r>
      <t>b.</t>
    </r>
    <r>
      <rPr>
        <sz val="11"/>
        <rFont val="Times New Roman"/>
        <family val="1"/>
      </rPr>
      <t xml:space="preserve">       </t>
    </r>
    <r>
      <rPr>
        <sz val="11"/>
        <rFont val="Arial"/>
        <family val="2"/>
      </rPr>
      <t>La eficiencia en mi trabajo disminuye por efecto de la bebida.</t>
    </r>
  </si>
  <si>
    <r>
      <t>c.</t>
    </r>
    <r>
      <rPr>
        <sz val="11"/>
        <rFont val="Times New Roman"/>
        <family val="1"/>
      </rPr>
      <t xml:space="preserve">       </t>
    </r>
    <r>
      <rPr>
        <sz val="11"/>
        <rFont val="Arial"/>
        <family val="2"/>
      </rPr>
      <t>El tomar o ingerir alcohol crea algún tipo de daño en mi familia.</t>
    </r>
  </si>
  <si>
    <r>
      <t>d.</t>
    </r>
    <r>
      <rPr>
        <sz val="11"/>
        <rFont val="Times New Roman"/>
        <family val="1"/>
      </rPr>
      <t xml:space="preserve">       </t>
    </r>
    <r>
      <rPr>
        <sz val="11"/>
        <rFont val="Arial"/>
        <family val="2"/>
      </rPr>
      <t>Disminuyo o pierdo el control por efecto de la bebida.</t>
    </r>
  </si>
  <si>
    <r>
      <t>e.</t>
    </r>
    <r>
      <rPr>
        <sz val="11"/>
        <rFont val="Times New Roman"/>
        <family val="1"/>
      </rPr>
      <t xml:space="preserve">       </t>
    </r>
    <r>
      <rPr>
        <sz val="11"/>
        <rFont val="Arial"/>
        <family val="2"/>
      </rPr>
      <t>Siento temblores a no ser que continúe bebiendo.</t>
    </r>
  </si>
  <si>
    <t>Trabajo bajo una tensión muy grande.</t>
  </si>
  <si>
    <t>A veces siento que puedo tomar decisiones con extraordinaria facilidad.</t>
  </si>
  <si>
    <r>
      <t>He bebido alcohol en exceso (</t>
    </r>
    <r>
      <rPr>
        <i/>
        <sz val="10"/>
        <color indexed="10"/>
        <rFont val="Arial"/>
        <family val="2"/>
      </rPr>
      <t>En caso de contestar afirmativamente, responda lo siguiente.</t>
    </r>
    <r>
      <rPr>
        <i/>
        <sz val="11"/>
        <rFont val="Arial"/>
        <family val="2"/>
      </rPr>
      <t>)</t>
    </r>
  </si>
  <si>
    <t>(COLOQUE SOLO PRIMERAS LETRAS)</t>
  </si>
  <si>
    <t>Imprima solo la Primera Hoja</t>
  </si>
  <si>
    <t>PARA CONSTRUIR LA TETRADA</t>
  </si>
  <si>
    <t>RESPECTO A LOS TRASTORNOS</t>
  </si>
  <si>
    <t>MODIFIQUE DE ACUERDO A LOS</t>
  </si>
  <si>
    <t xml:space="preserve">PUNTAJES OBTENIDOS. </t>
  </si>
  <si>
    <t>VA  DE MAYOR A MENOR</t>
  </si>
  <si>
    <t xml:space="preserve">Edad: </t>
  </si>
  <si>
    <t>Creo que mi vida de hogar es tan agradable como la mayor parte de la gente que conozco</t>
  </si>
  <si>
    <t>Durante los últimos años he gozado de salud la mayor parte del tiempo</t>
  </si>
  <si>
    <t>He tenido épocas durante las cuales he hecho cosas que luego no he recordado haber 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</si>
</sst>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  <family val="2"/>
    </font>
    <font>
      <sz val="6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sz val="11"/>
      <name val="Arial"/>
      <family val="2"/>
    </font>
    <font>
      <sz val="11"/>
      <name val="Times New Roman"/>
      <family val="1"/>
    </font>
    <font>
      <i/>
      <sz val="11"/>
      <name val="Arial"/>
      <family val="2"/>
    </font>
    <font>
      <i/>
      <sz val="10"/>
      <color indexed="10"/>
      <name val="Arial"/>
      <family val="2"/>
    </font>
    <font>
      <sz val="10"/>
      <color indexed="11"/>
      <name val="Arial"/>
      <family val="2"/>
    </font>
    <font>
      <sz val="6"/>
      <color indexed="11"/>
      <name val="Arial"/>
      <family val="2"/>
    </font>
    <font>
      <b/>
      <sz val="10"/>
      <color indexed="11"/>
      <name val="Arial"/>
      <family val="2"/>
    </font>
    <font>
      <b/>
      <u/>
      <sz val="10"/>
      <color indexed="11"/>
      <name val="Arial"/>
      <family val="2"/>
    </font>
    <font>
      <b/>
      <sz val="9"/>
      <color indexed="12"/>
      <name val="Arial"/>
      <family val="2"/>
    </font>
    <font>
      <u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3" fillId="0" borderId="0" xfId="0" applyFont="1"/>
    <xf numFmtId="0" fontId="4" fillId="2" borderId="0" xfId="0" applyFont="1" applyFill="1" applyBorder="1" applyAlignment="1">
      <alignment horizontal="left"/>
    </xf>
    <xf numFmtId="0" fontId="5" fillId="0" borderId="0" xfId="0" applyFont="1"/>
    <xf numFmtId="0" fontId="6" fillId="2" borderId="0" xfId="0" applyFont="1" applyFill="1" applyBorder="1" applyAlignment="1">
      <alignment horizontal="left"/>
    </xf>
    <xf numFmtId="14" fontId="0" fillId="0" borderId="0" xfId="0" applyNumberFormat="1"/>
    <xf numFmtId="0" fontId="7" fillId="2" borderId="0" xfId="0" applyFont="1" applyFill="1" applyBorder="1" applyAlignment="1">
      <alignment horizontal="left"/>
    </xf>
    <xf numFmtId="0" fontId="0" fillId="2" borderId="0" xfId="0" applyFill="1"/>
    <xf numFmtId="0" fontId="8" fillId="2" borderId="0" xfId="0" applyFont="1" applyFill="1"/>
    <xf numFmtId="0" fontId="2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0" borderId="3" xfId="0" applyBorder="1"/>
    <xf numFmtId="0" fontId="8" fillId="2" borderId="2" xfId="0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10" fillId="2" borderId="0" xfId="0" applyFont="1" applyFill="1"/>
    <xf numFmtId="0" fontId="0" fillId="2" borderId="4" xfId="0" applyFill="1" applyBorder="1"/>
    <xf numFmtId="0" fontId="11" fillId="2" borderId="3" xfId="0" applyFont="1" applyFill="1" applyBorder="1"/>
    <xf numFmtId="0" fontId="0" fillId="8" borderId="0" xfId="0" applyFill="1"/>
    <xf numFmtId="0" fontId="20" fillId="2" borderId="0" xfId="0" applyFont="1" applyFill="1"/>
    <xf numFmtId="0" fontId="20" fillId="2" borderId="0" xfId="0" applyFont="1" applyFill="1" applyAlignment="1">
      <alignment horizontal="center"/>
    </xf>
    <xf numFmtId="0" fontId="20" fillId="2" borderId="0" xfId="0" quotePrefix="1" applyFont="1" applyFill="1"/>
    <xf numFmtId="0" fontId="20" fillId="2" borderId="0" xfId="0" quotePrefix="1" applyFont="1" applyFill="1" applyAlignment="1">
      <alignment horizontal="center"/>
    </xf>
    <xf numFmtId="0" fontId="20" fillId="2" borderId="6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/>
    </xf>
    <xf numFmtId="0" fontId="20" fillId="2" borderId="0" xfId="0" applyFont="1" applyFill="1" applyBorder="1"/>
    <xf numFmtId="0" fontId="20" fillId="2" borderId="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1" fontId="20" fillId="2" borderId="0" xfId="0" applyNumberFormat="1" applyFont="1" applyFill="1" applyBorder="1" applyAlignment="1">
      <alignment horizontal="center"/>
    </xf>
    <xf numFmtId="0" fontId="20" fillId="2" borderId="11" xfId="0" applyFont="1" applyFill="1" applyBorder="1" applyAlignment="1">
      <alignment horizontal="left"/>
    </xf>
    <xf numFmtId="0" fontId="20" fillId="2" borderId="5" xfId="0" applyFont="1" applyFill="1" applyBorder="1"/>
    <xf numFmtId="1" fontId="20" fillId="2" borderId="5" xfId="0" applyNumberFormat="1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0" xfId="0" applyFont="1" applyFill="1" applyAlignment="1">
      <alignment horizontal="left"/>
    </xf>
    <xf numFmtId="1" fontId="20" fillId="2" borderId="0" xfId="0" applyNumberFormat="1" applyFont="1" applyFill="1"/>
    <xf numFmtId="0" fontId="21" fillId="2" borderId="0" xfId="0" applyFont="1" applyFill="1" applyAlignment="1">
      <alignment horizontal="center"/>
    </xf>
    <xf numFmtId="1" fontId="20" fillId="2" borderId="0" xfId="0" quotePrefix="1" applyNumberFormat="1" applyFont="1" applyFill="1" applyAlignment="1">
      <alignment horizontal="center"/>
    </xf>
    <xf numFmtId="1" fontId="20" fillId="2" borderId="0" xfId="0" applyNumberFormat="1" applyFont="1" applyFill="1" applyAlignment="1">
      <alignment horizontal="center"/>
    </xf>
    <xf numFmtId="0" fontId="22" fillId="2" borderId="0" xfId="0" applyFont="1" applyFill="1"/>
    <xf numFmtId="0" fontId="23" fillId="2" borderId="0" xfId="0" applyFont="1" applyFill="1"/>
    <xf numFmtId="16" fontId="20" fillId="2" borderId="0" xfId="0" quotePrefix="1" applyNumberFormat="1" applyFont="1" applyFill="1"/>
    <xf numFmtId="0" fontId="25" fillId="0" borderId="0" xfId="0" applyFont="1"/>
    <xf numFmtId="0" fontId="12" fillId="0" borderId="0" xfId="0" applyFont="1"/>
    <xf numFmtId="0" fontId="12" fillId="2" borderId="0" xfId="0" applyFont="1" applyFill="1" applyBorder="1" applyAlignment="1">
      <alignment horizontal="left"/>
    </xf>
    <xf numFmtId="0" fontId="1" fillId="2" borderId="0" xfId="0" applyFont="1" applyFill="1"/>
    <xf numFmtId="0" fontId="8" fillId="3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3" borderId="2" xfId="0" quotePrefix="1" applyNumberFormat="1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justify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7" fillId="6" borderId="2" xfId="0" applyFont="1" applyFill="1" applyBorder="1" applyAlignment="1">
      <alignment horizontal="justify" vertical="center"/>
    </xf>
    <xf numFmtId="0" fontId="0" fillId="7" borderId="2" xfId="0" applyFill="1" applyBorder="1" applyAlignment="1">
      <alignment horizontal="center" vertical="center"/>
    </xf>
    <xf numFmtId="0" fontId="8" fillId="3" borderId="0" xfId="0" applyFont="1" applyFill="1" applyAlignment="1">
      <alignment horizontal="right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4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PERFIL DE PERSONALIDAD</a:t>
            </a:r>
          </a:p>
        </c:rich>
      </c:tx>
      <c:layout>
        <c:manualLayout>
          <c:xMode val="edge"/>
          <c:yMode val="edge"/>
          <c:x val="0.59964431492326808"/>
          <c:y val="2.570694087403598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09326875040728E-2"/>
          <c:y val="0.18251928020565558"/>
          <c:w val="0.88968048828167423"/>
          <c:h val="0.4704370179948588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PERFIL!$B$15:$L$15</c:f>
              <c:strCache>
                <c:ptCount val="11"/>
                <c:pt idx="0">
                  <c:v>Mentiras</c:v>
                </c:pt>
                <c:pt idx="1">
                  <c:v>Compren.</c:v>
                </c:pt>
                <c:pt idx="2">
                  <c:v>Defensiv.</c:v>
                </c:pt>
                <c:pt idx="3">
                  <c:v>Hipocon.</c:v>
                </c:pt>
                <c:pt idx="4">
                  <c:v>Depresion</c:v>
                </c:pt>
                <c:pt idx="5">
                  <c:v>Histeria</c:v>
                </c:pt>
                <c:pt idx="6">
                  <c:v>Desv.P.</c:v>
                </c:pt>
                <c:pt idx="7">
                  <c:v>Paranoia</c:v>
                </c:pt>
                <c:pt idx="8">
                  <c:v>Psicatenia</c:v>
                </c:pt>
                <c:pt idx="9">
                  <c:v>Esquizofrenia</c:v>
                </c:pt>
                <c:pt idx="10">
                  <c:v>Hipomanía</c:v>
                </c:pt>
              </c:strCache>
            </c:strRef>
          </c:cat>
          <c:val>
            <c:numRef>
              <c:f>PERFIL!$B$16:$L$16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35</c:v>
                </c:pt>
                <c:pt idx="3">
                  <c:v>31</c:v>
                </c:pt>
                <c:pt idx="4">
                  <c:v>41</c:v>
                </c:pt>
                <c:pt idx="5">
                  <c:v>38</c:v>
                </c:pt>
                <c:pt idx="6">
                  <c:v>32</c:v>
                </c:pt>
                <c:pt idx="7">
                  <c:v>41</c:v>
                </c:pt>
                <c:pt idx="8">
                  <c:v>#N/A</c:v>
                </c:pt>
                <c:pt idx="9">
                  <c:v>#N/A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D-4400-940F-C44A6FD2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275872"/>
        <c:axId val="280279400"/>
      </c:lineChart>
      <c:catAx>
        <c:axId val="280275872"/>
        <c:scaling>
          <c:orientation val="minMax"/>
        </c:scaling>
        <c:delete val="0"/>
        <c:axPos val="b"/>
        <c:minorGridlines>
          <c:spPr>
            <a:ln w="3175">
              <a:solidFill>
                <a:srgbClr val="FFFF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TRASTORNOS DE PERSONALIDAD</a:t>
                </a:r>
              </a:p>
            </c:rich>
          </c:tx>
          <c:layout>
            <c:manualLayout>
              <c:xMode val="edge"/>
              <c:yMode val="edge"/>
              <c:x val="0.26545426266161176"/>
              <c:y val="0.889460026044254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BO"/>
          </a:p>
        </c:txPr>
        <c:crossAx val="280279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0279400"/>
        <c:scaling>
          <c:orientation val="minMax"/>
        </c:scaling>
        <c:delete val="0"/>
        <c:axPos val="l"/>
        <c:majorGridlines>
          <c:spPr>
            <a:ln w="3175">
              <a:solidFill>
                <a:srgbClr val="FF00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BO"/>
          </a:p>
        </c:txPr>
        <c:crossAx val="280275872"/>
        <c:crosses val="autoZero"/>
        <c:crossBetween val="between"/>
      </c:valAx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BO"/>
    </a:p>
  </c:txPr>
  <c:printSettings>
    <c:headerFooter alignWithMargins="0"/>
    <c:pageMargins b="1" l="0.75000000000000022" r="0.750000000000000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0</xdr:rowOff>
    </xdr:from>
    <xdr:to>
      <xdr:col>15</xdr:col>
      <xdr:colOff>123825</xdr:colOff>
      <xdr:row>33</xdr:row>
      <xdr:rowOff>76199</xdr:rowOff>
    </xdr:to>
    <xdr:graphicFrame macro="">
      <xdr:nvGraphicFramePr>
        <xdr:cNvPr id="1043" name="Gráfico 2"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35</xdr:row>
      <xdr:rowOff>38100</xdr:rowOff>
    </xdr:from>
    <xdr:to>
      <xdr:col>21</xdr:col>
      <xdr:colOff>180975</xdr:colOff>
      <xdr:row>37</xdr:row>
      <xdr:rowOff>76200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SpPr>
          <a:spLocks noChangeArrowheads="1"/>
        </xdr:cNvSpPr>
      </xdr:nvSpPr>
      <xdr:spPr bwMode="auto">
        <a:xfrm flipH="1" flipV="1">
          <a:off x="6286500" y="5905500"/>
          <a:ext cx="1009650" cy="36195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17694720 60000 65536"/>
            <a:gd name="T9" fmla="*/ 5898240 60000 65536"/>
            <a:gd name="T10" fmla="*/ 5898240 60000 65536"/>
            <a:gd name="T11" fmla="*/ 0 60000 65536"/>
            <a:gd name="T12" fmla="*/ 12427 w 21600"/>
            <a:gd name="T13" fmla="*/ 2912 h 21600"/>
            <a:gd name="T14" fmla="*/ 18227 w 21600"/>
            <a:gd name="T15" fmla="*/ 9246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21600" y="6079"/>
              </a:moveTo>
              <a:lnTo>
                <a:pt x="15126" y="0"/>
              </a:lnTo>
              <a:lnTo>
                <a:pt x="15126" y="2912"/>
              </a:lnTo>
              <a:lnTo>
                <a:pt x="12427" y="2912"/>
              </a:lnTo>
              <a:cubicBezTo>
                <a:pt x="5564" y="2912"/>
                <a:pt x="0" y="7052"/>
                <a:pt x="0" y="12158"/>
              </a:cubicBezTo>
              <a:lnTo>
                <a:pt x="0" y="21600"/>
              </a:lnTo>
              <a:lnTo>
                <a:pt x="6474" y="21600"/>
              </a:lnTo>
              <a:lnTo>
                <a:pt x="6474" y="12158"/>
              </a:lnTo>
              <a:cubicBezTo>
                <a:pt x="6474" y="10550"/>
                <a:pt x="9139" y="9246"/>
                <a:pt x="12427" y="9246"/>
              </a:cubicBezTo>
              <a:lnTo>
                <a:pt x="15126" y="9246"/>
              </a:lnTo>
              <a:lnTo>
                <a:pt x="15126" y="12158"/>
              </a:lnTo>
              <a:lnTo>
                <a:pt x="21600" y="6079"/>
              </a:lnTo>
              <a:close/>
            </a:path>
          </a:pathLst>
        </a:cu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FC329"/>
  <sheetViews>
    <sheetView tabSelected="1" workbookViewId="0">
      <pane ySplit="1" topLeftCell="A61" activePane="bottomLeft" state="frozen"/>
      <selection pane="bottomLeft" activeCell="C2" sqref="C2:D50"/>
    </sheetView>
  </sheetViews>
  <sheetFormatPr baseColWidth="10" defaultColWidth="0" defaultRowHeight="15" customHeight="1" x14ac:dyDescent="0.2"/>
  <cols>
    <col min="1" max="1" width="10.28515625" style="59" customWidth="1"/>
    <col min="2" max="2" width="79" style="59" customWidth="1"/>
    <col min="3" max="3" width="8.28515625" style="59" customWidth="1"/>
    <col min="4" max="4" width="8.140625" style="59" customWidth="1"/>
    <col min="16384" max="16384" width="0.7109375" hidden="1" customWidth="1"/>
  </cols>
  <sheetData>
    <row r="1" spans="1:4" ht="20.25" customHeight="1" x14ac:dyDescent="0.2">
      <c r="A1" s="52" t="s">
        <v>0</v>
      </c>
      <c r="B1" s="52" t="s">
        <v>153</v>
      </c>
      <c r="C1" s="53" t="s">
        <v>1</v>
      </c>
      <c r="D1" s="53" t="b">
        <v>0</v>
      </c>
    </row>
    <row r="2" spans="1:4" ht="18.75" customHeight="1" x14ac:dyDescent="0.2">
      <c r="A2" s="60">
        <v>1</v>
      </c>
      <c r="B2" s="61" t="s">
        <v>154</v>
      </c>
      <c r="C2" s="62"/>
      <c r="D2" s="63"/>
    </row>
    <row r="3" spans="1:4" ht="15" customHeight="1" x14ac:dyDescent="0.2">
      <c r="A3" s="60">
        <v>2</v>
      </c>
      <c r="B3" s="61" t="s">
        <v>155</v>
      </c>
      <c r="C3" s="62"/>
      <c r="D3" s="63"/>
    </row>
    <row r="4" spans="1:4" ht="15" customHeight="1" x14ac:dyDescent="0.2">
      <c r="A4" s="60">
        <v>3</v>
      </c>
      <c r="B4" s="61" t="s">
        <v>156</v>
      </c>
      <c r="C4" s="62"/>
      <c r="D4" s="63"/>
    </row>
    <row r="5" spans="1:4" ht="15" customHeight="1" x14ac:dyDescent="0.2">
      <c r="A5" s="60">
        <v>4</v>
      </c>
      <c r="B5" s="61" t="s">
        <v>224</v>
      </c>
      <c r="C5" s="62"/>
      <c r="D5" s="63"/>
    </row>
    <row r="6" spans="1:4" ht="15" customHeight="1" x14ac:dyDescent="0.2">
      <c r="A6" s="60">
        <v>5</v>
      </c>
      <c r="B6" s="61" t="s">
        <v>157</v>
      </c>
      <c r="C6" s="62"/>
      <c r="D6" s="63"/>
    </row>
    <row r="7" spans="1:4" ht="15" customHeight="1" x14ac:dyDescent="0.2">
      <c r="A7" s="60">
        <v>6</v>
      </c>
      <c r="B7" s="61" t="s">
        <v>158</v>
      </c>
      <c r="C7" s="62"/>
      <c r="D7" s="63"/>
    </row>
    <row r="8" spans="1:4" ht="15" customHeight="1" x14ac:dyDescent="0.2">
      <c r="A8" s="60">
        <v>7</v>
      </c>
      <c r="B8" s="61" t="s">
        <v>159</v>
      </c>
      <c r="C8" s="62"/>
      <c r="D8" s="63"/>
    </row>
    <row r="9" spans="1:4" ht="15" customHeight="1" x14ac:dyDescent="0.2">
      <c r="A9" s="60">
        <v>8</v>
      </c>
      <c r="B9" s="61" t="s">
        <v>160</v>
      </c>
      <c r="C9" s="62"/>
      <c r="D9" s="63"/>
    </row>
    <row r="10" spans="1:4" ht="15" customHeight="1" x14ac:dyDescent="0.2">
      <c r="A10" s="60">
        <v>9</v>
      </c>
      <c r="B10" s="61" t="s">
        <v>161</v>
      </c>
      <c r="C10" s="62"/>
      <c r="D10" s="63"/>
    </row>
    <row r="11" spans="1:4" ht="15" customHeight="1" x14ac:dyDescent="0.2">
      <c r="A11" s="60">
        <v>10</v>
      </c>
      <c r="B11" s="61" t="s">
        <v>162</v>
      </c>
      <c r="C11" s="62"/>
      <c r="D11" s="63"/>
    </row>
    <row r="12" spans="1:4" ht="15" customHeight="1" x14ac:dyDescent="0.2">
      <c r="A12" s="60">
        <v>11</v>
      </c>
      <c r="B12" s="61" t="s">
        <v>163</v>
      </c>
      <c r="C12" s="62"/>
      <c r="D12" s="63"/>
    </row>
    <row r="13" spans="1:4" ht="15" customHeight="1" x14ac:dyDescent="0.2">
      <c r="A13" s="60">
        <v>12</v>
      </c>
      <c r="B13" s="61" t="s">
        <v>164</v>
      </c>
      <c r="C13" s="62"/>
      <c r="D13" s="63"/>
    </row>
    <row r="14" spans="1:4" ht="15" customHeight="1" x14ac:dyDescent="0.2">
      <c r="A14" s="60">
        <v>13</v>
      </c>
      <c r="B14" s="61" t="s">
        <v>165</v>
      </c>
      <c r="C14" s="62"/>
      <c r="D14" s="63"/>
    </row>
    <row r="15" spans="1:4" ht="15" customHeight="1" x14ac:dyDescent="0.2">
      <c r="A15" s="60">
        <v>14</v>
      </c>
      <c r="B15" s="61" t="s">
        <v>166</v>
      </c>
      <c r="C15" s="62"/>
      <c r="D15" s="63"/>
    </row>
    <row r="16" spans="1:4" ht="16.5" customHeight="1" x14ac:dyDescent="0.2">
      <c r="A16" s="60">
        <v>15</v>
      </c>
      <c r="B16" s="61" t="s">
        <v>167</v>
      </c>
      <c r="C16" s="62"/>
      <c r="D16" s="63"/>
    </row>
    <row r="17" spans="1:4" ht="15" customHeight="1" x14ac:dyDescent="0.2">
      <c r="A17" s="60">
        <v>16</v>
      </c>
      <c r="B17" s="61" t="s">
        <v>168</v>
      </c>
      <c r="C17" s="62"/>
      <c r="D17" s="63"/>
    </row>
    <row r="18" spans="1:4" ht="28.5" customHeight="1" x14ac:dyDescent="0.2">
      <c r="A18" s="60">
        <v>17</v>
      </c>
      <c r="B18" s="61" t="s">
        <v>169</v>
      </c>
      <c r="C18" s="62"/>
      <c r="D18" s="63"/>
    </row>
    <row r="19" spans="1:4" ht="15" customHeight="1" x14ac:dyDescent="0.2">
      <c r="A19" s="60">
        <v>18</v>
      </c>
      <c r="B19" s="61" t="s">
        <v>170</v>
      </c>
      <c r="C19" s="62"/>
      <c r="D19" s="63"/>
    </row>
    <row r="20" spans="1:4" ht="15" customHeight="1" x14ac:dyDescent="0.2">
      <c r="A20" s="60">
        <v>19</v>
      </c>
      <c r="B20" s="61" t="s">
        <v>171</v>
      </c>
      <c r="C20" s="62"/>
      <c r="D20" s="63"/>
    </row>
    <row r="21" spans="1:4" ht="15" customHeight="1" x14ac:dyDescent="0.2">
      <c r="A21" s="60">
        <v>20</v>
      </c>
      <c r="B21" s="61" t="s">
        <v>172</v>
      </c>
      <c r="C21" s="62"/>
      <c r="D21" s="63"/>
    </row>
    <row r="22" spans="1:4" ht="16.5" customHeight="1" x14ac:dyDescent="0.2">
      <c r="A22" s="60">
        <v>21</v>
      </c>
      <c r="B22" s="61" t="s">
        <v>173</v>
      </c>
      <c r="C22" s="62"/>
      <c r="D22" s="63"/>
    </row>
    <row r="23" spans="1:4" ht="15" customHeight="1" x14ac:dyDescent="0.2">
      <c r="A23" s="60">
        <v>22</v>
      </c>
      <c r="B23" s="61" t="s">
        <v>174</v>
      </c>
      <c r="C23" s="62"/>
      <c r="D23" s="63"/>
    </row>
    <row r="24" spans="1:4" ht="30" customHeight="1" x14ac:dyDescent="0.2">
      <c r="A24" s="60">
        <v>23</v>
      </c>
      <c r="B24" s="61" t="s">
        <v>175</v>
      </c>
      <c r="C24" s="62"/>
      <c r="D24" s="63"/>
    </row>
    <row r="25" spans="1:4" ht="15" customHeight="1" x14ac:dyDescent="0.2">
      <c r="A25" s="60">
        <v>24</v>
      </c>
      <c r="B25" s="61" t="s">
        <v>176</v>
      </c>
      <c r="C25" s="62"/>
      <c r="D25" s="63"/>
    </row>
    <row r="26" spans="1:4" ht="15" customHeight="1" x14ac:dyDescent="0.2">
      <c r="A26" s="60">
        <v>25</v>
      </c>
      <c r="B26" s="64" t="s">
        <v>217</v>
      </c>
      <c r="C26" s="62"/>
      <c r="D26" s="63"/>
    </row>
    <row r="27" spans="1:4" ht="14.25" customHeight="1" x14ac:dyDescent="0.2">
      <c r="A27" s="60">
        <v>26</v>
      </c>
      <c r="B27" s="61" t="s">
        <v>177</v>
      </c>
      <c r="C27" s="62"/>
      <c r="D27" s="63"/>
    </row>
    <row r="28" spans="1:4" ht="15" customHeight="1" x14ac:dyDescent="0.2">
      <c r="A28" s="60">
        <v>27</v>
      </c>
      <c r="B28" s="61" t="s">
        <v>178</v>
      </c>
      <c r="C28" s="62"/>
      <c r="D28" s="63"/>
    </row>
    <row r="29" spans="1:4" ht="15" customHeight="1" x14ac:dyDescent="0.2">
      <c r="A29" s="60">
        <v>28</v>
      </c>
      <c r="B29" s="61" t="s">
        <v>179</v>
      </c>
      <c r="C29" s="62"/>
      <c r="D29" s="63"/>
    </row>
    <row r="30" spans="1:4" ht="30.75" customHeight="1" x14ac:dyDescent="0.2">
      <c r="A30" s="60">
        <v>29</v>
      </c>
      <c r="B30" s="61" t="s">
        <v>180</v>
      </c>
      <c r="C30" s="62"/>
      <c r="D30" s="63"/>
    </row>
    <row r="31" spans="1:4" ht="29.25" x14ac:dyDescent="0.2">
      <c r="A31" s="60">
        <v>30</v>
      </c>
      <c r="B31" s="64" t="s">
        <v>218</v>
      </c>
      <c r="C31" s="62"/>
      <c r="D31" s="63"/>
    </row>
    <row r="32" spans="1:4" ht="29.25" customHeight="1" x14ac:dyDescent="0.2">
      <c r="A32" s="60">
        <v>31</v>
      </c>
      <c r="B32" s="61" t="s">
        <v>181</v>
      </c>
      <c r="C32" s="62"/>
      <c r="D32" s="63"/>
    </row>
    <row r="33" spans="1:4" ht="15" customHeight="1" x14ac:dyDescent="0.2">
      <c r="A33" s="60">
        <v>32</v>
      </c>
      <c r="B33" s="61" t="s">
        <v>182</v>
      </c>
      <c r="C33" s="62"/>
      <c r="D33" s="63"/>
    </row>
    <row r="34" spans="1:4" ht="15.75" customHeight="1" x14ac:dyDescent="0.2">
      <c r="A34" s="60">
        <v>33</v>
      </c>
      <c r="B34" s="61" t="s">
        <v>183</v>
      </c>
      <c r="C34" s="62"/>
      <c r="D34" s="63"/>
    </row>
    <row r="35" spans="1:4" ht="28.5" x14ac:dyDescent="0.2">
      <c r="A35" s="60">
        <v>34</v>
      </c>
      <c r="B35" s="61" t="s">
        <v>184</v>
      </c>
      <c r="C35" s="62"/>
      <c r="D35" s="63"/>
    </row>
    <row r="36" spans="1:4" ht="30.75" customHeight="1" x14ac:dyDescent="0.2">
      <c r="A36" s="60">
        <v>35</v>
      </c>
      <c r="B36" s="61" t="s">
        <v>235</v>
      </c>
      <c r="C36" s="62"/>
      <c r="D36" s="63"/>
    </row>
    <row r="37" spans="1:4" ht="15" customHeight="1" x14ac:dyDescent="0.2">
      <c r="A37" s="60">
        <v>36</v>
      </c>
      <c r="B37" s="61" t="s">
        <v>185</v>
      </c>
      <c r="C37" s="62"/>
      <c r="D37" s="63"/>
    </row>
    <row r="38" spans="1:4" ht="15" customHeight="1" x14ac:dyDescent="0.2">
      <c r="A38" s="60">
        <v>37</v>
      </c>
      <c r="B38" s="61" t="s">
        <v>236</v>
      </c>
      <c r="C38" s="62"/>
      <c r="D38" s="63"/>
    </row>
    <row r="39" spans="1:4" ht="30.75" customHeight="1" x14ac:dyDescent="0.2">
      <c r="A39" s="60">
        <v>38</v>
      </c>
      <c r="B39" s="61" t="s">
        <v>237</v>
      </c>
      <c r="C39" s="62"/>
      <c r="D39" s="63"/>
    </row>
    <row r="40" spans="1:4" ht="15" customHeight="1" x14ac:dyDescent="0.2">
      <c r="A40" s="60">
        <v>39</v>
      </c>
      <c r="B40" s="61" t="s">
        <v>186</v>
      </c>
      <c r="C40" s="62"/>
      <c r="D40" s="63"/>
    </row>
    <row r="41" spans="1:4" ht="15" customHeight="1" x14ac:dyDescent="0.2">
      <c r="A41" s="60">
        <v>40</v>
      </c>
      <c r="B41" s="61" t="s">
        <v>187</v>
      </c>
      <c r="C41" s="62"/>
      <c r="D41" s="63"/>
    </row>
    <row r="42" spans="1:4" ht="15" customHeight="1" x14ac:dyDescent="0.2">
      <c r="A42" s="60">
        <v>41</v>
      </c>
      <c r="B42" s="61" t="s">
        <v>188</v>
      </c>
      <c r="C42" s="62"/>
      <c r="D42" s="63"/>
    </row>
    <row r="43" spans="1:4" ht="15" customHeight="1" x14ac:dyDescent="0.2">
      <c r="A43" s="60">
        <v>42</v>
      </c>
      <c r="B43" s="61" t="s">
        <v>189</v>
      </c>
      <c r="C43" s="62"/>
      <c r="D43" s="63"/>
    </row>
    <row r="44" spans="1:4" ht="15.75" customHeight="1" x14ac:dyDescent="0.2">
      <c r="A44" s="60">
        <v>43</v>
      </c>
      <c r="B44" s="61" t="s">
        <v>190</v>
      </c>
      <c r="C44" s="62"/>
      <c r="D44" s="63"/>
    </row>
    <row r="45" spans="1:4" ht="15" customHeight="1" x14ac:dyDescent="0.2">
      <c r="A45" s="60">
        <v>44</v>
      </c>
      <c r="B45" s="61" t="s">
        <v>191</v>
      </c>
      <c r="C45" s="62"/>
      <c r="D45" s="63"/>
    </row>
    <row r="46" spans="1:4" ht="15" customHeight="1" x14ac:dyDescent="0.2">
      <c r="A46" s="60">
        <v>45</v>
      </c>
      <c r="B46" s="61" t="s">
        <v>192</v>
      </c>
      <c r="C46" s="62"/>
      <c r="D46" s="63"/>
    </row>
    <row r="47" spans="1:4" ht="15" customHeight="1" x14ac:dyDescent="0.2">
      <c r="A47" s="60">
        <v>46</v>
      </c>
      <c r="B47" s="61" t="s">
        <v>193</v>
      </c>
      <c r="C47" s="62"/>
      <c r="D47" s="63"/>
    </row>
    <row r="48" spans="1:4" ht="15" customHeight="1" x14ac:dyDescent="0.2">
      <c r="A48" s="60">
        <v>47</v>
      </c>
      <c r="B48" s="61" t="s">
        <v>194</v>
      </c>
      <c r="C48" s="62"/>
      <c r="D48" s="63"/>
    </row>
    <row r="49" spans="1:4" ht="15" customHeight="1" x14ac:dyDescent="0.2">
      <c r="A49" s="60">
        <v>48</v>
      </c>
      <c r="B49" s="61" t="s">
        <v>195</v>
      </c>
      <c r="C49" s="62"/>
      <c r="D49" s="63"/>
    </row>
    <row r="50" spans="1:4" ht="15" customHeight="1" x14ac:dyDescent="0.2">
      <c r="A50" s="60">
        <v>49</v>
      </c>
      <c r="B50" s="61" t="s">
        <v>196</v>
      </c>
      <c r="C50" s="62"/>
      <c r="D50" s="63"/>
    </row>
    <row r="51" spans="1:4" ht="15" customHeight="1" x14ac:dyDescent="0.2">
      <c r="A51" s="60">
        <v>50</v>
      </c>
      <c r="B51" s="61" t="s">
        <v>197</v>
      </c>
      <c r="C51" s="62"/>
      <c r="D51" s="63"/>
    </row>
    <row r="52" spans="1:4" ht="15" customHeight="1" x14ac:dyDescent="0.2">
      <c r="A52" s="60">
        <v>51</v>
      </c>
      <c r="B52" s="61" t="s">
        <v>198</v>
      </c>
      <c r="C52" s="62"/>
      <c r="D52" s="63"/>
    </row>
    <row r="53" spans="1:4" ht="28.5" x14ac:dyDescent="0.2">
      <c r="A53" s="60">
        <v>52</v>
      </c>
      <c r="B53" s="61" t="s">
        <v>199</v>
      </c>
      <c r="C53" s="62"/>
      <c r="D53" s="63"/>
    </row>
    <row r="54" spans="1:4" ht="15" customHeight="1" x14ac:dyDescent="0.2">
      <c r="A54" s="60">
        <v>53</v>
      </c>
      <c r="B54" s="61" t="s">
        <v>200</v>
      </c>
      <c r="C54" s="62"/>
      <c r="D54" s="63"/>
    </row>
    <row r="55" spans="1:4" ht="15" customHeight="1" x14ac:dyDescent="0.2">
      <c r="A55" s="60">
        <v>54</v>
      </c>
      <c r="B55" s="61" t="s">
        <v>225</v>
      </c>
      <c r="C55" s="62"/>
      <c r="D55" s="63"/>
    </row>
    <row r="56" spans="1:4" ht="27.75" customHeight="1" x14ac:dyDescent="0.2">
      <c r="A56" s="60">
        <v>55</v>
      </c>
      <c r="B56" s="61" t="s">
        <v>201</v>
      </c>
      <c r="C56" s="62"/>
      <c r="D56" s="63"/>
    </row>
    <row r="57" spans="1:4" ht="15" customHeight="1" x14ac:dyDescent="0.2">
      <c r="A57" s="60">
        <v>56</v>
      </c>
      <c r="B57" s="61" t="s">
        <v>202</v>
      </c>
      <c r="C57" s="62"/>
      <c r="D57" s="63"/>
    </row>
    <row r="58" spans="1:4" ht="31.5" customHeight="1" x14ac:dyDescent="0.2">
      <c r="A58" s="60">
        <v>57</v>
      </c>
      <c r="B58" s="61" t="s">
        <v>203</v>
      </c>
      <c r="C58" s="62"/>
      <c r="D58" s="63"/>
    </row>
    <row r="59" spans="1:4" ht="15" customHeight="1" x14ac:dyDescent="0.2">
      <c r="A59" s="60">
        <v>58</v>
      </c>
      <c r="B59" s="61" t="s">
        <v>204</v>
      </c>
      <c r="C59" s="62"/>
      <c r="D59" s="63"/>
    </row>
    <row r="60" spans="1:4" ht="15" customHeight="1" x14ac:dyDescent="0.2">
      <c r="A60" s="60">
        <v>59</v>
      </c>
      <c r="B60" s="61" t="s">
        <v>205</v>
      </c>
      <c r="C60" s="62"/>
      <c r="D60" s="63"/>
    </row>
    <row r="61" spans="1:4" ht="28.5" customHeight="1" x14ac:dyDescent="0.2">
      <c r="A61" s="60">
        <v>60</v>
      </c>
      <c r="B61" s="61" t="s">
        <v>206</v>
      </c>
      <c r="C61" s="62"/>
      <c r="D61" s="63"/>
    </row>
    <row r="62" spans="1:4" ht="15" customHeight="1" x14ac:dyDescent="0.2">
      <c r="A62" s="60">
        <v>61</v>
      </c>
      <c r="B62" s="61" t="s">
        <v>207</v>
      </c>
      <c r="C62" s="62"/>
      <c r="D62" s="63"/>
    </row>
    <row r="63" spans="1:4" ht="15" customHeight="1" x14ac:dyDescent="0.2">
      <c r="A63" s="60">
        <v>62</v>
      </c>
      <c r="B63" s="61" t="s">
        <v>208</v>
      </c>
      <c r="C63" s="62"/>
      <c r="D63" s="63"/>
    </row>
    <row r="64" spans="1:4" ht="15" customHeight="1" x14ac:dyDescent="0.2">
      <c r="A64" s="60">
        <v>63</v>
      </c>
      <c r="B64" s="61" t="s">
        <v>209</v>
      </c>
      <c r="C64" s="62"/>
      <c r="D64" s="63"/>
    </row>
    <row r="65" spans="1:4" ht="30" customHeight="1" x14ac:dyDescent="0.2">
      <c r="A65" s="60">
        <v>64</v>
      </c>
      <c r="B65" s="61" t="s">
        <v>210</v>
      </c>
      <c r="C65" s="62"/>
      <c r="D65" s="63"/>
    </row>
    <row r="66" spans="1:4" ht="15" customHeight="1" x14ac:dyDescent="0.2">
      <c r="A66" s="60">
        <v>65</v>
      </c>
      <c r="B66" s="61" t="s">
        <v>211</v>
      </c>
      <c r="C66" s="62"/>
      <c r="D66" s="63"/>
    </row>
    <row r="67" spans="1:4" ht="15" customHeight="1" x14ac:dyDescent="0.2">
      <c r="A67" s="60">
        <v>66</v>
      </c>
      <c r="B67" s="61" t="s">
        <v>212</v>
      </c>
      <c r="C67" s="62"/>
      <c r="D67" s="63"/>
    </row>
    <row r="68" spans="1:4" ht="15" customHeight="1" x14ac:dyDescent="0.2">
      <c r="A68" s="60">
        <v>67</v>
      </c>
      <c r="B68" s="61" t="s">
        <v>213</v>
      </c>
      <c r="C68" s="62"/>
      <c r="D68" s="63"/>
    </row>
    <row r="69" spans="1:4" ht="15" customHeight="1" x14ac:dyDescent="0.2">
      <c r="A69" s="60">
        <v>68</v>
      </c>
      <c r="B69" s="61" t="s">
        <v>214</v>
      </c>
      <c r="C69" s="62"/>
      <c r="D69" s="63"/>
    </row>
    <row r="70" spans="1:4" ht="30" customHeight="1" x14ac:dyDescent="0.2">
      <c r="A70" s="60">
        <v>69</v>
      </c>
      <c r="B70" s="61" t="s">
        <v>215</v>
      </c>
      <c r="C70" s="62"/>
      <c r="D70" s="63"/>
    </row>
    <row r="71" spans="1:4" ht="15" customHeight="1" x14ac:dyDescent="0.2">
      <c r="A71" s="60">
        <v>70</v>
      </c>
      <c r="B71" s="61" t="s">
        <v>216</v>
      </c>
      <c r="C71" s="62"/>
      <c r="D71" s="63"/>
    </row>
    <row r="72" spans="1:4" ht="27.75" customHeight="1" x14ac:dyDescent="0.2">
      <c r="A72" s="60">
        <v>71</v>
      </c>
      <c r="B72" s="61" t="s">
        <v>226</v>
      </c>
      <c r="C72" s="62"/>
      <c r="D72" s="63"/>
    </row>
    <row r="73" spans="1:4" ht="15" customHeight="1" x14ac:dyDescent="0.2">
      <c r="A73" s="60">
        <v>72</v>
      </c>
      <c r="B73" s="61" t="s">
        <v>219</v>
      </c>
      <c r="C73" s="65"/>
      <c r="D73" s="63"/>
    </row>
    <row r="74" spans="1:4" ht="15" customHeight="1" x14ac:dyDescent="0.2">
      <c r="A74" s="60">
        <v>73</v>
      </c>
      <c r="B74" s="61" t="s">
        <v>220</v>
      </c>
      <c r="C74" s="65"/>
      <c r="D74" s="63"/>
    </row>
    <row r="75" spans="1:4" ht="15" customHeight="1" x14ac:dyDescent="0.2">
      <c r="A75" s="60">
        <v>74</v>
      </c>
      <c r="B75" s="61" t="s">
        <v>221</v>
      </c>
      <c r="C75" s="65"/>
      <c r="D75" s="63"/>
    </row>
    <row r="76" spans="1:4" ht="15" customHeight="1" x14ac:dyDescent="0.2">
      <c r="A76" s="60">
        <v>75</v>
      </c>
      <c r="B76" s="61" t="s">
        <v>222</v>
      </c>
      <c r="C76" s="65"/>
      <c r="D76" s="63"/>
    </row>
    <row r="77" spans="1:4" ht="15" customHeight="1" x14ac:dyDescent="0.2">
      <c r="A77" s="60">
        <v>76</v>
      </c>
      <c r="B77" s="61" t="s">
        <v>223</v>
      </c>
      <c r="C77" s="65"/>
      <c r="D77" s="63"/>
    </row>
    <row r="78" spans="1:4" ht="15" customHeight="1" x14ac:dyDescent="0.2">
      <c r="A78" s="54" t="s">
        <v>78</v>
      </c>
      <c r="B78" s="55"/>
      <c r="C78" s="56"/>
      <c r="D78" s="57"/>
    </row>
    <row r="79" spans="1:4" ht="15" customHeight="1" x14ac:dyDescent="0.2">
      <c r="A79" s="66" t="s">
        <v>79</v>
      </c>
      <c r="B79" s="66"/>
      <c r="C79" s="58"/>
      <c r="D79" s="56"/>
    </row>
    <row r="80" spans="1:4" s="22" customFormat="1" ht="15" customHeight="1" x14ac:dyDescent="0.2">
      <c r="A80" s="56"/>
      <c r="B80" s="56"/>
      <c r="C80" s="56"/>
      <c r="D80" s="56"/>
    </row>
    <row r="81" spans="1:4" s="22" customFormat="1" ht="15" customHeight="1" x14ac:dyDescent="0.2">
      <c r="A81" s="56"/>
      <c r="B81" s="56"/>
      <c r="C81" s="56"/>
      <c r="D81" s="56"/>
    </row>
    <row r="82" spans="1:4" s="22" customFormat="1" ht="15" customHeight="1" x14ac:dyDescent="0.2">
      <c r="A82" s="56"/>
      <c r="B82" s="56"/>
      <c r="C82" s="56"/>
      <c r="D82" s="56"/>
    </row>
    <row r="83" spans="1:4" s="22" customFormat="1" ht="15" customHeight="1" x14ac:dyDescent="0.2">
      <c r="A83" s="56"/>
      <c r="B83" s="56"/>
      <c r="C83" s="56"/>
      <c r="D83" s="56"/>
    </row>
    <row r="84" spans="1:4" s="22" customFormat="1" ht="15" customHeight="1" x14ac:dyDescent="0.2">
      <c r="A84" s="56"/>
      <c r="B84" s="56"/>
      <c r="C84" s="56"/>
      <c r="D84" s="56"/>
    </row>
    <row r="85" spans="1:4" s="22" customFormat="1" ht="15" customHeight="1" x14ac:dyDescent="0.2">
      <c r="A85" s="56"/>
      <c r="B85" s="56"/>
      <c r="C85" s="56"/>
      <c r="D85" s="56"/>
    </row>
    <row r="86" spans="1:4" s="22" customFormat="1" ht="15" customHeight="1" x14ac:dyDescent="0.2">
      <c r="A86" s="56"/>
      <c r="B86" s="56"/>
      <c r="C86" s="56"/>
      <c r="D86" s="56"/>
    </row>
    <row r="87" spans="1:4" s="22" customFormat="1" ht="15" customHeight="1" x14ac:dyDescent="0.2">
      <c r="A87" s="56"/>
      <c r="B87" s="56"/>
      <c r="C87" s="56"/>
      <c r="D87" s="56"/>
    </row>
    <row r="88" spans="1:4" s="22" customFormat="1" ht="15" customHeight="1" x14ac:dyDescent="0.2">
      <c r="A88" s="56"/>
      <c r="B88" s="56"/>
      <c r="C88" s="56"/>
      <c r="D88" s="56"/>
    </row>
    <row r="89" spans="1:4" s="22" customFormat="1" ht="15" customHeight="1" x14ac:dyDescent="0.2">
      <c r="A89" s="56"/>
      <c r="B89" s="56"/>
      <c r="C89" s="56"/>
      <c r="D89" s="56"/>
    </row>
    <row r="90" spans="1:4" s="22" customFormat="1" ht="15" customHeight="1" x14ac:dyDescent="0.2">
      <c r="A90" s="56"/>
      <c r="B90" s="56"/>
      <c r="C90" s="56"/>
      <c r="D90" s="56"/>
    </row>
    <row r="91" spans="1:4" s="22" customFormat="1" ht="15" customHeight="1" x14ac:dyDescent="0.2">
      <c r="A91" s="56"/>
      <c r="B91" s="56"/>
      <c r="C91" s="56"/>
      <c r="D91" s="56"/>
    </row>
    <row r="92" spans="1:4" s="22" customFormat="1" ht="15" customHeight="1" x14ac:dyDescent="0.2">
      <c r="A92" s="56"/>
      <c r="B92" s="56"/>
      <c r="C92" s="56"/>
      <c r="D92" s="56"/>
    </row>
    <row r="93" spans="1:4" s="22" customFormat="1" ht="15" customHeight="1" x14ac:dyDescent="0.2">
      <c r="A93" s="56"/>
      <c r="B93" s="56"/>
      <c r="C93" s="56"/>
      <c r="D93" s="56"/>
    </row>
    <row r="94" spans="1:4" s="22" customFormat="1" ht="15" customHeight="1" x14ac:dyDescent="0.2">
      <c r="A94" s="56"/>
      <c r="B94" s="56"/>
      <c r="C94" s="56"/>
      <c r="D94" s="56"/>
    </row>
    <row r="95" spans="1:4" s="22" customFormat="1" ht="15" customHeight="1" x14ac:dyDescent="0.2">
      <c r="A95" s="56"/>
      <c r="B95" s="56"/>
      <c r="C95" s="56"/>
      <c r="D95" s="56"/>
    </row>
    <row r="96" spans="1:4" s="22" customFormat="1" ht="15" customHeight="1" x14ac:dyDescent="0.2">
      <c r="A96" s="56"/>
      <c r="B96" s="56"/>
      <c r="C96" s="56"/>
      <c r="D96" s="56"/>
    </row>
    <row r="97" spans="1:4" s="22" customFormat="1" ht="15" customHeight="1" x14ac:dyDescent="0.2">
      <c r="A97" s="56"/>
      <c r="B97" s="56"/>
      <c r="C97" s="56"/>
      <c r="D97" s="56"/>
    </row>
    <row r="98" spans="1:4" s="22" customFormat="1" ht="15" customHeight="1" x14ac:dyDescent="0.2">
      <c r="A98" s="56"/>
      <c r="B98" s="56"/>
      <c r="C98" s="56"/>
      <c r="D98" s="56"/>
    </row>
    <row r="99" spans="1:4" s="22" customFormat="1" ht="15" customHeight="1" x14ac:dyDescent="0.2">
      <c r="A99" s="56"/>
      <c r="B99" s="56"/>
      <c r="C99" s="56"/>
      <c r="D99" s="56"/>
    </row>
    <row r="100" spans="1:4" s="22" customFormat="1" ht="15" customHeight="1" x14ac:dyDescent="0.2">
      <c r="A100" s="56"/>
      <c r="B100" s="56"/>
      <c r="C100" s="56"/>
      <c r="D100" s="56"/>
    </row>
    <row r="101" spans="1:4" s="22" customFormat="1" ht="15" customHeight="1" x14ac:dyDescent="0.2">
      <c r="A101" s="56"/>
      <c r="B101" s="56"/>
      <c r="C101" s="56"/>
      <c r="D101" s="56"/>
    </row>
    <row r="102" spans="1:4" s="22" customFormat="1" ht="15" customHeight="1" x14ac:dyDescent="0.2">
      <c r="A102" s="56"/>
      <c r="B102" s="56"/>
      <c r="C102" s="56"/>
      <c r="D102" s="56"/>
    </row>
    <row r="103" spans="1:4" s="22" customFormat="1" ht="15" customHeight="1" x14ac:dyDescent="0.2">
      <c r="A103" s="56"/>
      <c r="B103" s="56"/>
      <c r="C103" s="56"/>
      <c r="D103" s="56"/>
    </row>
    <row r="104" spans="1:4" s="22" customFormat="1" ht="15" customHeight="1" x14ac:dyDescent="0.2">
      <c r="A104" s="56"/>
      <c r="B104" s="56"/>
      <c r="C104" s="56"/>
      <c r="D104" s="56"/>
    </row>
    <row r="105" spans="1:4" s="22" customFormat="1" ht="15" customHeight="1" x14ac:dyDescent="0.2">
      <c r="A105" s="56"/>
      <c r="B105" s="56"/>
      <c r="C105" s="56"/>
      <c r="D105" s="56"/>
    </row>
    <row r="106" spans="1:4" s="22" customFormat="1" ht="15" customHeight="1" x14ac:dyDescent="0.2">
      <c r="A106" s="56"/>
      <c r="B106" s="56"/>
      <c r="C106" s="56"/>
      <c r="D106" s="56"/>
    </row>
    <row r="107" spans="1:4" s="22" customFormat="1" ht="15" customHeight="1" x14ac:dyDescent="0.2">
      <c r="A107" s="56"/>
      <c r="B107" s="56"/>
      <c r="C107" s="56"/>
      <c r="D107" s="56"/>
    </row>
    <row r="108" spans="1:4" s="22" customFormat="1" ht="15" customHeight="1" x14ac:dyDescent="0.2">
      <c r="A108" s="56"/>
      <c r="B108" s="56"/>
      <c r="C108" s="56"/>
      <c r="D108" s="56"/>
    </row>
    <row r="109" spans="1:4" s="22" customFormat="1" ht="15" customHeight="1" x14ac:dyDescent="0.2">
      <c r="A109" s="56"/>
      <c r="B109" s="56"/>
      <c r="C109" s="56"/>
      <c r="D109" s="56"/>
    </row>
    <row r="110" spans="1:4" s="22" customFormat="1" ht="15" customHeight="1" x14ac:dyDescent="0.2">
      <c r="A110" s="56"/>
      <c r="B110" s="56"/>
      <c r="C110" s="56"/>
      <c r="D110" s="56"/>
    </row>
    <row r="111" spans="1:4" s="22" customFormat="1" ht="15" customHeight="1" x14ac:dyDescent="0.2">
      <c r="A111" s="56"/>
      <c r="B111" s="56"/>
      <c r="C111" s="56"/>
      <c r="D111" s="56"/>
    </row>
    <row r="112" spans="1:4" s="22" customFormat="1" ht="15" customHeight="1" x14ac:dyDescent="0.2">
      <c r="A112" s="56"/>
      <c r="B112" s="56"/>
      <c r="C112" s="56"/>
      <c r="D112" s="56"/>
    </row>
    <row r="113" spans="1:4" s="22" customFormat="1" ht="15" customHeight="1" x14ac:dyDescent="0.2">
      <c r="A113" s="56"/>
      <c r="B113" s="56"/>
      <c r="C113" s="56"/>
      <c r="D113" s="56"/>
    </row>
    <row r="114" spans="1:4" s="22" customFormat="1" ht="15" customHeight="1" x14ac:dyDescent="0.2">
      <c r="A114" s="56"/>
      <c r="B114" s="56"/>
      <c r="C114" s="56"/>
      <c r="D114" s="56"/>
    </row>
    <row r="115" spans="1:4" s="22" customFormat="1" ht="15" customHeight="1" x14ac:dyDescent="0.2">
      <c r="A115" s="56"/>
      <c r="B115" s="56"/>
      <c r="C115" s="56"/>
      <c r="D115" s="56"/>
    </row>
    <row r="116" spans="1:4" s="22" customFormat="1" ht="15" customHeight="1" x14ac:dyDescent="0.2">
      <c r="A116" s="56"/>
      <c r="B116" s="56"/>
      <c r="C116" s="56"/>
      <c r="D116" s="56"/>
    </row>
    <row r="117" spans="1:4" s="22" customFormat="1" ht="15" customHeight="1" x14ac:dyDescent="0.2">
      <c r="A117" s="56"/>
      <c r="B117" s="56"/>
      <c r="C117" s="56"/>
      <c r="D117" s="56"/>
    </row>
    <row r="118" spans="1:4" s="22" customFormat="1" ht="15" customHeight="1" x14ac:dyDescent="0.2">
      <c r="A118" s="56"/>
      <c r="B118" s="56"/>
      <c r="C118" s="56"/>
      <c r="D118" s="56"/>
    </row>
    <row r="119" spans="1:4" s="22" customFormat="1" ht="15" customHeight="1" x14ac:dyDescent="0.2">
      <c r="A119" s="56"/>
      <c r="B119" s="56"/>
      <c r="C119" s="56"/>
      <c r="D119" s="56"/>
    </row>
    <row r="120" spans="1:4" s="22" customFormat="1" ht="15" customHeight="1" x14ac:dyDescent="0.2">
      <c r="A120" s="56"/>
      <c r="B120" s="56"/>
      <c r="C120" s="56"/>
      <c r="D120" s="56"/>
    </row>
    <row r="121" spans="1:4" s="22" customFormat="1" ht="15" customHeight="1" x14ac:dyDescent="0.2">
      <c r="A121" s="56"/>
      <c r="B121" s="56"/>
      <c r="C121" s="56"/>
      <c r="D121" s="56"/>
    </row>
    <row r="122" spans="1:4" s="22" customFormat="1" ht="15" customHeight="1" x14ac:dyDescent="0.2">
      <c r="A122" s="56"/>
      <c r="B122" s="56"/>
      <c r="C122" s="56"/>
      <c r="D122" s="56"/>
    </row>
    <row r="123" spans="1:4" s="22" customFormat="1" ht="15" customHeight="1" x14ac:dyDescent="0.2">
      <c r="A123" s="56"/>
      <c r="B123" s="56"/>
      <c r="C123" s="56"/>
      <c r="D123" s="56"/>
    </row>
    <row r="124" spans="1:4" s="22" customFormat="1" ht="15" customHeight="1" x14ac:dyDescent="0.2">
      <c r="A124" s="56"/>
      <c r="B124" s="56"/>
      <c r="C124" s="56"/>
      <c r="D124" s="56"/>
    </row>
    <row r="125" spans="1:4" s="22" customFormat="1" ht="15" customHeight="1" x14ac:dyDescent="0.2">
      <c r="A125" s="56"/>
      <c r="B125" s="56"/>
      <c r="C125" s="56"/>
      <c r="D125" s="56"/>
    </row>
    <row r="126" spans="1:4" s="22" customFormat="1" ht="15" customHeight="1" x14ac:dyDescent="0.2">
      <c r="A126" s="56"/>
      <c r="B126" s="56"/>
      <c r="C126" s="56"/>
      <c r="D126" s="56"/>
    </row>
    <row r="127" spans="1:4" s="22" customFormat="1" ht="15" customHeight="1" x14ac:dyDescent="0.2">
      <c r="A127" s="56"/>
      <c r="B127" s="56"/>
      <c r="C127" s="56"/>
      <c r="D127" s="56"/>
    </row>
    <row r="128" spans="1:4" s="22" customFormat="1" ht="15" customHeight="1" x14ac:dyDescent="0.2">
      <c r="A128" s="56"/>
      <c r="B128" s="56"/>
      <c r="C128" s="56"/>
      <c r="D128" s="56"/>
    </row>
    <row r="129" spans="1:4" s="22" customFormat="1" ht="15" customHeight="1" x14ac:dyDescent="0.2">
      <c r="A129" s="56"/>
      <c r="B129" s="56"/>
      <c r="C129" s="56"/>
      <c r="D129" s="56"/>
    </row>
    <row r="130" spans="1:4" s="22" customFormat="1" ht="15" customHeight="1" x14ac:dyDescent="0.2">
      <c r="A130" s="56"/>
      <c r="B130" s="56"/>
      <c r="C130" s="56"/>
      <c r="D130" s="56"/>
    </row>
    <row r="131" spans="1:4" s="22" customFormat="1" ht="15" customHeight="1" x14ac:dyDescent="0.2">
      <c r="A131" s="56"/>
      <c r="B131" s="56"/>
      <c r="C131" s="56"/>
      <c r="D131" s="56"/>
    </row>
    <row r="132" spans="1:4" s="22" customFormat="1" ht="15" customHeight="1" x14ac:dyDescent="0.2">
      <c r="A132" s="56"/>
      <c r="B132" s="56"/>
      <c r="C132" s="56"/>
      <c r="D132" s="56"/>
    </row>
    <row r="133" spans="1:4" s="22" customFormat="1" ht="15" customHeight="1" x14ac:dyDescent="0.2">
      <c r="A133" s="56"/>
      <c r="B133" s="56"/>
      <c r="C133" s="56"/>
      <c r="D133" s="56"/>
    </row>
    <row r="134" spans="1:4" s="22" customFormat="1" ht="15" customHeight="1" x14ac:dyDescent="0.2">
      <c r="A134" s="56"/>
      <c r="B134" s="56"/>
      <c r="C134" s="56"/>
      <c r="D134" s="56"/>
    </row>
    <row r="135" spans="1:4" s="22" customFormat="1" ht="15" customHeight="1" x14ac:dyDescent="0.2">
      <c r="A135" s="56"/>
      <c r="B135" s="56"/>
      <c r="C135" s="56"/>
      <c r="D135" s="56"/>
    </row>
    <row r="136" spans="1:4" s="22" customFormat="1" ht="15" customHeight="1" x14ac:dyDescent="0.2">
      <c r="A136" s="56"/>
      <c r="B136" s="56"/>
      <c r="C136" s="56"/>
      <c r="D136" s="56"/>
    </row>
    <row r="137" spans="1:4" s="22" customFormat="1" ht="15" customHeight="1" x14ac:dyDescent="0.2">
      <c r="A137" s="56"/>
      <c r="B137" s="56"/>
      <c r="C137" s="56"/>
      <c r="D137" s="56"/>
    </row>
    <row r="138" spans="1:4" s="22" customFormat="1" ht="15" customHeight="1" x14ac:dyDescent="0.2">
      <c r="A138" s="56"/>
      <c r="B138" s="56"/>
      <c r="C138" s="56"/>
      <c r="D138" s="56"/>
    </row>
    <row r="139" spans="1:4" s="22" customFormat="1" ht="15" customHeight="1" x14ac:dyDescent="0.2">
      <c r="A139" s="56"/>
      <c r="B139" s="56"/>
      <c r="C139" s="56"/>
      <c r="D139" s="56"/>
    </row>
    <row r="140" spans="1:4" s="22" customFormat="1" ht="15" customHeight="1" x14ac:dyDescent="0.2">
      <c r="A140" s="56"/>
      <c r="B140" s="56"/>
      <c r="C140" s="56"/>
      <c r="D140" s="56"/>
    </row>
    <row r="141" spans="1:4" s="22" customFormat="1" ht="15" customHeight="1" x14ac:dyDescent="0.2">
      <c r="A141" s="56"/>
      <c r="B141" s="56"/>
      <c r="C141" s="56"/>
      <c r="D141" s="56"/>
    </row>
    <row r="142" spans="1:4" s="22" customFormat="1" ht="15" customHeight="1" x14ac:dyDescent="0.2">
      <c r="A142" s="56"/>
      <c r="B142" s="56"/>
      <c r="C142" s="56"/>
      <c r="D142" s="56"/>
    </row>
    <row r="143" spans="1:4" s="22" customFormat="1" ht="15" customHeight="1" x14ac:dyDescent="0.2">
      <c r="A143" s="56"/>
      <c r="B143" s="56"/>
      <c r="C143" s="56"/>
      <c r="D143" s="56"/>
    </row>
    <row r="144" spans="1:4" s="22" customFormat="1" ht="15" customHeight="1" x14ac:dyDescent="0.2">
      <c r="A144" s="56"/>
      <c r="B144" s="56"/>
      <c r="C144" s="56"/>
      <c r="D144" s="56"/>
    </row>
    <row r="145" spans="1:4" s="22" customFormat="1" ht="15" customHeight="1" x14ac:dyDescent="0.2">
      <c r="A145" s="56"/>
      <c r="B145" s="56"/>
      <c r="C145" s="56"/>
      <c r="D145" s="56"/>
    </row>
    <row r="146" spans="1:4" s="22" customFormat="1" ht="15" customHeight="1" x14ac:dyDescent="0.2">
      <c r="A146" s="56"/>
      <c r="B146" s="56"/>
      <c r="C146" s="56"/>
      <c r="D146" s="56"/>
    </row>
    <row r="147" spans="1:4" s="22" customFormat="1" ht="15" customHeight="1" x14ac:dyDescent="0.2">
      <c r="A147" s="56"/>
      <c r="B147" s="56"/>
      <c r="C147" s="56"/>
      <c r="D147" s="56"/>
    </row>
    <row r="148" spans="1:4" s="22" customFormat="1" ht="15" customHeight="1" x14ac:dyDescent="0.2">
      <c r="A148" s="56"/>
      <c r="B148" s="56"/>
      <c r="C148" s="56"/>
      <c r="D148" s="56"/>
    </row>
    <row r="149" spans="1:4" s="22" customFormat="1" ht="15" customHeight="1" x14ac:dyDescent="0.2">
      <c r="A149" s="56"/>
      <c r="B149" s="56"/>
      <c r="C149" s="56"/>
      <c r="D149" s="56"/>
    </row>
    <row r="150" spans="1:4" s="22" customFormat="1" ht="15" customHeight="1" x14ac:dyDescent="0.2">
      <c r="A150" s="56"/>
      <c r="B150" s="56"/>
      <c r="C150" s="56"/>
      <c r="D150" s="56"/>
    </row>
    <row r="151" spans="1:4" s="22" customFormat="1" ht="15" customHeight="1" x14ac:dyDescent="0.2">
      <c r="A151" s="56"/>
      <c r="B151" s="56"/>
      <c r="C151" s="56"/>
      <c r="D151" s="56"/>
    </row>
    <row r="152" spans="1:4" s="22" customFormat="1" ht="15" customHeight="1" x14ac:dyDescent="0.2">
      <c r="A152" s="56"/>
      <c r="B152" s="56"/>
      <c r="C152" s="56"/>
      <c r="D152" s="56"/>
    </row>
    <row r="153" spans="1:4" s="22" customFormat="1" ht="15" customHeight="1" x14ac:dyDescent="0.2">
      <c r="A153" s="56"/>
      <c r="B153" s="56"/>
      <c r="C153" s="56"/>
      <c r="D153" s="56"/>
    </row>
    <row r="154" spans="1:4" s="22" customFormat="1" ht="15" customHeight="1" x14ac:dyDescent="0.2">
      <c r="A154" s="56"/>
      <c r="B154" s="56"/>
      <c r="C154" s="56"/>
      <c r="D154" s="56"/>
    </row>
    <row r="155" spans="1:4" s="22" customFormat="1" ht="15" customHeight="1" x14ac:dyDescent="0.2">
      <c r="A155" s="56"/>
      <c r="B155" s="56"/>
      <c r="C155" s="56"/>
      <c r="D155" s="56"/>
    </row>
    <row r="156" spans="1:4" s="22" customFormat="1" ht="15" customHeight="1" x14ac:dyDescent="0.2">
      <c r="A156" s="56"/>
      <c r="B156" s="56"/>
      <c r="C156" s="56"/>
      <c r="D156" s="56"/>
    </row>
    <row r="157" spans="1:4" s="22" customFormat="1" ht="15" customHeight="1" x14ac:dyDescent="0.2">
      <c r="A157" s="56"/>
      <c r="B157" s="56"/>
      <c r="C157" s="56"/>
      <c r="D157" s="56"/>
    </row>
    <row r="158" spans="1:4" s="22" customFormat="1" ht="15" customHeight="1" x14ac:dyDescent="0.2">
      <c r="A158" s="56"/>
      <c r="B158" s="56"/>
      <c r="C158" s="56"/>
      <c r="D158" s="56"/>
    </row>
    <row r="159" spans="1:4" s="22" customFormat="1" ht="15" customHeight="1" x14ac:dyDescent="0.2">
      <c r="A159" s="56"/>
      <c r="B159" s="56"/>
      <c r="C159" s="56"/>
      <c r="D159" s="56"/>
    </row>
    <row r="160" spans="1:4" s="22" customFormat="1" ht="15" customHeight="1" x14ac:dyDescent="0.2">
      <c r="A160" s="56"/>
      <c r="B160" s="56"/>
      <c r="C160" s="56"/>
      <c r="D160" s="56"/>
    </row>
    <row r="161" spans="1:4" s="22" customFormat="1" ht="15" customHeight="1" x14ac:dyDescent="0.2">
      <c r="A161" s="56"/>
      <c r="B161" s="56"/>
      <c r="C161" s="56"/>
      <c r="D161" s="56"/>
    </row>
    <row r="162" spans="1:4" s="22" customFormat="1" ht="15" customHeight="1" x14ac:dyDescent="0.2">
      <c r="A162" s="56"/>
      <c r="B162" s="56"/>
      <c r="C162" s="56"/>
      <c r="D162" s="56"/>
    </row>
    <row r="163" spans="1:4" s="22" customFormat="1" ht="15" customHeight="1" x14ac:dyDescent="0.2">
      <c r="A163" s="56"/>
      <c r="B163" s="56"/>
      <c r="C163" s="56"/>
      <c r="D163" s="56"/>
    </row>
    <row r="164" spans="1:4" s="22" customFormat="1" ht="15" customHeight="1" x14ac:dyDescent="0.2">
      <c r="A164" s="56"/>
      <c r="B164" s="56"/>
      <c r="C164" s="56"/>
      <c r="D164" s="56"/>
    </row>
    <row r="165" spans="1:4" s="22" customFormat="1" ht="15" customHeight="1" x14ac:dyDescent="0.2">
      <c r="A165" s="56"/>
      <c r="B165" s="56"/>
      <c r="C165" s="56"/>
      <c r="D165" s="56"/>
    </row>
    <row r="166" spans="1:4" s="22" customFormat="1" ht="15" customHeight="1" x14ac:dyDescent="0.2">
      <c r="A166" s="56"/>
      <c r="B166" s="56"/>
      <c r="C166" s="56"/>
      <c r="D166" s="56"/>
    </row>
    <row r="167" spans="1:4" s="22" customFormat="1" ht="15" customHeight="1" x14ac:dyDescent="0.2">
      <c r="A167" s="56"/>
      <c r="B167" s="56"/>
      <c r="C167" s="56"/>
      <c r="D167" s="56"/>
    </row>
    <row r="168" spans="1:4" s="22" customFormat="1" ht="15" customHeight="1" x14ac:dyDescent="0.2">
      <c r="A168" s="56"/>
      <c r="B168" s="56"/>
      <c r="C168" s="56"/>
      <c r="D168" s="56"/>
    </row>
    <row r="169" spans="1:4" s="22" customFormat="1" ht="15" customHeight="1" x14ac:dyDescent="0.2">
      <c r="A169" s="56"/>
      <c r="B169" s="56"/>
      <c r="C169" s="56"/>
      <c r="D169" s="56"/>
    </row>
    <row r="170" spans="1:4" s="22" customFormat="1" ht="15" customHeight="1" x14ac:dyDescent="0.2">
      <c r="A170" s="56"/>
      <c r="B170" s="56"/>
      <c r="C170" s="56"/>
      <c r="D170" s="56"/>
    </row>
    <row r="171" spans="1:4" s="22" customFormat="1" ht="15" customHeight="1" x14ac:dyDescent="0.2">
      <c r="A171" s="56"/>
      <c r="B171" s="56"/>
      <c r="C171" s="56"/>
      <c r="D171" s="56"/>
    </row>
    <row r="172" spans="1:4" s="22" customFormat="1" ht="15" customHeight="1" x14ac:dyDescent="0.2">
      <c r="A172" s="56"/>
      <c r="B172" s="56"/>
      <c r="C172" s="56"/>
      <c r="D172" s="56"/>
    </row>
    <row r="173" spans="1:4" s="22" customFormat="1" ht="15" customHeight="1" x14ac:dyDescent="0.2">
      <c r="A173" s="56"/>
      <c r="B173" s="56"/>
      <c r="C173" s="56"/>
      <c r="D173" s="56"/>
    </row>
    <row r="174" spans="1:4" s="22" customFormat="1" ht="15" customHeight="1" x14ac:dyDescent="0.2">
      <c r="A174" s="56"/>
      <c r="B174" s="56"/>
      <c r="C174" s="56"/>
      <c r="D174" s="56"/>
    </row>
    <row r="175" spans="1:4" s="22" customFormat="1" ht="15" customHeight="1" x14ac:dyDescent="0.2">
      <c r="A175" s="56"/>
      <c r="B175" s="56"/>
      <c r="C175" s="56"/>
      <c r="D175" s="56"/>
    </row>
    <row r="176" spans="1:4" s="22" customFormat="1" ht="15" customHeight="1" x14ac:dyDescent="0.2">
      <c r="A176" s="56"/>
      <c r="B176" s="56"/>
      <c r="C176" s="56"/>
      <c r="D176" s="56"/>
    </row>
    <row r="177" spans="1:4" s="22" customFormat="1" ht="15" customHeight="1" x14ac:dyDescent="0.2">
      <c r="A177" s="56"/>
      <c r="B177" s="56"/>
      <c r="C177" s="56"/>
      <c r="D177" s="56"/>
    </row>
    <row r="178" spans="1:4" s="22" customFormat="1" ht="15" customHeight="1" x14ac:dyDescent="0.2">
      <c r="A178" s="56"/>
      <c r="B178" s="56"/>
      <c r="C178" s="56"/>
      <c r="D178" s="56"/>
    </row>
    <row r="179" spans="1:4" s="22" customFormat="1" ht="15" customHeight="1" x14ac:dyDescent="0.2">
      <c r="A179" s="56"/>
      <c r="B179" s="56"/>
      <c r="C179" s="56"/>
      <c r="D179" s="56"/>
    </row>
    <row r="180" spans="1:4" s="22" customFormat="1" ht="15" customHeight="1" x14ac:dyDescent="0.2">
      <c r="A180" s="56"/>
      <c r="B180" s="56"/>
      <c r="C180" s="56"/>
      <c r="D180" s="56"/>
    </row>
    <row r="181" spans="1:4" s="22" customFormat="1" ht="15" customHeight="1" x14ac:dyDescent="0.2">
      <c r="A181" s="56"/>
      <c r="B181" s="56"/>
      <c r="C181" s="56"/>
      <c r="D181" s="56"/>
    </row>
    <row r="182" spans="1:4" s="22" customFormat="1" ht="15" customHeight="1" x14ac:dyDescent="0.2">
      <c r="A182" s="56"/>
      <c r="B182" s="56"/>
      <c r="C182" s="56"/>
      <c r="D182" s="56"/>
    </row>
    <row r="183" spans="1:4" s="22" customFormat="1" ht="15" customHeight="1" x14ac:dyDescent="0.2">
      <c r="A183" s="56"/>
      <c r="B183" s="56"/>
      <c r="C183" s="56"/>
      <c r="D183" s="56"/>
    </row>
    <row r="184" spans="1:4" s="22" customFormat="1" ht="15" customHeight="1" x14ac:dyDescent="0.2">
      <c r="A184" s="56"/>
      <c r="B184" s="56"/>
      <c r="C184" s="56"/>
      <c r="D184" s="56"/>
    </row>
    <row r="185" spans="1:4" s="22" customFormat="1" ht="15" customHeight="1" x14ac:dyDescent="0.2">
      <c r="A185" s="56"/>
      <c r="B185" s="56"/>
      <c r="C185" s="56"/>
      <c r="D185" s="56"/>
    </row>
    <row r="186" spans="1:4" s="22" customFormat="1" ht="15" customHeight="1" x14ac:dyDescent="0.2">
      <c r="A186" s="56"/>
      <c r="B186" s="56"/>
      <c r="C186" s="56"/>
      <c r="D186" s="56"/>
    </row>
    <row r="187" spans="1:4" s="22" customFormat="1" ht="15" customHeight="1" x14ac:dyDescent="0.2">
      <c r="A187" s="56"/>
      <c r="B187" s="56"/>
      <c r="C187" s="56"/>
      <c r="D187" s="56"/>
    </row>
    <row r="188" spans="1:4" s="22" customFormat="1" ht="15" customHeight="1" x14ac:dyDescent="0.2">
      <c r="A188" s="56"/>
      <c r="B188" s="56"/>
      <c r="C188" s="56"/>
      <c r="D188" s="56"/>
    </row>
    <row r="189" spans="1:4" s="22" customFormat="1" ht="15" customHeight="1" x14ac:dyDescent="0.2">
      <c r="A189" s="56"/>
      <c r="B189" s="56"/>
      <c r="C189" s="56"/>
      <c r="D189" s="56"/>
    </row>
    <row r="190" spans="1:4" s="22" customFormat="1" ht="15" customHeight="1" x14ac:dyDescent="0.2">
      <c r="A190" s="56"/>
      <c r="B190" s="56"/>
      <c r="C190" s="56"/>
      <c r="D190" s="56"/>
    </row>
    <row r="191" spans="1:4" s="22" customFormat="1" ht="15" customHeight="1" x14ac:dyDescent="0.2">
      <c r="A191" s="56"/>
      <c r="B191" s="56"/>
      <c r="C191" s="56"/>
      <c r="D191" s="56"/>
    </row>
    <row r="192" spans="1:4" s="22" customFormat="1" ht="15" customHeight="1" x14ac:dyDescent="0.2">
      <c r="A192" s="56"/>
      <c r="B192" s="56"/>
      <c r="C192" s="56"/>
      <c r="D192" s="56"/>
    </row>
    <row r="193" spans="1:4" s="22" customFormat="1" ht="15" customHeight="1" x14ac:dyDescent="0.2">
      <c r="A193" s="56"/>
      <c r="B193" s="56"/>
      <c r="C193" s="56"/>
      <c r="D193" s="56"/>
    </row>
    <row r="194" spans="1:4" s="22" customFormat="1" ht="15" customHeight="1" x14ac:dyDescent="0.2">
      <c r="A194" s="56"/>
      <c r="B194" s="56"/>
      <c r="C194" s="56"/>
      <c r="D194" s="56"/>
    </row>
    <row r="195" spans="1:4" s="22" customFormat="1" ht="15" customHeight="1" x14ac:dyDescent="0.2">
      <c r="A195" s="56"/>
      <c r="B195" s="56"/>
      <c r="C195" s="56"/>
      <c r="D195" s="56"/>
    </row>
    <row r="196" spans="1:4" s="22" customFormat="1" ht="15" customHeight="1" x14ac:dyDescent="0.2">
      <c r="A196" s="56"/>
      <c r="B196" s="56"/>
      <c r="C196" s="56"/>
      <c r="D196" s="56"/>
    </row>
    <row r="197" spans="1:4" s="22" customFormat="1" ht="15" customHeight="1" x14ac:dyDescent="0.2">
      <c r="A197" s="56"/>
      <c r="B197" s="56"/>
      <c r="C197" s="56"/>
      <c r="D197" s="56"/>
    </row>
    <row r="198" spans="1:4" s="22" customFormat="1" ht="15" customHeight="1" x14ac:dyDescent="0.2">
      <c r="A198" s="56"/>
      <c r="B198" s="56"/>
      <c r="C198" s="56"/>
      <c r="D198" s="56"/>
    </row>
    <row r="199" spans="1:4" s="22" customFormat="1" ht="15" customHeight="1" x14ac:dyDescent="0.2">
      <c r="A199" s="56"/>
      <c r="B199" s="56"/>
      <c r="C199" s="56"/>
      <c r="D199" s="56"/>
    </row>
    <row r="200" spans="1:4" s="22" customFormat="1" ht="15" customHeight="1" x14ac:dyDescent="0.2">
      <c r="A200" s="56"/>
      <c r="B200" s="56"/>
      <c r="C200" s="56"/>
      <c r="D200" s="56"/>
    </row>
    <row r="201" spans="1:4" s="22" customFormat="1" ht="15" customHeight="1" x14ac:dyDescent="0.2">
      <c r="A201" s="56"/>
      <c r="B201" s="56"/>
      <c r="C201" s="56"/>
      <c r="D201" s="56"/>
    </row>
    <row r="202" spans="1:4" s="22" customFormat="1" ht="15" customHeight="1" x14ac:dyDescent="0.2">
      <c r="A202" s="56"/>
      <c r="B202" s="56"/>
      <c r="C202" s="56"/>
      <c r="D202" s="56"/>
    </row>
    <row r="203" spans="1:4" s="22" customFormat="1" ht="15" customHeight="1" x14ac:dyDescent="0.2">
      <c r="A203" s="56"/>
      <c r="B203" s="56"/>
      <c r="C203" s="56"/>
      <c r="D203" s="56"/>
    </row>
    <row r="204" spans="1:4" s="22" customFormat="1" ht="15" customHeight="1" x14ac:dyDescent="0.2">
      <c r="A204" s="56"/>
      <c r="B204" s="56"/>
      <c r="C204" s="56"/>
      <c r="D204" s="56"/>
    </row>
    <row r="205" spans="1:4" s="22" customFormat="1" ht="15" customHeight="1" x14ac:dyDescent="0.2">
      <c r="A205" s="56"/>
      <c r="B205" s="56"/>
      <c r="C205" s="56"/>
      <c r="D205" s="56"/>
    </row>
    <row r="206" spans="1:4" s="22" customFormat="1" ht="15" customHeight="1" x14ac:dyDescent="0.2">
      <c r="A206" s="56"/>
      <c r="B206" s="56"/>
      <c r="C206" s="56"/>
      <c r="D206" s="56"/>
    </row>
    <row r="207" spans="1:4" s="22" customFormat="1" ht="15" customHeight="1" x14ac:dyDescent="0.2">
      <c r="A207" s="56"/>
      <c r="B207" s="56"/>
      <c r="C207" s="56"/>
      <c r="D207" s="56"/>
    </row>
    <row r="208" spans="1:4" s="22" customFormat="1" ht="15" customHeight="1" x14ac:dyDescent="0.2">
      <c r="A208" s="56"/>
      <c r="B208" s="56"/>
      <c r="C208" s="56"/>
      <c r="D208" s="56"/>
    </row>
    <row r="209" spans="1:4" s="22" customFormat="1" ht="15" customHeight="1" x14ac:dyDescent="0.2">
      <c r="A209" s="56"/>
      <c r="B209" s="56"/>
      <c r="C209" s="56"/>
      <c r="D209" s="56"/>
    </row>
    <row r="210" spans="1:4" s="22" customFormat="1" ht="15" customHeight="1" x14ac:dyDescent="0.2">
      <c r="A210" s="56"/>
      <c r="B210" s="56"/>
      <c r="C210" s="56"/>
      <c r="D210" s="56"/>
    </row>
    <row r="211" spans="1:4" s="22" customFormat="1" ht="15" customHeight="1" x14ac:dyDescent="0.2">
      <c r="A211" s="56"/>
      <c r="B211" s="56"/>
      <c r="C211" s="56"/>
      <c r="D211" s="56"/>
    </row>
    <row r="212" spans="1:4" s="22" customFormat="1" ht="15" customHeight="1" x14ac:dyDescent="0.2">
      <c r="A212" s="56"/>
      <c r="B212" s="56"/>
      <c r="C212" s="56"/>
      <c r="D212" s="56"/>
    </row>
    <row r="213" spans="1:4" s="22" customFormat="1" ht="15" customHeight="1" x14ac:dyDescent="0.2">
      <c r="A213" s="56"/>
      <c r="B213" s="56"/>
      <c r="C213" s="56"/>
      <c r="D213" s="56"/>
    </row>
    <row r="214" spans="1:4" s="22" customFormat="1" ht="15" customHeight="1" x14ac:dyDescent="0.2">
      <c r="A214" s="56"/>
      <c r="B214" s="56"/>
      <c r="C214" s="56"/>
      <c r="D214" s="56"/>
    </row>
    <row r="215" spans="1:4" s="22" customFormat="1" ht="15" customHeight="1" x14ac:dyDescent="0.2">
      <c r="A215" s="56"/>
      <c r="B215" s="56"/>
      <c r="C215" s="56"/>
      <c r="D215" s="56"/>
    </row>
    <row r="216" spans="1:4" s="22" customFormat="1" ht="15" customHeight="1" x14ac:dyDescent="0.2">
      <c r="A216" s="56"/>
      <c r="B216" s="56"/>
      <c r="C216" s="56"/>
      <c r="D216" s="56"/>
    </row>
    <row r="217" spans="1:4" s="22" customFormat="1" ht="15" customHeight="1" x14ac:dyDescent="0.2">
      <c r="A217" s="56"/>
      <c r="B217" s="56"/>
      <c r="C217" s="56"/>
      <c r="D217" s="56"/>
    </row>
    <row r="218" spans="1:4" s="22" customFormat="1" ht="15" customHeight="1" x14ac:dyDescent="0.2">
      <c r="A218" s="56"/>
      <c r="B218" s="56"/>
      <c r="C218" s="56"/>
      <c r="D218" s="56"/>
    </row>
    <row r="219" spans="1:4" s="22" customFormat="1" ht="15" customHeight="1" x14ac:dyDescent="0.2">
      <c r="A219" s="56"/>
      <c r="B219" s="56"/>
      <c r="C219" s="56"/>
      <c r="D219" s="56"/>
    </row>
    <row r="220" spans="1:4" s="22" customFormat="1" ht="15" customHeight="1" x14ac:dyDescent="0.2">
      <c r="A220" s="56"/>
      <c r="B220" s="56"/>
      <c r="C220" s="56"/>
      <c r="D220" s="56"/>
    </row>
    <row r="221" spans="1:4" s="22" customFormat="1" ht="15" customHeight="1" x14ac:dyDescent="0.2">
      <c r="A221" s="56"/>
      <c r="B221" s="56"/>
      <c r="C221" s="56"/>
      <c r="D221" s="56"/>
    </row>
    <row r="222" spans="1:4" s="22" customFormat="1" ht="15" customHeight="1" x14ac:dyDescent="0.2">
      <c r="A222" s="56"/>
      <c r="B222" s="56"/>
      <c r="C222" s="56"/>
      <c r="D222" s="56"/>
    </row>
    <row r="223" spans="1:4" s="22" customFormat="1" ht="15" customHeight="1" x14ac:dyDescent="0.2">
      <c r="A223" s="56"/>
      <c r="B223" s="56"/>
      <c r="C223" s="56"/>
      <c r="D223" s="56"/>
    </row>
    <row r="224" spans="1:4" s="22" customFormat="1" ht="15" customHeight="1" x14ac:dyDescent="0.2">
      <c r="A224" s="56"/>
      <c r="B224" s="56"/>
      <c r="C224" s="56"/>
      <c r="D224" s="56"/>
    </row>
    <row r="225" spans="1:4" s="22" customFormat="1" ht="15" customHeight="1" x14ac:dyDescent="0.2">
      <c r="A225" s="56"/>
      <c r="B225" s="56"/>
      <c r="C225" s="56"/>
      <c r="D225" s="56"/>
    </row>
    <row r="226" spans="1:4" s="22" customFormat="1" ht="15" customHeight="1" x14ac:dyDescent="0.2">
      <c r="A226" s="56"/>
      <c r="B226" s="56"/>
      <c r="C226" s="56"/>
      <c r="D226" s="56"/>
    </row>
    <row r="227" spans="1:4" s="22" customFormat="1" ht="15" customHeight="1" x14ac:dyDescent="0.2">
      <c r="A227" s="56"/>
      <c r="B227" s="56"/>
      <c r="C227" s="56"/>
      <c r="D227" s="56"/>
    </row>
    <row r="228" spans="1:4" s="22" customFormat="1" ht="15" customHeight="1" x14ac:dyDescent="0.2">
      <c r="A228" s="56"/>
      <c r="B228" s="56"/>
      <c r="C228" s="56"/>
      <c r="D228" s="56"/>
    </row>
    <row r="229" spans="1:4" s="22" customFormat="1" ht="15" customHeight="1" x14ac:dyDescent="0.2">
      <c r="A229" s="56"/>
      <c r="B229" s="56"/>
      <c r="C229" s="56"/>
      <c r="D229" s="56"/>
    </row>
    <row r="230" spans="1:4" s="22" customFormat="1" ht="15" customHeight="1" x14ac:dyDescent="0.2">
      <c r="A230" s="56"/>
      <c r="B230" s="56"/>
      <c r="C230" s="56"/>
      <c r="D230" s="56"/>
    </row>
    <row r="231" spans="1:4" s="22" customFormat="1" ht="15" customHeight="1" x14ac:dyDescent="0.2">
      <c r="A231" s="56"/>
      <c r="B231" s="56"/>
      <c r="C231" s="56"/>
      <c r="D231" s="56"/>
    </row>
    <row r="232" spans="1:4" s="22" customFormat="1" ht="15" customHeight="1" x14ac:dyDescent="0.2">
      <c r="A232" s="56"/>
      <c r="B232" s="56"/>
      <c r="C232" s="56"/>
      <c r="D232" s="56"/>
    </row>
    <row r="233" spans="1:4" s="22" customFormat="1" ht="15" customHeight="1" x14ac:dyDescent="0.2">
      <c r="A233" s="56"/>
      <c r="B233" s="56"/>
      <c r="C233" s="56"/>
      <c r="D233" s="56"/>
    </row>
    <row r="234" spans="1:4" s="22" customFormat="1" ht="15" customHeight="1" x14ac:dyDescent="0.2">
      <c r="A234" s="56"/>
      <c r="B234" s="56"/>
      <c r="C234" s="56"/>
      <c r="D234" s="56"/>
    </row>
    <row r="235" spans="1:4" s="22" customFormat="1" ht="15" customHeight="1" x14ac:dyDescent="0.2">
      <c r="A235" s="56"/>
      <c r="B235" s="56"/>
      <c r="C235" s="56"/>
      <c r="D235" s="56"/>
    </row>
    <row r="236" spans="1:4" s="22" customFormat="1" ht="15" customHeight="1" x14ac:dyDescent="0.2">
      <c r="A236" s="56"/>
      <c r="B236" s="56"/>
      <c r="C236" s="56"/>
      <c r="D236" s="56"/>
    </row>
    <row r="237" spans="1:4" s="22" customFormat="1" ht="15" customHeight="1" x14ac:dyDescent="0.2">
      <c r="A237" s="56"/>
      <c r="B237" s="56"/>
      <c r="C237" s="56"/>
      <c r="D237" s="56"/>
    </row>
    <row r="238" spans="1:4" s="22" customFormat="1" ht="15" customHeight="1" x14ac:dyDescent="0.2">
      <c r="A238" s="56"/>
      <c r="B238" s="56"/>
      <c r="C238" s="56"/>
      <c r="D238" s="56"/>
    </row>
    <row r="239" spans="1:4" s="22" customFormat="1" ht="15" customHeight="1" x14ac:dyDescent="0.2">
      <c r="A239" s="56"/>
      <c r="B239" s="56"/>
      <c r="C239" s="56"/>
      <c r="D239" s="56"/>
    </row>
    <row r="240" spans="1:4" s="22" customFormat="1" ht="15" customHeight="1" x14ac:dyDescent="0.2">
      <c r="A240" s="56"/>
      <c r="B240" s="56"/>
      <c r="C240" s="56"/>
      <c r="D240" s="56"/>
    </row>
    <row r="241" spans="1:4" s="22" customFormat="1" ht="15" customHeight="1" x14ac:dyDescent="0.2">
      <c r="A241" s="56"/>
      <c r="B241" s="56"/>
      <c r="C241" s="56"/>
      <c r="D241" s="56"/>
    </row>
    <row r="242" spans="1:4" s="22" customFormat="1" ht="15" customHeight="1" x14ac:dyDescent="0.2">
      <c r="A242" s="56"/>
      <c r="B242" s="56"/>
      <c r="C242" s="56"/>
      <c r="D242" s="56"/>
    </row>
    <row r="243" spans="1:4" s="22" customFormat="1" ht="15" customHeight="1" x14ac:dyDescent="0.2">
      <c r="A243" s="56"/>
      <c r="B243" s="56"/>
      <c r="C243" s="56"/>
      <c r="D243" s="56"/>
    </row>
    <row r="244" spans="1:4" s="22" customFormat="1" ht="15" customHeight="1" x14ac:dyDescent="0.2">
      <c r="A244" s="56"/>
      <c r="B244" s="56"/>
      <c r="C244" s="56"/>
      <c r="D244" s="56"/>
    </row>
    <row r="245" spans="1:4" s="22" customFormat="1" ht="15" customHeight="1" x14ac:dyDescent="0.2">
      <c r="A245" s="56"/>
      <c r="B245" s="56"/>
      <c r="C245" s="56"/>
      <c r="D245" s="56"/>
    </row>
    <row r="246" spans="1:4" s="22" customFormat="1" ht="15" customHeight="1" x14ac:dyDescent="0.2">
      <c r="A246" s="56"/>
      <c r="B246" s="56"/>
      <c r="C246" s="56"/>
      <c r="D246" s="56"/>
    </row>
    <row r="247" spans="1:4" s="22" customFormat="1" ht="15" customHeight="1" x14ac:dyDescent="0.2">
      <c r="A247" s="56"/>
      <c r="B247" s="56"/>
      <c r="C247" s="56"/>
      <c r="D247" s="56"/>
    </row>
    <row r="248" spans="1:4" s="22" customFormat="1" ht="15" customHeight="1" x14ac:dyDescent="0.2">
      <c r="A248" s="56"/>
      <c r="B248" s="56"/>
      <c r="C248" s="56"/>
      <c r="D248" s="56"/>
    </row>
    <row r="249" spans="1:4" s="22" customFormat="1" ht="15" customHeight="1" x14ac:dyDescent="0.2">
      <c r="A249" s="56"/>
      <c r="B249" s="56"/>
      <c r="C249" s="56"/>
      <c r="D249" s="56"/>
    </row>
    <row r="250" spans="1:4" s="22" customFormat="1" ht="15" customHeight="1" x14ac:dyDescent="0.2">
      <c r="A250" s="56"/>
      <c r="B250" s="56"/>
      <c r="C250" s="56"/>
      <c r="D250" s="56"/>
    </row>
    <row r="251" spans="1:4" s="22" customFormat="1" ht="15" customHeight="1" x14ac:dyDescent="0.2">
      <c r="A251" s="56"/>
      <c r="B251" s="56"/>
      <c r="C251" s="56"/>
      <c r="D251" s="56"/>
    </row>
    <row r="252" spans="1:4" s="22" customFormat="1" ht="15" customHeight="1" x14ac:dyDescent="0.2">
      <c r="A252" s="56"/>
      <c r="B252" s="56"/>
      <c r="C252" s="56"/>
      <c r="D252" s="56"/>
    </row>
    <row r="253" spans="1:4" s="22" customFormat="1" ht="15" customHeight="1" x14ac:dyDescent="0.2">
      <c r="A253" s="56"/>
      <c r="B253" s="56"/>
      <c r="C253" s="56"/>
      <c r="D253" s="56"/>
    </row>
    <row r="254" spans="1:4" s="22" customFormat="1" ht="15" customHeight="1" x14ac:dyDescent="0.2">
      <c r="A254" s="56"/>
      <c r="B254" s="56"/>
      <c r="C254" s="56"/>
      <c r="D254" s="56"/>
    </row>
    <row r="255" spans="1:4" s="22" customFormat="1" ht="15" customHeight="1" x14ac:dyDescent="0.2">
      <c r="A255" s="56"/>
      <c r="B255" s="56"/>
      <c r="C255" s="56"/>
      <c r="D255" s="56"/>
    </row>
    <row r="256" spans="1:4" s="22" customFormat="1" ht="15" customHeight="1" x14ac:dyDescent="0.2">
      <c r="A256" s="56"/>
      <c r="B256" s="56"/>
      <c r="C256" s="56"/>
      <c r="D256" s="56"/>
    </row>
    <row r="257" spans="1:4" s="22" customFormat="1" ht="15" customHeight="1" x14ac:dyDescent="0.2">
      <c r="A257" s="56"/>
      <c r="B257" s="56"/>
      <c r="C257" s="56"/>
      <c r="D257" s="56"/>
    </row>
    <row r="258" spans="1:4" s="22" customFormat="1" ht="15" customHeight="1" x14ac:dyDescent="0.2">
      <c r="A258" s="56"/>
      <c r="B258" s="56"/>
      <c r="C258" s="56"/>
      <c r="D258" s="56"/>
    </row>
    <row r="259" spans="1:4" s="22" customFormat="1" ht="15" customHeight="1" x14ac:dyDescent="0.2">
      <c r="A259" s="56"/>
      <c r="B259" s="56"/>
      <c r="C259" s="56"/>
      <c r="D259" s="56"/>
    </row>
    <row r="260" spans="1:4" s="22" customFormat="1" ht="15" customHeight="1" x14ac:dyDescent="0.2">
      <c r="A260" s="56"/>
      <c r="B260" s="56"/>
      <c r="C260" s="56"/>
      <c r="D260" s="56"/>
    </row>
    <row r="261" spans="1:4" s="22" customFormat="1" ht="15" customHeight="1" x14ac:dyDescent="0.2">
      <c r="A261" s="56"/>
      <c r="B261" s="56"/>
      <c r="C261" s="56"/>
      <c r="D261" s="56"/>
    </row>
    <row r="262" spans="1:4" s="22" customFormat="1" ht="15" customHeight="1" x14ac:dyDescent="0.2">
      <c r="A262" s="56"/>
      <c r="B262" s="56"/>
      <c r="C262" s="56"/>
      <c r="D262" s="56"/>
    </row>
    <row r="263" spans="1:4" s="22" customFormat="1" ht="15" customHeight="1" x14ac:dyDescent="0.2">
      <c r="A263" s="56"/>
      <c r="B263" s="56"/>
      <c r="C263" s="56"/>
      <c r="D263" s="56"/>
    </row>
    <row r="264" spans="1:4" s="22" customFormat="1" ht="15" customHeight="1" x14ac:dyDescent="0.2">
      <c r="A264" s="56"/>
      <c r="B264" s="56"/>
      <c r="C264" s="56"/>
      <c r="D264" s="56"/>
    </row>
    <row r="265" spans="1:4" s="22" customFormat="1" ht="15" customHeight="1" x14ac:dyDescent="0.2">
      <c r="A265" s="56"/>
      <c r="B265" s="56"/>
      <c r="C265" s="56"/>
      <c r="D265" s="56"/>
    </row>
    <row r="266" spans="1:4" s="22" customFormat="1" ht="15" customHeight="1" x14ac:dyDescent="0.2">
      <c r="A266" s="56"/>
      <c r="B266" s="56"/>
      <c r="C266" s="56"/>
      <c r="D266" s="56"/>
    </row>
    <row r="267" spans="1:4" s="22" customFormat="1" ht="15" customHeight="1" x14ac:dyDescent="0.2">
      <c r="A267" s="56"/>
      <c r="B267" s="56"/>
      <c r="C267" s="56"/>
      <c r="D267" s="56"/>
    </row>
    <row r="268" spans="1:4" s="22" customFormat="1" ht="15" customHeight="1" x14ac:dyDescent="0.2">
      <c r="A268" s="56"/>
      <c r="B268" s="56"/>
      <c r="C268" s="56"/>
      <c r="D268" s="56"/>
    </row>
    <row r="269" spans="1:4" s="22" customFormat="1" ht="15" customHeight="1" x14ac:dyDescent="0.2">
      <c r="A269" s="56"/>
      <c r="B269" s="56"/>
      <c r="C269" s="56"/>
      <c r="D269" s="56"/>
    </row>
    <row r="270" spans="1:4" s="22" customFormat="1" ht="15" customHeight="1" x14ac:dyDescent="0.2">
      <c r="A270" s="56"/>
      <c r="B270" s="56"/>
      <c r="C270" s="56"/>
      <c r="D270" s="56"/>
    </row>
    <row r="271" spans="1:4" s="22" customFormat="1" ht="15" customHeight="1" x14ac:dyDescent="0.2">
      <c r="A271" s="56"/>
      <c r="B271" s="56"/>
      <c r="C271" s="56"/>
      <c r="D271" s="56"/>
    </row>
    <row r="272" spans="1:4" s="22" customFormat="1" ht="15" customHeight="1" x14ac:dyDescent="0.2">
      <c r="A272" s="56"/>
      <c r="B272" s="56"/>
      <c r="C272" s="56"/>
      <c r="D272" s="56"/>
    </row>
    <row r="273" spans="1:4" s="22" customFormat="1" ht="15" customHeight="1" x14ac:dyDescent="0.2">
      <c r="A273" s="56"/>
      <c r="B273" s="56"/>
      <c r="C273" s="56"/>
      <c r="D273" s="56"/>
    </row>
    <row r="274" spans="1:4" s="22" customFormat="1" ht="15" customHeight="1" x14ac:dyDescent="0.2">
      <c r="A274" s="56"/>
      <c r="B274" s="56"/>
      <c r="C274" s="56"/>
      <c r="D274" s="56"/>
    </row>
    <row r="275" spans="1:4" s="22" customFormat="1" ht="15" customHeight="1" x14ac:dyDescent="0.2">
      <c r="A275" s="56"/>
      <c r="B275" s="56"/>
      <c r="C275" s="56"/>
      <c r="D275" s="56"/>
    </row>
    <row r="276" spans="1:4" s="22" customFormat="1" ht="15" customHeight="1" x14ac:dyDescent="0.2">
      <c r="A276" s="56"/>
      <c r="B276" s="56"/>
      <c r="C276" s="56"/>
      <c r="D276" s="56"/>
    </row>
    <row r="277" spans="1:4" s="22" customFormat="1" ht="15" customHeight="1" x14ac:dyDescent="0.2">
      <c r="A277" s="56"/>
      <c r="B277" s="56"/>
      <c r="C277" s="56"/>
      <c r="D277" s="56"/>
    </row>
    <row r="278" spans="1:4" s="22" customFormat="1" ht="15" customHeight="1" x14ac:dyDescent="0.2">
      <c r="A278" s="56"/>
      <c r="B278" s="56"/>
      <c r="C278" s="56"/>
      <c r="D278" s="56"/>
    </row>
    <row r="279" spans="1:4" s="22" customFormat="1" ht="15" customHeight="1" x14ac:dyDescent="0.2">
      <c r="A279" s="56"/>
      <c r="B279" s="56"/>
      <c r="C279" s="56"/>
      <c r="D279" s="56"/>
    </row>
    <row r="280" spans="1:4" s="22" customFormat="1" ht="15" customHeight="1" x14ac:dyDescent="0.2">
      <c r="A280" s="56"/>
      <c r="B280" s="56"/>
      <c r="C280" s="56"/>
      <c r="D280" s="56"/>
    </row>
    <row r="281" spans="1:4" s="22" customFormat="1" ht="15" customHeight="1" x14ac:dyDescent="0.2">
      <c r="A281" s="56"/>
      <c r="B281" s="56"/>
      <c r="C281" s="56"/>
      <c r="D281" s="56"/>
    </row>
    <row r="282" spans="1:4" s="22" customFormat="1" ht="15" customHeight="1" x14ac:dyDescent="0.2">
      <c r="A282" s="56"/>
      <c r="B282" s="56"/>
      <c r="C282" s="56"/>
      <c r="D282" s="56"/>
    </row>
    <row r="283" spans="1:4" s="22" customFormat="1" ht="15" customHeight="1" x14ac:dyDescent="0.2">
      <c r="A283" s="56"/>
      <c r="B283" s="56"/>
      <c r="C283" s="56"/>
      <c r="D283" s="56"/>
    </row>
    <row r="284" spans="1:4" s="22" customFormat="1" ht="15" customHeight="1" x14ac:dyDescent="0.2">
      <c r="A284" s="56"/>
      <c r="B284" s="56"/>
      <c r="C284" s="56"/>
      <c r="D284" s="56"/>
    </row>
    <row r="285" spans="1:4" s="22" customFormat="1" ht="15" customHeight="1" x14ac:dyDescent="0.2">
      <c r="A285" s="56"/>
      <c r="B285" s="56"/>
      <c r="C285" s="56"/>
      <c r="D285" s="56"/>
    </row>
    <row r="286" spans="1:4" s="22" customFormat="1" ht="15" customHeight="1" x14ac:dyDescent="0.2">
      <c r="A286" s="56"/>
      <c r="B286" s="56"/>
      <c r="C286" s="56"/>
      <c r="D286" s="56"/>
    </row>
    <row r="287" spans="1:4" s="22" customFormat="1" ht="15" customHeight="1" x14ac:dyDescent="0.2">
      <c r="A287" s="56"/>
      <c r="B287" s="56"/>
      <c r="C287" s="56"/>
      <c r="D287" s="56"/>
    </row>
    <row r="288" spans="1:4" s="22" customFormat="1" ht="15" customHeight="1" x14ac:dyDescent="0.2">
      <c r="A288" s="56"/>
      <c r="B288" s="56"/>
      <c r="C288" s="56"/>
      <c r="D288" s="56"/>
    </row>
    <row r="289" spans="1:4" s="22" customFormat="1" ht="15" customHeight="1" x14ac:dyDescent="0.2">
      <c r="A289" s="56"/>
      <c r="B289" s="56"/>
      <c r="C289" s="56"/>
      <c r="D289" s="56"/>
    </row>
    <row r="290" spans="1:4" s="22" customFormat="1" ht="15" customHeight="1" x14ac:dyDescent="0.2">
      <c r="A290" s="56"/>
      <c r="B290" s="56"/>
      <c r="C290" s="56"/>
      <c r="D290" s="56"/>
    </row>
    <row r="291" spans="1:4" s="22" customFormat="1" ht="15" customHeight="1" x14ac:dyDescent="0.2">
      <c r="A291" s="56"/>
      <c r="B291" s="56"/>
      <c r="C291" s="56"/>
      <c r="D291" s="56"/>
    </row>
    <row r="292" spans="1:4" s="22" customFormat="1" ht="15" customHeight="1" x14ac:dyDescent="0.2">
      <c r="A292" s="56"/>
      <c r="B292" s="56"/>
      <c r="C292" s="56"/>
      <c r="D292" s="56"/>
    </row>
    <row r="293" spans="1:4" s="22" customFormat="1" ht="15" customHeight="1" x14ac:dyDescent="0.2">
      <c r="A293" s="56"/>
      <c r="B293" s="56"/>
      <c r="C293" s="56"/>
      <c r="D293" s="56"/>
    </row>
    <row r="294" spans="1:4" s="22" customFormat="1" ht="15" customHeight="1" x14ac:dyDescent="0.2">
      <c r="A294" s="56"/>
      <c r="B294" s="56"/>
      <c r="C294" s="56"/>
      <c r="D294" s="56"/>
    </row>
    <row r="295" spans="1:4" s="22" customFormat="1" ht="15" customHeight="1" x14ac:dyDescent="0.2">
      <c r="A295" s="56"/>
      <c r="B295" s="56"/>
      <c r="C295" s="56"/>
      <c r="D295" s="56"/>
    </row>
    <row r="296" spans="1:4" s="22" customFormat="1" ht="15" customHeight="1" x14ac:dyDescent="0.2">
      <c r="A296" s="56"/>
      <c r="B296" s="56"/>
      <c r="C296" s="56"/>
      <c r="D296" s="56"/>
    </row>
    <row r="297" spans="1:4" s="22" customFormat="1" ht="15" customHeight="1" x14ac:dyDescent="0.2">
      <c r="A297" s="56"/>
      <c r="B297" s="56"/>
      <c r="C297" s="56"/>
      <c r="D297" s="56"/>
    </row>
    <row r="298" spans="1:4" s="22" customFormat="1" ht="15" customHeight="1" x14ac:dyDescent="0.2">
      <c r="A298" s="56"/>
      <c r="B298" s="56"/>
      <c r="C298" s="56"/>
      <c r="D298" s="56"/>
    </row>
    <row r="299" spans="1:4" s="22" customFormat="1" ht="15" customHeight="1" x14ac:dyDescent="0.2">
      <c r="A299" s="56"/>
      <c r="B299" s="56"/>
      <c r="C299" s="56"/>
      <c r="D299" s="56"/>
    </row>
    <row r="300" spans="1:4" s="22" customFormat="1" ht="15" customHeight="1" x14ac:dyDescent="0.2">
      <c r="A300" s="56"/>
      <c r="B300" s="56"/>
      <c r="C300" s="56"/>
      <c r="D300" s="56"/>
    </row>
    <row r="301" spans="1:4" s="22" customFormat="1" ht="15" customHeight="1" x14ac:dyDescent="0.2">
      <c r="A301" s="56"/>
      <c r="B301" s="56"/>
      <c r="C301" s="56"/>
      <c r="D301" s="56"/>
    </row>
    <row r="302" spans="1:4" s="22" customFormat="1" ht="15" customHeight="1" x14ac:dyDescent="0.2">
      <c r="A302" s="56"/>
      <c r="B302" s="56"/>
      <c r="C302" s="56"/>
      <c r="D302" s="56"/>
    </row>
    <row r="303" spans="1:4" s="22" customFormat="1" ht="15" customHeight="1" x14ac:dyDescent="0.2">
      <c r="A303" s="56"/>
      <c r="B303" s="56"/>
      <c r="C303" s="56"/>
      <c r="D303" s="56"/>
    </row>
    <row r="304" spans="1:4" s="22" customFormat="1" ht="15" customHeight="1" x14ac:dyDescent="0.2">
      <c r="A304" s="56"/>
      <c r="B304" s="56"/>
      <c r="C304" s="56"/>
      <c r="D304" s="56"/>
    </row>
    <row r="305" spans="1:4" s="22" customFormat="1" ht="15" customHeight="1" x14ac:dyDescent="0.2">
      <c r="A305" s="56"/>
      <c r="B305" s="56"/>
      <c r="C305" s="56"/>
      <c r="D305" s="56"/>
    </row>
    <row r="306" spans="1:4" s="22" customFormat="1" ht="15" customHeight="1" x14ac:dyDescent="0.2">
      <c r="A306" s="56"/>
      <c r="B306" s="56"/>
      <c r="C306" s="56"/>
      <c r="D306" s="56"/>
    </row>
    <row r="307" spans="1:4" s="22" customFormat="1" ht="15" customHeight="1" x14ac:dyDescent="0.2">
      <c r="A307" s="56"/>
      <c r="B307" s="56"/>
      <c r="C307" s="56"/>
      <c r="D307" s="56"/>
    </row>
    <row r="308" spans="1:4" s="22" customFormat="1" ht="15" customHeight="1" x14ac:dyDescent="0.2">
      <c r="A308" s="56"/>
      <c r="B308" s="56"/>
      <c r="C308" s="56"/>
      <c r="D308" s="56"/>
    </row>
    <row r="309" spans="1:4" s="22" customFormat="1" ht="15" customHeight="1" x14ac:dyDescent="0.2">
      <c r="A309" s="56"/>
      <c r="B309" s="56"/>
      <c r="C309" s="56"/>
      <c r="D309" s="56"/>
    </row>
    <row r="310" spans="1:4" s="22" customFormat="1" ht="15" customHeight="1" x14ac:dyDescent="0.2">
      <c r="A310" s="56"/>
      <c r="B310" s="56"/>
      <c r="C310" s="56"/>
      <c r="D310" s="56"/>
    </row>
    <row r="311" spans="1:4" s="22" customFormat="1" ht="15" customHeight="1" x14ac:dyDescent="0.2">
      <c r="A311" s="56"/>
      <c r="B311" s="56"/>
      <c r="C311" s="56"/>
      <c r="D311" s="56"/>
    </row>
    <row r="312" spans="1:4" s="22" customFormat="1" ht="15" customHeight="1" x14ac:dyDescent="0.2">
      <c r="A312" s="56"/>
      <c r="B312" s="56"/>
      <c r="C312" s="56"/>
      <c r="D312" s="56"/>
    </row>
    <row r="313" spans="1:4" s="22" customFormat="1" ht="15" customHeight="1" x14ac:dyDescent="0.2">
      <c r="A313" s="56"/>
      <c r="B313" s="56"/>
      <c r="C313" s="56"/>
      <c r="D313" s="56"/>
    </row>
    <row r="314" spans="1:4" s="22" customFormat="1" ht="15" customHeight="1" x14ac:dyDescent="0.2">
      <c r="A314" s="56"/>
      <c r="B314" s="56"/>
      <c r="C314" s="56"/>
      <c r="D314" s="56"/>
    </row>
    <row r="315" spans="1:4" s="22" customFormat="1" ht="15" customHeight="1" x14ac:dyDescent="0.2">
      <c r="A315" s="56"/>
      <c r="B315" s="56"/>
      <c r="C315" s="56"/>
      <c r="D315" s="56"/>
    </row>
    <row r="316" spans="1:4" s="22" customFormat="1" ht="15" customHeight="1" x14ac:dyDescent="0.2">
      <c r="A316" s="56"/>
      <c r="B316" s="56"/>
      <c r="C316" s="56"/>
      <c r="D316" s="56"/>
    </row>
    <row r="317" spans="1:4" s="22" customFormat="1" ht="15" customHeight="1" x14ac:dyDescent="0.2">
      <c r="A317" s="56"/>
      <c r="B317" s="56"/>
      <c r="C317" s="56"/>
      <c r="D317" s="56"/>
    </row>
    <row r="318" spans="1:4" s="22" customFormat="1" ht="15" customHeight="1" x14ac:dyDescent="0.2">
      <c r="A318" s="56"/>
      <c r="B318" s="56"/>
      <c r="C318" s="56"/>
      <c r="D318" s="56"/>
    </row>
    <row r="319" spans="1:4" s="22" customFormat="1" ht="15" customHeight="1" x14ac:dyDescent="0.2">
      <c r="A319" s="56"/>
      <c r="B319" s="56"/>
      <c r="C319" s="56"/>
      <c r="D319" s="56"/>
    </row>
    <row r="320" spans="1:4" s="22" customFormat="1" ht="15" customHeight="1" x14ac:dyDescent="0.2">
      <c r="A320" s="56"/>
      <c r="B320" s="56"/>
      <c r="C320" s="56"/>
      <c r="D320" s="56"/>
    </row>
    <row r="321" spans="1:4" s="22" customFormat="1" ht="15" customHeight="1" x14ac:dyDescent="0.2">
      <c r="A321" s="56"/>
      <c r="B321" s="56"/>
      <c r="C321" s="56"/>
      <c r="D321" s="56"/>
    </row>
    <row r="322" spans="1:4" s="22" customFormat="1" ht="15" customHeight="1" x14ac:dyDescent="0.2">
      <c r="A322" s="56"/>
      <c r="B322" s="56"/>
      <c r="C322" s="56"/>
      <c r="D322" s="56"/>
    </row>
    <row r="323" spans="1:4" s="22" customFormat="1" ht="15" customHeight="1" x14ac:dyDescent="0.2">
      <c r="A323" s="56"/>
      <c r="B323" s="56"/>
      <c r="C323" s="56"/>
      <c r="D323" s="56"/>
    </row>
    <row r="324" spans="1:4" s="22" customFormat="1" ht="15" customHeight="1" x14ac:dyDescent="0.2">
      <c r="A324" s="56"/>
      <c r="B324" s="56"/>
      <c r="C324" s="56"/>
      <c r="D324" s="56"/>
    </row>
    <row r="325" spans="1:4" s="22" customFormat="1" ht="15" customHeight="1" x14ac:dyDescent="0.2">
      <c r="A325" s="56"/>
      <c r="B325" s="56"/>
      <c r="C325" s="56"/>
      <c r="D325" s="56"/>
    </row>
    <row r="326" spans="1:4" s="22" customFormat="1" ht="15" customHeight="1" x14ac:dyDescent="0.2">
      <c r="A326" s="56"/>
      <c r="B326" s="56"/>
      <c r="C326" s="56"/>
      <c r="D326" s="56"/>
    </row>
    <row r="327" spans="1:4" s="22" customFormat="1" ht="15" customHeight="1" x14ac:dyDescent="0.2">
      <c r="A327" s="56"/>
      <c r="B327" s="56"/>
      <c r="C327" s="56"/>
      <c r="D327" s="56"/>
    </row>
    <row r="328" spans="1:4" s="22" customFormat="1" ht="15" customHeight="1" x14ac:dyDescent="0.2">
      <c r="A328" s="56"/>
      <c r="B328" s="56"/>
      <c r="C328" s="56"/>
      <c r="D328" s="56"/>
    </row>
    <row r="329" spans="1:4" s="22" customFormat="1" ht="15" customHeight="1" x14ac:dyDescent="0.2">
      <c r="A329" s="56"/>
      <c r="B329" s="56"/>
      <c r="C329" s="56"/>
      <c r="D329" s="56"/>
    </row>
  </sheetData>
  <mergeCells count="1">
    <mergeCell ref="A79:B79"/>
  </mergeCells>
  <phoneticPr fontId="12" type="noConversion"/>
  <pageMargins left="0.75" right="0.75" top="1" bottom="1" header="0.511811024" footer="0.511811024"/>
  <pageSetup orientation="portrait" horizontalDpi="0" verticalDpi="0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W453"/>
  <sheetViews>
    <sheetView zoomScale="75" workbookViewId="0">
      <selection activeCell="N31" sqref="N31"/>
    </sheetView>
  </sheetViews>
  <sheetFormatPr baseColWidth="10" defaultColWidth="5.7109375" defaultRowHeight="12.75" x14ac:dyDescent="0.2"/>
  <cols>
    <col min="1" max="1" width="8.28515625" style="23" customWidth="1"/>
    <col min="2" max="2" width="7.28515625" style="24" customWidth="1"/>
    <col min="3" max="3" width="7.85546875" style="24" customWidth="1"/>
    <col min="4" max="6" width="5.7109375" style="24" customWidth="1"/>
    <col min="7" max="16384" width="5.7109375" style="23"/>
  </cols>
  <sheetData>
    <row r="1" spans="1:101" x14ac:dyDescent="0.2">
      <c r="A1" s="23" t="s">
        <v>0</v>
      </c>
      <c r="B1" s="24" t="s">
        <v>1</v>
      </c>
      <c r="C1" s="24" t="b">
        <v>0</v>
      </c>
      <c r="D1" s="24" t="s">
        <v>80</v>
      </c>
      <c r="E1" s="24" t="s">
        <v>81</v>
      </c>
      <c r="F1" s="24" t="s">
        <v>82</v>
      </c>
      <c r="G1" s="24">
        <v>1</v>
      </c>
      <c r="H1" s="24">
        <v>2</v>
      </c>
      <c r="I1" s="24">
        <v>3</v>
      </c>
      <c r="J1" s="24">
        <v>4</v>
      </c>
      <c r="K1" s="24">
        <v>6</v>
      </c>
      <c r="L1" s="24">
        <v>7</v>
      </c>
      <c r="M1" s="24">
        <v>8</v>
      </c>
      <c r="N1" s="24">
        <v>9</v>
      </c>
      <c r="AD1" s="23" t="s">
        <v>83</v>
      </c>
      <c r="AE1" s="23" t="s">
        <v>80</v>
      </c>
      <c r="AF1" s="23" t="s">
        <v>83</v>
      </c>
      <c r="AG1" s="23" t="s">
        <v>81</v>
      </c>
      <c r="AH1" s="23" t="s">
        <v>83</v>
      </c>
      <c r="AI1" s="23" t="s">
        <v>82</v>
      </c>
      <c r="AJ1" s="23" t="s">
        <v>83</v>
      </c>
      <c r="AK1" s="23">
        <v>1</v>
      </c>
      <c r="AL1" s="23" t="s">
        <v>83</v>
      </c>
      <c r="AM1" s="23" t="s">
        <v>84</v>
      </c>
      <c r="AN1" s="23" t="s">
        <v>83</v>
      </c>
      <c r="AO1" s="23">
        <v>2</v>
      </c>
      <c r="AP1" s="23" t="s">
        <v>83</v>
      </c>
      <c r="AQ1" s="23" t="s">
        <v>85</v>
      </c>
      <c r="AR1" s="23" t="s">
        <v>83</v>
      </c>
      <c r="AS1" s="23">
        <v>3</v>
      </c>
      <c r="AT1" s="23" t="s">
        <v>83</v>
      </c>
      <c r="AU1" s="23" t="s">
        <v>86</v>
      </c>
      <c r="AV1" s="23" t="s">
        <v>83</v>
      </c>
      <c r="AW1" s="25" t="s">
        <v>87</v>
      </c>
      <c r="AX1" s="23" t="s">
        <v>83</v>
      </c>
      <c r="AY1" s="25" t="s">
        <v>88</v>
      </c>
      <c r="AZ1" s="23" t="s">
        <v>83</v>
      </c>
      <c r="BA1" s="23">
        <v>7</v>
      </c>
      <c r="BB1" s="23" t="s">
        <v>83</v>
      </c>
      <c r="BC1" s="23" t="s">
        <v>89</v>
      </c>
      <c r="BD1" s="23" t="s">
        <v>83</v>
      </c>
      <c r="BE1" s="23">
        <v>8</v>
      </c>
      <c r="BF1" s="23" t="s">
        <v>83</v>
      </c>
      <c r="BG1" s="23" t="s">
        <v>90</v>
      </c>
      <c r="BH1" s="23" t="s">
        <v>83</v>
      </c>
      <c r="BI1" s="25" t="s">
        <v>91</v>
      </c>
      <c r="BJ1" s="23" t="s">
        <v>83</v>
      </c>
      <c r="BP1" s="23" t="s">
        <v>83</v>
      </c>
      <c r="BQ1" s="23" t="s">
        <v>80</v>
      </c>
      <c r="BR1" s="23" t="s">
        <v>83</v>
      </c>
      <c r="BS1" s="23" t="s">
        <v>81</v>
      </c>
      <c r="BT1" s="23" t="s">
        <v>83</v>
      </c>
      <c r="BU1" s="23" t="s">
        <v>82</v>
      </c>
      <c r="BV1" s="23" t="s">
        <v>83</v>
      </c>
      <c r="BW1" s="23">
        <v>1</v>
      </c>
      <c r="BX1" s="23" t="s">
        <v>83</v>
      </c>
      <c r="BY1" s="23" t="s">
        <v>84</v>
      </c>
      <c r="BZ1" s="23" t="s">
        <v>83</v>
      </c>
      <c r="CA1" s="23">
        <v>2</v>
      </c>
      <c r="CB1" s="23" t="s">
        <v>83</v>
      </c>
      <c r="CC1" s="23" t="s">
        <v>85</v>
      </c>
      <c r="CD1" s="23" t="s">
        <v>83</v>
      </c>
      <c r="CE1" s="23">
        <v>3</v>
      </c>
      <c r="CF1" s="23" t="s">
        <v>83</v>
      </c>
      <c r="CG1" s="23" t="s">
        <v>86</v>
      </c>
      <c r="CH1" s="23" t="s">
        <v>83</v>
      </c>
      <c r="CI1" s="25" t="s">
        <v>87</v>
      </c>
      <c r="CJ1" s="23" t="s">
        <v>83</v>
      </c>
      <c r="CK1" s="25" t="s">
        <v>88</v>
      </c>
      <c r="CL1" s="23" t="s">
        <v>83</v>
      </c>
      <c r="CM1" s="23">
        <v>7</v>
      </c>
      <c r="CN1" s="23" t="s">
        <v>83</v>
      </c>
      <c r="CO1" s="23" t="s">
        <v>89</v>
      </c>
      <c r="CP1" s="23" t="s">
        <v>83</v>
      </c>
      <c r="CQ1" s="23">
        <v>8</v>
      </c>
      <c r="CR1" s="23" t="s">
        <v>83</v>
      </c>
      <c r="CS1" s="23" t="s">
        <v>90</v>
      </c>
      <c r="CT1" s="23" t="s">
        <v>83</v>
      </c>
      <c r="CU1" s="25" t="s">
        <v>91</v>
      </c>
      <c r="CV1" s="23" t="s">
        <v>83</v>
      </c>
    </row>
    <row r="2" spans="1:101" x14ac:dyDescent="0.2">
      <c r="A2" s="26" t="s">
        <v>2</v>
      </c>
      <c r="B2" s="24">
        <f>SUM(INGRESO!C2)</f>
        <v>0</v>
      </c>
      <c r="C2" s="24">
        <f>SUM(INGRESO!D2)</f>
        <v>0</v>
      </c>
      <c r="G2" s="24">
        <f>C2</f>
        <v>0</v>
      </c>
      <c r="H2" s="24">
        <f>C2</f>
        <v>0</v>
      </c>
      <c r="I2" s="24">
        <f>C2</f>
        <v>0</v>
      </c>
      <c r="J2" s="24"/>
      <c r="K2" s="24"/>
      <c r="L2" s="24"/>
      <c r="M2" s="24"/>
      <c r="N2" s="24"/>
      <c r="AK2" s="23" t="s">
        <v>92</v>
      </c>
      <c r="AM2" s="23" t="s">
        <v>81</v>
      </c>
      <c r="AO2" s="23" t="s">
        <v>92</v>
      </c>
      <c r="AQ2" s="23" t="s">
        <v>81</v>
      </c>
      <c r="AS2" s="23" t="s">
        <v>92</v>
      </c>
      <c r="AU2" s="23" t="s">
        <v>81</v>
      </c>
      <c r="AW2" s="23" t="s">
        <v>93</v>
      </c>
      <c r="AY2" s="23" t="s">
        <v>93</v>
      </c>
      <c r="BA2" s="23" t="s">
        <v>92</v>
      </c>
      <c r="BC2" s="23" t="s">
        <v>81</v>
      </c>
      <c r="BE2" s="23" t="s">
        <v>92</v>
      </c>
      <c r="BG2" s="23" t="s">
        <v>81</v>
      </c>
      <c r="BI2" s="23" t="s">
        <v>93</v>
      </c>
      <c r="BW2" s="23" t="s">
        <v>92</v>
      </c>
      <c r="BY2" s="23" t="s">
        <v>81</v>
      </c>
      <c r="CA2" s="23" t="s">
        <v>92</v>
      </c>
      <c r="CC2" s="23" t="s">
        <v>81</v>
      </c>
      <c r="CE2" s="23" t="s">
        <v>92</v>
      </c>
      <c r="CG2" s="23" t="s">
        <v>81</v>
      </c>
      <c r="CI2" s="23" t="s">
        <v>93</v>
      </c>
      <c r="CK2" s="23" t="s">
        <v>93</v>
      </c>
      <c r="CM2" s="23" t="s">
        <v>92</v>
      </c>
      <c r="CO2" s="23" t="s">
        <v>81</v>
      </c>
      <c r="CQ2" s="23" t="s">
        <v>92</v>
      </c>
      <c r="CS2" s="23" t="s">
        <v>81</v>
      </c>
      <c r="CU2" s="23" t="s">
        <v>93</v>
      </c>
    </row>
    <row r="3" spans="1:101" x14ac:dyDescent="0.2">
      <c r="A3" s="26" t="s">
        <v>3</v>
      </c>
      <c r="B3" s="24">
        <f>SUM(INGRESO!C3)</f>
        <v>0</v>
      </c>
      <c r="C3" s="24">
        <f>SUM(INGRESO!D3)</f>
        <v>0</v>
      </c>
      <c r="G3" s="24">
        <f>C3</f>
        <v>0</v>
      </c>
      <c r="H3" s="24"/>
      <c r="I3" s="24">
        <f>C3</f>
        <v>0</v>
      </c>
      <c r="J3" s="24"/>
      <c r="K3" s="24"/>
      <c r="L3" s="24">
        <f>C3</f>
        <v>0</v>
      </c>
      <c r="M3" s="24"/>
      <c r="N3" s="24"/>
      <c r="AD3" s="23">
        <v>20</v>
      </c>
      <c r="AF3" s="23">
        <v>20</v>
      </c>
      <c r="AH3" s="23">
        <v>20</v>
      </c>
      <c r="AJ3" s="23">
        <v>20</v>
      </c>
      <c r="AL3" s="23">
        <v>20</v>
      </c>
      <c r="AN3" s="23">
        <v>20</v>
      </c>
      <c r="AP3" s="23">
        <v>20</v>
      </c>
      <c r="AR3" s="23">
        <v>20</v>
      </c>
      <c r="AT3" s="23">
        <v>20</v>
      </c>
      <c r="AV3" s="23">
        <v>20</v>
      </c>
      <c r="AW3" s="23">
        <v>6</v>
      </c>
      <c r="AX3" s="23">
        <v>20</v>
      </c>
      <c r="AZ3" s="23">
        <v>20</v>
      </c>
      <c r="BB3" s="23">
        <v>20</v>
      </c>
      <c r="BC3" s="23">
        <v>7</v>
      </c>
      <c r="BD3" s="23">
        <v>20</v>
      </c>
      <c r="BF3" s="23">
        <v>20</v>
      </c>
      <c r="BH3" s="23">
        <v>20</v>
      </c>
      <c r="BJ3" s="23">
        <v>20</v>
      </c>
      <c r="BP3" s="23">
        <v>20</v>
      </c>
      <c r="BQ3" s="23" t="s">
        <v>94</v>
      </c>
      <c r="BR3" s="23">
        <v>20</v>
      </c>
      <c r="BS3" s="23" t="s">
        <v>94</v>
      </c>
      <c r="BT3" s="23">
        <v>20</v>
      </c>
      <c r="BU3" s="23" t="s">
        <v>94</v>
      </c>
      <c r="BV3" s="23">
        <v>20</v>
      </c>
      <c r="BW3" s="23" t="s">
        <v>94</v>
      </c>
      <c r="BX3" s="23">
        <v>20</v>
      </c>
      <c r="BY3" s="23" t="s">
        <v>94</v>
      </c>
      <c r="BZ3" s="23">
        <v>20</v>
      </c>
      <c r="CA3" s="23" t="s">
        <v>94</v>
      </c>
      <c r="CB3" s="23">
        <v>20</v>
      </c>
      <c r="CC3" s="23" t="s">
        <v>94</v>
      </c>
      <c r="CD3" s="23">
        <v>20</v>
      </c>
      <c r="CE3" s="23" t="s">
        <v>94</v>
      </c>
      <c r="CF3" s="23">
        <v>20</v>
      </c>
      <c r="CG3" s="23" t="s">
        <v>94</v>
      </c>
      <c r="CH3" s="23">
        <v>20</v>
      </c>
      <c r="CI3" s="23" t="s">
        <v>94</v>
      </c>
      <c r="CJ3" s="23">
        <v>20</v>
      </c>
      <c r="CK3" s="23" t="s">
        <v>94</v>
      </c>
      <c r="CL3" s="23">
        <v>20</v>
      </c>
      <c r="CM3" s="23" t="s">
        <v>94</v>
      </c>
      <c r="CN3" s="23">
        <v>20</v>
      </c>
      <c r="CO3" s="23" t="s">
        <v>94</v>
      </c>
      <c r="CP3" s="23">
        <v>20</v>
      </c>
      <c r="CQ3" s="23" t="s">
        <v>94</v>
      </c>
      <c r="CR3" s="23">
        <v>20</v>
      </c>
      <c r="CS3" s="23" t="s">
        <v>94</v>
      </c>
      <c r="CT3" s="23">
        <v>20</v>
      </c>
      <c r="CU3" s="23" t="s">
        <v>94</v>
      </c>
      <c r="CV3" s="23">
        <v>20</v>
      </c>
      <c r="CW3" s="23" t="s">
        <v>94</v>
      </c>
    </row>
    <row r="4" spans="1:101" x14ac:dyDescent="0.2">
      <c r="A4" s="26" t="s">
        <v>4</v>
      </c>
      <c r="B4" s="24">
        <f>SUM(INGRESO!C4)</f>
        <v>0</v>
      </c>
      <c r="C4" s="24">
        <f>SUM(INGRESO!D4)</f>
        <v>0</v>
      </c>
      <c r="G4" s="24"/>
      <c r="H4" s="24">
        <f>C4</f>
        <v>0</v>
      </c>
      <c r="I4" s="24">
        <f>C4</f>
        <v>0</v>
      </c>
      <c r="J4" s="24">
        <f>C4</f>
        <v>0</v>
      </c>
      <c r="K4" s="24"/>
      <c r="L4" s="24">
        <f>C4</f>
        <v>0</v>
      </c>
      <c r="M4" s="24">
        <f>C4</f>
        <v>0</v>
      </c>
      <c r="N4" s="24"/>
      <c r="AD4" s="23">
        <v>21</v>
      </c>
      <c r="AF4" s="23">
        <v>21</v>
      </c>
      <c r="AH4" s="23">
        <v>21</v>
      </c>
      <c r="AJ4" s="23">
        <v>21</v>
      </c>
      <c r="AK4" s="23">
        <v>0</v>
      </c>
      <c r="AL4" s="23">
        <v>21</v>
      </c>
      <c r="AN4" s="23">
        <v>21</v>
      </c>
      <c r="AP4" s="23">
        <v>21</v>
      </c>
      <c r="AR4" s="23">
        <v>21</v>
      </c>
      <c r="AT4" s="23">
        <v>21</v>
      </c>
      <c r="AV4" s="23">
        <v>21</v>
      </c>
      <c r="AX4" s="23">
        <v>21</v>
      </c>
      <c r="AZ4" s="23">
        <v>21</v>
      </c>
      <c r="BA4" s="23">
        <v>9</v>
      </c>
      <c r="BB4" s="23">
        <v>21</v>
      </c>
      <c r="BD4" s="23">
        <v>21</v>
      </c>
      <c r="BE4" s="23">
        <v>7</v>
      </c>
      <c r="BF4" s="23">
        <v>21</v>
      </c>
      <c r="BH4" s="23">
        <v>21</v>
      </c>
      <c r="BI4" s="23">
        <v>5</v>
      </c>
      <c r="BJ4" s="23">
        <v>21</v>
      </c>
      <c r="BP4" s="23">
        <v>21</v>
      </c>
      <c r="BQ4" s="23" t="s">
        <v>94</v>
      </c>
      <c r="BR4" s="23">
        <v>21</v>
      </c>
      <c r="BS4" s="23" t="s">
        <v>94</v>
      </c>
      <c r="BT4" s="23">
        <v>21</v>
      </c>
      <c r="BU4" s="23" t="s">
        <v>94</v>
      </c>
      <c r="BV4" s="23">
        <v>21</v>
      </c>
      <c r="BW4" s="23" t="s">
        <v>94</v>
      </c>
      <c r="BX4" s="23">
        <v>21</v>
      </c>
      <c r="BY4" s="23" t="s">
        <v>94</v>
      </c>
      <c r="BZ4" s="23">
        <v>21</v>
      </c>
      <c r="CA4" s="23" t="s">
        <v>94</v>
      </c>
      <c r="CB4" s="23">
        <v>21</v>
      </c>
      <c r="CC4" s="23" t="s">
        <v>94</v>
      </c>
      <c r="CD4" s="23">
        <v>21</v>
      </c>
      <c r="CE4" s="23" t="s">
        <v>94</v>
      </c>
      <c r="CF4" s="23">
        <v>21</v>
      </c>
      <c r="CG4" s="23" t="s">
        <v>94</v>
      </c>
      <c r="CH4" s="23">
        <v>21</v>
      </c>
      <c r="CI4" s="23" t="s">
        <v>94</v>
      </c>
      <c r="CJ4" s="23">
        <v>21</v>
      </c>
      <c r="CK4" s="23" t="s">
        <v>94</v>
      </c>
      <c r="CL4" s="23">
        <v>21</v>
      </c>
      <c r="CM4" s="23" t="s">
        <v>94</v>
      </c>
      <c r="CN4" s="23">
        <v>21</v>
      </c>
      <c r="CO4" s="23" t="s">
        <v>94</v>
      </c>
      <c r="CP4" s="23">
        <v>21</v>
      </c>
      <c r="CQ4" s="23" t="s">
        <v>94</v>
      </c>
      <c r="CR4" s="23">
        <v>21</v>
      </c>
      <c r="CS4" s="23" t="s">
        <v>94</v>
      </c>
      <c r="CT4" s="23">
        <v>21</v>
      </c>
      <c r="CU4" s="23" t="s">
        <v>94</v>
      </c>
      <c r="CV4" s="23">
        <v>21</v>
      </c>
      <c r="CW4" s="23" t="s">
        <v>94</v>
      </c>
    </row>
    <row r="5" spans="1:101" x14ac:dyDescent="0.2">
      <c r="A5" s="26" t="s">
        <v>5</v>
      </c>
      <c r="B5" s="24">
        <f>SUM(INGRESO!C5)</f>
        <v>0</v>
      </c>
      <c r="C5" s="24">
        <f>SUM(INGRESO!D5)</f>
        <v>0</v>
      </c>
      <c r="G5" s="24"/>
      <c r="H5" s="24">
        <f>B5</f>
        <v>0</v>
      </c>
      <c r="I5" s="24"/>
      <c r="J5" s="24"/>
      <c r="K5" s="24"/>
      <c r="L5" s="24"/>
      <c r="M5" s="24"/>
      <c r="N5" s="24">
        <f>B5</f>
        <v>0</v>
      </c>
      <c r="AD5" s="23">
        <v>22</v>
      </c>
      <c r="AF5" s="23">
        <v>22</v>
      </c>
      <c r="AH5" s="23">
        <v>22</v>
      </c>
      <c r="AJ5" s="23">
        <v>22</v>
      </c>
      <c r="AL5" s="23">
        <v>22</v>
      </c>
      <c r="AN5" s="23">
        <v>22</v>
      </c>
      <c r="AP5" s="23">
        <v>22</v>
      </c>
      <c r="AR5" s="23">
        <v>22</v>
      </c>
      <c r="AT5" s="23">
        <v>22</v>
      </c>
      <c r="AV5" s="23">
        <v>22</v>
      </c>
      <c r="AW5" s="23">
        <v>7</v>
      </c>
      <c r="AX5" s="23">
        <v>22</v>
      </c>
      <c r="AZ5" s="23">
        <v>22</v>
      </c>
      <c r="BB5" s="23">
        <v>22</v>
      </c>
      <c r="BC5" s="23">
        <v>8</v>
      </c>
      <c r="BD5" s="23">
        <v>22</v>
      </c>
      <c r="BF5" s="23">
        <v>22</v>
      </c>
      <c r="BH5" s="23">
        <v>22</v>
      </c>
      <c r="BJ5" s="23">
        <v>22</v>
      </c>
      <c r="BP5" s="23">
        <v>22</v>
      </c>
      <c r="BQ5" s="23" t="s">
        <v>94</v>
      </c>
      <c r="BR5" s="23">
        <v>22</v>
      </c>
      <c r="BS5" s="23" t="s">
        <v>94</v>
      </c>
      <c r="BT5" s="23">
        <v>22</v>
      </c>
      <c r="BU5" s="23" t="s">
        <v>94</v>
      </c>
      <c r="BV5" s="23">
        <v>22</v>
      </c>
      <c r="BW5" s="23" t="s">
        <v>94</v>
      </c>
      <c r="BX5" s="23">
        <v>22</v>
      </c>
      <c r="BY5" s="23" t="s">
        <v>94</v>
      </c>
      <c r="BZ5" s="23">
        <v>22</v>
      </c>
      <c r="CA5" s="23" t="s">
        <v>94</v>
      </c>
      <c r="CB5" s="23">
        <v>22</v>
      </c>
      <c r="CC5" s="23" t="s">
        <v>94</v>
      </c>
      <c r="CD5" s="23">
        <v>22</v>
      </c>
      <c r="CE5" s="23" t="s">
        <v>94</v>
      </c>
      <c r="CF5" s="23">
        <v>22</v>
      </c>
      <c r="CG5" s="23" t="s">
        <v>94</v>
      </c>
      <c r="CH5" s="23">
        <v>22</v>
      </c>
      <c r="CI5" s="23" t="s">
        <v>94</v>
      </c>
      <c r="CJ5" s="23">
        <v>22</v>
      </c>
      <c r="CK5" s="23" t="s">
        <v>94</v>
      </c>
      <c r="CL5" s="23">
        <v>22</v>
      </c>
      <c r="CM5" s="23" t="s">
        <v>94</v>
      </c>
      <c r="CN5" s="23">
        <v>22</v>
      </c>
      <c r="CO5" s="23" t="s">
        <v>94</v>
      </c>
      <c r="CP5" s="23">
        <v>22</v>
      </c>
      <c r="CQ5" s="23" t="s">
        <v>94</v>
      </c>
      <c r="CR5" s="23">
        <v>22</v>
      </c>
      <c r="CS5" s="23" t="s">
        <v>94</v>
      </c>
      <c r="CT5" s="23">
        <v>22</v>
      </c>
      <c r="CU5" s="23" t="s">
        <v>94</v>
      </c>
      <c r="CV5" s="23">
        <v>22</v>
      </c>
      <c r="CW5" s="23" t="s">
        <v>94</v>
      </c>
    </row>
    <row r="6" spans="1:101" x14ac:dyDescent="0.2">
      <c r="A6" s="26" t="s">
        <v>6</v>
      </c>
      <c r="B6" s="24">
        <f>SUM(INGRESO!C6)</f>
        <v>0</v>
      </c>
      <c r="C6" s="24">
        <f>SUM(INGRESO!D6)</f>
        <v>0</v>
      </c>
      <c r="D6" s="24">
        <f>C6</f>
        <v>0</v>
      </c>
      <c r="G6" s="24"/>
      <c r="H6" s="24"/>
      <c r="I6" s="24"/>
      <c r="J6" s="24"/>
      <c r="K6" s="24">
        <f>B6</f>
        <v>0</v>
      </c>
      <c r="L6" s="24">
        <f>B6</f>
        <v>0</v>
      </c>
      <c r="M6" s="24">
        <f>B6</f>
        <v>0</v>
      </c>
      <c r="N6" s="24"/>
      <c r="AD6" s="23">
        <v>23</v>
      </c>
      <c r="AF6" s="23">
        <v>23</v>
      </c>
      <c r="AH6" s="23">
        <v>23</v>
      </c>
      <c r="AJ6" s="23">
        <v>23</v>
      </c>
      <c r="AK6" s="23">
        <v>1</v>
      </c>
      <c r="AL6" s="23">
        <v>23</v>
      </c>
      <c r="AM6" s="23">
        <v>0</v>
      </c>
      <c r="AN6" s="23">
        <v>23</v>
      </c>
      <c r="AP6" s="23">
        <v>23</v>
      </c>
      <c r="AR6" s="23">
        <v>23</v>
      </c>
      <c r="AT6" s="23">
        <v>23</v>
      </c>
      <c r="AV6" s="23">
        <v>23</v>
      </c>
      <c r="AX6" s="23">
        <v>23</v>
      </c>
      <c r="AZ6" s="23">
        <v>23</v>
      </c>
      <c r="BA6" s="23">
        <v>10</v>
      </c>
      <c r="BB6" s="23">
        <v>23</v>
      </c>
      <c r="BC6" s="23">
        <v>9</v>
      </c>
      <c r="BD6" s="23">
        <v>23</v>
      </c>
      <c r="BE6" s="23">
        <v>8</v>
      </c>
      <c r="BF6" s="23">
        <v>23</v>
      </c>
      <c r="BG6" s="23">
        <v>5</v>
      </c>
      <c r="BH6" s="23">
        <v>23</v>
      </c>
      <c r="BI6" s="23">
        <v>6</v>
      </c>
      <c r="BJ6" s="23">
        <v>23</v>
      </c>
      <c r="BP6" s="23">
        <v>23</v>
      </c>
      <c r="BQ6" s="23" t="s">
        <v>94</v>
      </c>
      <c r="BR6" s="23">
        <v>23</v>
      </c>
      <c r="BS6" s="23" t="s">
        <v>94</v>
      </c>
      <c r="BT6" s="23">
        <v>23</v>
      </c>
      <c r="BU6" s="23" t="s">
        <v>94</v>
      </c>
      <c r="BV6" s="23">
        <v>23</v>
      </c>
      <c r="BW6" s="23" t="s">
        <v>94</v>
      </c>
      <c r="BX6" s="23">
        <v>23</v>
      </c>
      <c r="BY6" s="23" t="s">
        <v>94</v>
      </c>
      <c r="BZ6" s="23">
        <v>23</v>
      </c>
      <c r="CA6" s="23" t="s">
        <v>94</v>
      </c>
      <c r="CB6" s="23">
        <v>23</v>
      </c>
      <c r="CC6" s="23" t="s">
        <v>94</v>
      </c>
      <c r="CD6" s="23">
        <v>23</v>
      </c>
      <c r="CE6" s="23" t="s">
        <v>94</v>
      </c>
      <c r="CF6" s="23">
        <v>23</v>
      </c>
      <c r="CG6" s="23" t="s">
        <v>94</v>
      </c>
      <c r="CH6" s="23">
        <v>23</v>
      </c>
      <c r="CI6" s="23" t="s">
        <v>94</v>
      </c>
      <c r="CJ6" s="23">
        <v>23</v>
      </c>
      <c r="CK6" s="23" t="s">
        <v>94</v>
      </c>
      <c r="CL6" s="23">
        <v>23</v>
      </c>
      <c r="CM6" s="23" t="s">
        <v>94</v>
      </c>
      <c r="CN6" s="23">
        <v>23</v>
      </c>
      <c r="CO6" s="23" t="s">
        <v>94</v>
      </c>
      <c r="CP6" s="23">
        <v>23</v>
      </c>
      <c r="CQ6" s="23" t="s">
        <v>94</v>
      </c>
      <c r="CR6" s="23">
        <v>23</v>
      </c>
      <c r="CS6" s="23" t="s">
        <v>94</v>
      </c>
      <c r="CT6" s="23">
        <v>23</v>
      </c>
      <c r="CU6" s="23" t="s">
        <v>94</v>
      </c>
      <c r="CV6" s="23">
        <v>23</v>
      </c>
      <c r="CW6" s="23" t="s">
        <v>94</v>
      </c>
    </row>
    <row r="7" spans="1:101" x14ac:dyDescent="0.2">
      <c r="A7" s="26" t="s">
        <v>7</v>
      </c>
      <c r="B7" s="24">
        <f>SUM(INGRESO!C7)</f>
        <v>0</v>
      </c>
      <c r="C7" s="24">
        <f>SUM(INGRESO!D7)</f>
        <v>0</v>
      </c>
      <c r="F7" s="24">
        <f>C7</f>
        <v>0</v>
      </c>
      <c r="G7" s="24">
        <f>B7</f>
        <v>0</v>
      </c>
      <c r="H7" s="24">
        <f>B7</f>
        <v>0</v>
      </c>
      <c r="I7" s="24"/>
      <c r="K7" s="24"/>
      <c r="L7" s="24"/>
      <c r="M7" s="24"/>
      <c r="N7" s="24"/>
      <c r="AD7" s="23">
        <v>24</v>
      </c>
      <c r="AF7" s="23">
        <v>24</v>
      </c>
      <c r="AH7" s="23">
        <v>24</v>
      </c>
      <c r="AJ7" s="23">
        <v>24</v>
      </c>
      <c r="AL7" s="23">
        <v>24</v>
      </c>
      <c r="AN7" s="23">
        <v>24</v>
      </c>
      <c r="AP7" s="23">
        <v>24</v>
      </c>
      <c r="AR7" s="23">
        <v>24</v>
      </c>
      <c r="AT7" s="23">
        <v>24</v>
      </c>
      <c r="AU7" s="23">
        <v>4</v>
      </c>
      <c r="AV7" s="23">
        <v>24</v>
      </c>
      <c r="AW7" s="23">
        <v>8</v>
      </c>
      <c r="AX7" s="23">
        <v>24</v>
      </c>
      <c r="AZ7" s="23">
        <v>24</v>
      </c>
      <c r="BB7" s="23">
        <v>24</v>
      </c>
      <c r="BD7" s="23">
        <v>24</v>
      </c>
      <c r="BF7" s="23">
        <v>24</v>
      </c>
      <c r="BG7" s="23">
        <v>6</v>
      </c>
      <c r="BH7" s="23">
        <v>24</v>
      </c>
      <c r="BJ7" s="23">
        <v>24</v>
      </c>
      <c r="BP7" s="23">
        <v>24</v>
      </c>
      <c r="BQ7" s="23" t="s">
        <v>94</v>
      </c>
      <c r="BR7" s="23">
        <v>24</v>
      </c>
      <c r="BS7" s="23" t="s">
        <v>94</v>
      </c>
      <c r="BT7" s="23">
        <v>24</v>
      </c>
      <c r="BU7" s="23" t="s">
        <v>94</v>
      </c>
      <c r="BV7" s="23">
        <v>24</v>
      </c>
      <c r="BW7" s="23" t="s">
        <v>94</v>
      </c>
      <c r="BX7" s="23">
        <v>24</v>
      </c>
      <c r="BY7" s="23" t="s">
        <v>94</v>
      </c>
      <c r="BZ7" s="23">
        <v>24</v>
      </c>
      <c r="CA7" s="23" t="s">
        <v>94</v>
      </c>
      <c r="CB7" s="23">
        <v>24</v>
      </c>
      <c r="CC7" s="23" t="s">
        <v>94</v>
      </c>
      <c r="CD7" s="23">
        <v>24</v>
      </c>
      <c r="CE7" s="23" t="s">
        <v>94</v>
      </c>
      <c r="CF7" s="23">
        <v>24</v>
      </c>
      <c r="CG7" s="23" t="s">
        <v>94</v>
      </c>
      <c r="CH7" s="23">
        <v>24</v>
      </c>
      <c r="CI7" s="23" t="s">
        <v>94</v>
      </c>
      <c r="CJ7" s="23">
        <v>24</v>
      </c>
      <c r="CK7" s="23" t="s">
        <v>94</v>
      </c>
      <c r="CL7" s="23">
        <v>24</v>
      </c>
      <c r="CM7" s="23" t="s">
        <v>94</v>
      </c>
      <c r="CN7" s="23">
        <v>24</v>
      </c>
      <c r="CO7" s="23" t="s">
        <v>94</v>
      </c>
      <c r="CP7" s="23">
        <v>24</v>
      </c>
      <c r="CQ7" s="23" t="s">
        <v>94</v>
      </c>
      <c r="CR7" s="23">
        <v>24</v>
      </c>
      <c r="CS7" s="23" t="s">
        <v>94</v>
      </c>
      <c r="CT7" s="23">
        <v>24</v>
      </c>
      <c r="CU7" s="23" t="s">
        <v>94</v>
      </c>
      <c r="CV7" s="23">
        <v>24</v>
      </c>
      <c r="CW7" s="23" t="s">
        <v>94</v>
      </c>
    </row>
    <row r="8" spans="1:101" x14ac:dyDescent="0.2">
      <c r="A8" s="26" t="s">
        <v>8</v>
      </c>
      <c r="B8" s="24">
        <f>SUM(INGRESO!C8)</f>
        <v>0</v>
      </c>
      <c r="C8" s="24">
        <f>SUM(INGRESO!D8)</f>
        <v>0</v>
      </c>
      <c r="G8" s="24"/>
      <c r="H8" s="24"/>
      <c r="I8" s="24"/>
      <c r="J8" s="24">
        <f>B8</f>
        <v>0</v>
      </c>
      <c r="K8" s="24"/>
      <c r="L8" s="24"/>
      <c r="M8" s="24">
        <f>B8</f>
        <v>0</v>
      </c>
      <c r="N8" s="24">
        <f>B8</f>
        <v>0</v>
      </c>
      <c r="AD8" s="23">
        <v>25</v>
      </c>
      <c r="AF8" s="23">
        <v>25</v>
      </c>
      <c r="AH8" s="23">
        <v>25</v>
      </c>
      <c r="AJ8" s="23">
        <v>25</v>
      </c>
      <c r="AL8" s="23">
        <v>25</v>
      </c>
      <c r="AM8" s="23">
        <v>1</v>
      </c>
      <c r="AN8" s="23">
        <v>25</v>
      </c>
      <c r="AP8" s="23">
        <v>25</v>
      </c>
      <c r="AR8" s="23">
        <v>25</v>
      </c>
      <c r="AT8" s="23">
        <v>25</v>
      </c>
      <c r="AV8" s="23">
        <v>25</v>
      </c>
      <c r="AX8" s="23">
        <v>25</v>
      </c>
      <c r="AZ8" s="23">
        <v>25</v>
      </c>
      <c r="BB8" s="23">
        <v>25</v>
      </c>
      <c r="BC8" s="23">
        <v>10</v>
      </c>
      <c r="BD8" s="23">
        <v>25</v>
      </c>
      <c r="BE8" s="23">
        <v>9</v>
      </c>
      <c r="BF8" s="23">
        <v>25</v>
      </c>
      <c r="BH8" s="23">
        <v>25</v>
      </c>
      <c r="BJ8" s="23">
        <v>25</v>
      </c>
      <c r="BP8" s="23">
        <v>25</v>
      </c>
      <c r="BQ8" s="23" t="s">
        <v>94</v>
      </c>
      <c r="BR8" s="23">
        <v>25</v>
      </c>
      <c r="BS8" s="23" t="s">
        <v>94</v>
      </c>
      <c r="BT8" s="23">
        <v>25</v>
      </c>
      <c r="BU8" s="23" t="s">
        <v>94</v>
      </c>
      <c r="BV8" s="23">
        <v>25</v>
      </c>
      <c r="BW8" s="23" t="s">
        <v>94</v>
      </c>
      <c r="BX8" s="23">
        <v>25</v>
      </c>
      <c r="BY8" s="23" t="s">
        <v>94</v>
      </c>
      <c r="BZ8" s="23">
        <v>25</v>
      </c>
      <c r="CA8" s="23" t="s">
        <v>94</v>
      </c>
      <c r="CB8" s="23">
        <v>25</v>
      </c>
      <c r="CC8" s="23" t="s">
        <v>94</v>
      </c>
      <c r="CD8" s="23">
        <v>25</v>
      </c>
      <c r="CE8" s="23" t="s">
        <v>94</v>
      </c>
      <c r="CF8" s="23">
        <v>25</v>
      </c>
      <c r="CG8" s="23" t="s">
        <v>94</v>
      </c>
      <c r="CH8" s="23">
        <v>25</v>
      </c>
      <c r="CI8" s="23" t="s">
        <v>94</v>
      </c>
      <c r="CJ8" s="23">
        <v>25</v>
      </c>
      <c r="CK8" s="23" t="s">
        <v>94</v>
      </c>
      <c r="CL8" s="23">
        <v>25</v>
      </c>
      <c r="CM8" s="23" t="s">
        <v>94</v>
      </c>
      <c r="CN8" s="23">
        <v>25</v>
      </c>
      <c r="CO8" s="23" t="s">
        <v>94</v>
      </c>
      <c r="CP8" s="23">
        <v>25</v>
      </c>
      <c r="CQ8" s="23" t="s">
        <v>94</v>
      </c>
      <c r="CR8" s="23">
        <v>25</v>
      </c>
      <c r="CS8" s="23" t="s">
        <v>94</v>
      </c>
      <c r="CT8" s="23">
        <v>25</v>
      </c>
      <c r="CU8" s="23" t="s">
        <v>94</v>
      </c>
      <c r="CV8" s="23">
        <v>25</v>
      </c>
      <c r="CW8" s="23" t="s">
        <v>94</v>
      </c>
    </row>
    <row r="9" spans="1:101" x14ac:dyDescent="0.2">
      <c r="A9" s="26" t="s">
        <v>9</v>
      </c>
      <c r="B9" s="24">
        <f>SUM(INGRESO!C9)</f>
        <v>0</v>
      </c>
      <c r="C9" s="24">
        <f>SUM(INGRESO!D9)</f>
        <v>0</v>
      </c>
      <c r="G9" s="24"/>
      <c r="H9" s="24"/>
      <c r="I9" s="24"/>
      <c r="J9" s="24"/>
      <c r="K9" s="24">
        <f>B9</f>
        <v>0</v>
      </c>
      <c r="L9" s="24">
        <f>B9</f>
        <v>0</v>
      </c>
      <c r="M9" s="24">
        <f>B9</f>
        <v>0</v>
      </c>
      <c r="N9" s="24">
        <f>B9</f>
        <v>0</v>
      </c>
      <c r="AD9" s="23">
        <v>26</v>
      </c>
      <c r="AF9" s="23">
        <v>26</v>
      </c>
      <c r="AH9" s="23">
        <v>26</v>
      </c>
      <c r="AJ9" s="23">
        <v>26</v>
      </c>
      <c r="AK9" s="23">
        <v>2</v>
      </c>
      <c r="AL9" s="23">
        <v>26</v>
      </c>
      <c r="AN9" s="23">
        <v>26</v>
      </c>
      <c r="AP9" s="23">
        <v>26</v>
      </c>
      <c r="AR9" s="23">
        <v>26</v>
      </c>
      <c r="AT9" s="23">
        <v>26</v>
      </c>
      <c r="AU9" s="23">
        <v>5</v>
      </c>
      <c r="AV9" s="23">
        <v>26</v>
      </c>
      <c r="AX9" s="23">
        <v>26</v>
      </c>
      <c r="AZ9" s="23">
        <v>26</v>
      </c>
      <c r="BA9" s="23">
        <v>11</v>
      </c>
      <c r="BB9" s="23">
        <v>26</v>
      </c>
      <c r="BD9" s="23">
        <v>26</v>
      </c>
      <c r="BE9" s="23">
        <v>10</v>
      </c>
      <c r="BF9" s="23">
        <v>26</v>
      </c>
      <c r="BG9" s="23">
        <v>7</v>
      </c>
      <c r="BH9" s="23">
        <v>26</v>
      </c>
      <c r="BI9" s="23">
        <v>7</v>
      </c>
      <c r="BJ9" s="23">
        <v>26</v>
      </c>
      <c r="BP9" s="23">
        <v>26</v>
      </c>
      <c r="BQ9" s="23" t="s">
        <v>94</v>
      </c>
      <c r="BR9" s="23">
        <v>26</v>
      </c>
      <c r="BS9" s="23" t="s">
        <v>94</v>
      </c>
      <c r="BT9" s="23">
        <v>26</v>
      </c>
      <c r="BU9" s="23" t="s">
        <v>94</v>
      </c>
      <c r="BV9" s="23">
        <v>26</v>
      </c>
      <c r="BW9" s="23" t="s">
        <v>94</v>
      </c>
      <c r="BX9" s="23">
        <v>26</v>
      </c>
      <c r="BY9" s="23" t="s">
        <v>94</v>
      </c>
      <c r="BZ9" s="23">
        <v>26</v>
      </c>
      <c r="CA9" s="23" t="s">
        <v>94</v>
      </c>
      <c r="CB9" s="23">
        <v>26</v>
      </c>
      <c r="CC9" s="23" t="s">
        <v>94</v>
      </c>
      <c r="CD9" s="23">
        <v>26</v>
      </c>
      <c r="CE9" s="23" t="s">
        <v>94</v>
      </c>
      <c r="CF9" s="23">
        <v>26</v>
      </c>
      <c r="CG9" s="23" t="s">
        <v>94</v>
      </c>
      <c r="CH9" s="23">
        <v>26</v>
      </c>
      <c r="CI9" s="23" t="s">
        <v>94</v>
      </c>
      <c r="CJ9" s="23">
        <v>26</v>
      </c>
      <c r="CK9" s="23" t="s">
        <v>94</v>
      </c>
      <c r="CL9" s="23">
        <v>26</v>
      </c>
      <c r="CM9" s="23" t="s">
        <v>94</v>
      </c>
      <c r="CN9" s="23">
        <v>26</v>
      </c>
      <c r="CO9" s="23" t="s">
        <v>94</v>
      </c>
      <c r="CP9" s="23">
        <v>26</v>
      </c>
      <c r="CQ9" s="23" t="s">
        <v>94</v>
      </c>
      <c r="CR9" s="23">
        <v>26</v>
      </c>
      <c r="CS9" s="23" t="s">
        <v>94</v>
      </c>
      <c r="CT9" s="23">
        <v>26</v>
      </c>
      <c r="CU9" s="23" t="s">
        <v>94</v>
      </c>
      <c r="CV9" s="23">
        <v>26</v>
      </c>
      <c r="CW9" s="23" t="s">
        <v>94</v>
      </c>
    </row>
    <row r="10" spans="1:101" x14ac:dyDescent="0.2">
      <c r="A10" s="26" t="s">
        <v>10</v>
      </c>
      <c r="B10" s="24">
        <f>SUM(INGRESO!C10)</f>
        <v>0</v>
      </c>
      <c r="C10" s="24">
        <f>SUM(INGRESO!D10)</f>
        <v>0</v>
      </c>
      <c r="E10" s="24">
        <f>B10</f>
        <v>0</v>
      </c>
      <c r="G10" s="24">
        <f>B10</f>
        <v>0</v>
      </c>
      <c r="H10" s="24">
        <f>B10</f>
        <v>0</v>
      </c>
      <c r="I10" s="24">
        <f>B10</f>
        <v>0</v>
      </c>
      <c r="J10" s="24"/>
      <c r="K10" s="24"/>
      <c r="L10" s="24"/>
      <c r="M10" s="24"/>
      <c r="N10" s="24"/>
      <c r="AD10" s="23">
        <v>27</v>
      </c>
      <c r="AF10" s="23">
        <v>27</v>
      </c>
      <c r="AH10" s="23">
        <v>27</v>
      </c>
      <c r="AI10" s="23">
        <v>0</v>
      </c>
      <c r="AJ10" s="23">
        <v>27</v>
      </c>
      <c r="AL10" s="23">
        <v>27</v>
      </c>
      <c r="AM10" s="23">
        <v>2</v>
      </c>
      <c r="AN10" s="23">
        <v>27</v>
      </c>
      <c r="AP10" s="23">
        <v>27</v>
      </c>
      <c r="AR10" s="23">
        <v>27</v>
      </c>
      <c r="AT10" s="23">
        <v>27</v>
      </c>
      <c r="AU10" s="23">
        <v>6</v>
      </c>
      <c r="AV10" s="23">
        <v>27</v>
      </c>
      <c r="AW10" s="23">
        <v>9</v>
      </c>
      <c r="AX10" s="23">
        <v>27</v>
      </c>
      <c r="AY10" s="23">
        <v>0</v>
      </c>
      <c r="AZ10" s="23">
        <v>27</v>
      </c>
      <c r="BB10" s="23">
        <v>27</v>
      </c>
      <c r="BC10" s="23">
        <v>11</v>
      </c>
      <c r="BD10" s="23">
        <v>27</v>
      </c>
      <c r="BF10" s="23">
        <v>27</v>
      </c>
      <c r="BG10" s="23">
        <v>8</v>
      </c>
      <c r="BH10" s="23">
        <v>27</v>
      </c>
      <c r="BJ10" s="23">
        <v>27</v>
      </c>
      <c r="BP10" s="23">
        <v>27</v>
      </c>
      <c r="BQ10" s="23" t="s">
        <v>94</v>
      </c>
      <c r="BR10" s="23">
        <v>27</v>
      </c>
      <c r="BS10" s="23" t="s">
        <v>94</v>
      </c>
      <c r="BT10" s="23">
        <v>27</v>
      </c>
      <c r="BU10" s="23" t="s">
        <v>94</v>
      </c>
      <c r="BV10" s="23">
        <v>27</v>
      </c>
      <c r="BW10" s="23" t="s">
        <v>94</v>
      </c>
      <c r="BX10" s="23">
        <v>27</v>
      </c>
      <c r="BY10" s="23" t="s">
        <v>94</v>
      </c>
      <c r="BZ10" s="23">
        <v>27</v>
      </c>
      <c r="CA10" s="23" t="s">
        <v>94</v>
      </c>
      <c r="CB10" s="23">
        <v>27</v>
      </c>
      <c r="CC10" s="23" t="s">
        <v>94</v>
      </c>
      <c r="CD10" s="23">
        <v>27</v>
      </c>
      <c r="CE10" s="23" t="s">
        <v>94</v>
      </c>
      <c r="CF10" s="23">
        <v>27</v>
      </c>
      <c r="CG10" s="23" t="s">
        <v>94</v>
      </c>
      <c r="CH10" s="23">
        <v>27</v>
      </c>
      <c r="CI10" s="23" t="s">
        <v>94</v>
      </c>
      <c r="CJ10" s="23">
        <v>27</v>
      </c>
      <c r="CK10" s="23" t="s">
        <v>94</v>
      </c>
      <c r="CL10" s="23">
        <v>27</v>
      </c>
      <c r="CM10" s="23" t="s">
        <v>94</v>
      </c>
      <c r="CN10" s="23">
        <v>27</v>
      </c>
      <c r="CO10" s="23" t="s">
        <v>94</v>
      </c>
      <c r="CP10" s="23">
        <v>27</v>
      </c>
      <c r="CQ10" s="23" t="s">
        <v>94</v>
      </c>
      <c r="CR10" s="23">
        <v>27</v>
      </c>
      <c r="CS10" s="23" t="s">
        <v>94</v>
      </c>
      <c r="CT10" s="23">
        <v>27</v>
      </c>
      <c r="CU10" s="23" t="s">
        <v>94</v>
      </c>
      <c r="CV10" s="23">
        <v>27</v>
      </c>
      <c r="CW10" s="23" t="s">
        <v>94</v>
      </c>
    </row>
    <row r="11" spans="1:101" x14ac:dyDescent="0.2">
      <c r="A11" s="26" t="s">
        <v>11</v>
      </c>
      <c r="B11" s="24">
        <f>SUM(INGRESO!C11)</f>
        <v>0</v>
      </c>
      <c r="C11" s="24">
        <f>SUM(INGRESO!D11)</f>
        <v>0</v>
      </c>
      <c r="G11" s="24"/>
      <c r="H11" s="24"/>
      <c r="I11" s="24"/>
      <c r="J11" s="24">
        <f>B11</f>
        <v>0</v>
      </c>
      <c r="K11" s="24">
        <f>B11</f>
        <v>0</v>
      </c>
      <c r="L11" s="24"/>
      <c r="M11" s="24">
        <f>B11</f>
        <v>0</v>
      </c>
      <c r="N11" s="24"/>
      <c r="AD11" s="23">
        <v>28</v>
      </c>
      <c r="AF11" s="23">
        <v>28</v>
      </c>
      <c r="AH11" s="23">
        <v>28</v>
      </c>
      <c r="AJ11" s="23">
        <v>28</v>
      </c>
      <c r="AL11" s="23">
        <v>28</v>
      </c>
      <c r="AN11" s="23">
        <v>28</v>
      </c>
      <c r="AP11" s="23">
        <v>28</v>
      </c>
      <c r="AQ11" s="23">
        <v>8</v>
      </c>
      <c r="AR11" s="23">
        <v>28</v>
      </c>
      <c r="AT11" s="23">
        <v>28</v>
      </c>
      <c r="AV11" s="23">
        <v>28</v>
      </c>
      <c r="AX11" s="23">
        <v>28</v>
      </c>
      <c r="AZ11" s="23">
        <v>28</v>
      </c>
      <c r="BA11" s="23">
        <v>12</v>
      </c>
      <c r="BB11" s="23">
        <v>28</v>
      </c>
      <c r="BC11" s="23">
        <v>12</v>
      </c>
      <c r="BD11" s="23">
        <v>28</v>
      </c>
      <c r="BE11" s="23">
        <v>11</v>
      </c>
      <c r="BF11" s="23">
        <v>28</v>
      </c>
      <c r="BH11" s="23">
        <v>28</v>
      </c>
      <c r="BI11" s="23">
        <v>8</v>
      </c>
      <c r="BJ11" s="23">
        <v>28</v>
      </c>
      <c r="BP11" s="23">
        <v>28</v>
      </c>
      <c r="BQ11" s="23" t="s">
        <v>94</v>
      </c>
      <c r="BR11" s="23">
        <v>28</v>
      </c>
      <c r="BS11" s="23" t="s">
        <v>94</v>
      </c>
      <c r="BT11" s="23">
        <v>28</v>
      </c>
      <c r="BU11" s="23" t="s">
        <v>94</v>
      </c>
      <c r="BV11" s="23">
        <v>28</v>
      </c>
      <c r="BW11" s="23" t="s">
        <v>94</v>
      </c>
      <c r="BX11" s="23">
        <v>28</v>
      </c>
      <c r="BY11" s="23" t="s">
        <v>94</v>
      </c>
      <c r="BZ11" s="23">
        <v>28</v>
      </c>
      <c r="CA11" s="23" t="s">
        <v>94</v>
      </c>
      <c r="CB11" s="23">
        <v>28</v>
      </c>
      <c r="CC11" s="23" t="s">
        <v>94</v>
      </c>
      <c r="CD11" s="23">
        <v>28</v>
      </c>
      <c r="CE11" s="23" t="s">
        <v>94</v>
      </c>
      <c r="CF11" s="23">
        <v>28</v>
      </c>
      <c r="CG11" s="23" t="s">
        <v>94</v>
      </c>
      <c r="CH11" s="23">
        <v>28</v>
      </c>
      <c r="CI11" s="23" t="s">
        <v>94</v>
      </c>
      <c r="CJ11" s="23">
        <v>28</v>
      </c>
      <c r="CK11" s="23" t="s">
        <v>94</v>
      </c>
      <c r="CL11" s="23">
        <v>28</v>
      </c>
      <c r="CM11" s="23" t="s">
        <v>94</v>
      </c>
      <c r="CN11" s="23">
        <v>28</v>
      </c>
      <c r="CO11" s="23" t="s">
        <v>94</v>
      </c>
      <c r="CP11" s="23">
        <v>28</v>
      </c>
      <c r="CQ11" s="23" t="s">
        <v>94</v>
      </c>
      <c r="CR11" s="23">
        <v>28</v>
      </c>
      <c r="CS11" s="23" t="s">
        <v>94</v>
      </c>
      <c r="CT11" s="23">
        <v>28</v>
      </c>
      <c r="CU11" s="23" t="s">
        <v>94</v>
      </c>
      <c r="CV11" s="23">
        <v>28</v>
      </c>
      <c r="CW11" s="23" t="s">
        <v>94</v>
      </c>
    </row>
    <row r="12" spans="1:101" x14ac:dyDescent="0.2">
      <c r="A12" s="26" t="s">
        <v>12</v>
      </c>
      <c r="B12" s="24">
        <f>SUM(INGRESO!C12)</f>
        <v>0</v>
      </c>
      <c r="C12" s="24">
        <f>SUM(INGRESO!D12)</f>
        <v>0</v>
      </c>
      <c r="D12" s="24">
        <f>C12</f>
        <v>0</v>
      </c>
      <c r="F12" s="24">
        <f>C12</f>
        <v>0</v>
      </c>
      <c r="G12" s="24"/>
      <c r="H12" s="24">
        <f>C12</f>
        <v>0</v>
      </c>
      <c r="I12" s="24">
        <f>C12</f>
        <v>0</v>
      </c>
      <c r="J12" s="24"/>
      <c r="K12" s="24"/>
      <c r="L12" s="24"/>
      <c r="M12" s="24"/>
      <c r="N12" s="24"/>
      <c r="AD12" s="23">
        <v>29</v>
      </c>
      <c r="AF12" s="23">
        <v>29</v>
      </c>
      <c r="AH12" s="23">
        <v>29</v>
      </c>
      <c r="AI12" s="23">
        <v>1</v>
      </c>
      <c r="AJ12" s="23">
        <v>29</v>
      </c>
      <c r="AK12" s="23">
        <v>3</v>
      </c>
      <c r="AL12" s="23">
        <v>29</v>
      </c>
      <c r="AM12" s="23">
        <v>3</v>
      </c>
      <c r="AN12" s="23">
        <v>29</v>
      </c>
      <c r="AO12" s="23">
        <v>8</v>
      </c>
      <c r="AP12" s="23">
        <v>29</v>
      </c>
      <c r="AR12" s="23">
        <v>29</v>
      </c>
      <c r="AT12" s="23">
        <v>29</v>
      </c>
      <c r="AU12" s="23">
        <v>7</v>
      </c>
      <c r="AV12" s="23">
        <v>29</v>
      </c>
      <c r="AW12" s="23">
        <v>10</v>
      </c>
      <c r="AX12" s="23">
        <v>29</v>
      </c>
      <c r="AZ12" s="23">
        <v>29</v>
      </c>
      <c r="BB12" s="23">
        <v>29</v>
      </c>
      <c r="BD12" s="23">
        <v>29</v>
      </c>
      <c r="BF12" s="23">
        <v>29</v>
      </c>
      <c r="BG12" s="23">
        <v>9</v>
      </c>
      <c r="BH12" s="23">
        <v>29</v>
      </c>
      <c r="BJ12" s="23">
        <v>29</v>
      </c>
      <c r="BP12" s="23">
        <v>29</v>
      </c>
      <c r="BQ12" s="23" t="s">
        <v>94</v>
      </c>
      <c r="BR12" s="23">
        <v>29</v>
      </c>
      <c r="BS12" s="23" t="s">
        <v>94</v>
      </c>
      <c r="BT12" s="23">
        <v>29</v>
      </c>
      <c r="BU12" s="23" t="s">
        <v>94</v>
      </c>
      <c r="BV12" s="23">
        <v>29</v>
      </c>
      <c r="BW12" s="23" t="s">
        <v>94</v>
      </c>
      <c r="BX12" s="23">
        <v>29</v>
      </c>
      <c r="BY12" s="23" t="s">
        <v>94</v>
      </c>
      <c r="BZ12" s="23">
        <v>29</v>
      </c>
      <c r="CA12" s="23" t="s">
        <v>94</v>
      </c>
      <c r="CB12" s="23">
        <v>29</v>
      </c>
      <c r="CC12" s="23" t="s">
        <v>94</v>
      </c>
      <c r="CD12" s="23">
        <v>29</v>
      </c>
      <c r="CE12" s="23" t="s">
        <v>94</v>
      </c>
      <c r="CF12" s="23">
        <v>29</v>
      </c>
      <c r="CG12" s="23" t="s">
        <v>94</v>
      </c>
      <c r="CH12" s="23">
        <v>29</v>
      </c>
      <c r="CI12" s="23" t="s">
        <v>94</v>
      </c>
      <c r="CJ12" s="23">
        <v>29</v>
      </c>
      <c r="CK12" s="23" t="s">
        <v>94</v>
      </c>
      <c r="CL12" s="23">
        <v>29</v>
      </c>
      <c r="CM12" s="23" t="s">
        <v>94</v>
      </c>
      <c r="CN12" s="23">
        <v>29</v>
      </c>
      <c r="CO12" s="23" t="s">
        <v>94</v>
      </c>
      <c r="CP12" s="23">
        <v>29</v>
      </c>
      <c r="CQ12" s="23" t="s">
        <v>94</v>
      </c>
      <c r="CR12" s="23">
        <v>29</v>
      </c>
      <c r="CS12" s="23" t="s">
        <v>94</v>
      </c>
      <c r="CT12" s="23">
        <v>29</v>
      </c>
      <c r="CU12" s="23" t="s">
        <v>94</v>
      </c>
      <c r="CV12" s="23">
        <v>29</v>
      </c>
      <c r="CW12" s="23" t="s">
        <v>94</v>
      </c>
    </row>
    <row r="13" spans="1:101" x14ac:dyDescent="0.2">
      <c r="A13" s="26" t="s">
        <v>13</v>
      </c>
      <c r="B13" s="24">
        <f>SUM(INGRESO!C13)</f>
        <v>0</v>
      </c>
      <c r="C13" s="24">
        <f>SUM(INGRESO!D13)</f>
        <v>0</v>
      </c>
      <c r="E13" s="24">
        <f>B13</f>
        <v>0</v>
      </c>
      <c r="G13" s="24"/>
      <c r="H13" s="24"/>
      <c r="I13" s="24"/>
      <c r="J13" s="24"/>
      <c r="K13" s="24"/>
      <c r="L13" s="24"/>
      <c r="M13" s="24"/>
      <c r="N13" s="24"/>
      <c r="AD13" s="23">
        <v>30</v>
      </c>
      <c r="AF13" s="23">
        <v>30</v>
      </c>
      <c r="AH13" s="23">
        <v>30</v>
      </c>
      <c r="AJ13" s="23">
        <v>30</v>
      </c>
      <c r="AL13" s="23">
        <v>30</v>
      </c>
      <c r="AN13" s="23">
        <v>30</v>
      </c>
      <c r="AP13" s="23">
        <v>30</v>
      </c>
      <c r="AQ13" s="23">
        <v>9</v>
      </c>
      <c r="AR13" s="23">
        <v>30</v>
      </c>
      <c r="AT13" s="23">
        <v>30</v>
      </c>
      <c r="AV13" s="23">
        <v>30</v>
      </c>
      <c r="AX13" s="23">
        <v>30</v>
      </c>
      <c r="AY13" s="23">
        <v>1</v>
      </c>
      <c r="AZ13" s="23">
        <v>30</v>
      </c>
      <c r="BA13" s="23">
        <v>13</v>
      </c>
      <c r="BB13" s="23">
        <v>30</v>
      </c>
      <c r="BC13" s="23">
        <v>13</v>
      </c>
      <c r="BD13" s="23">
        <v>30</v>
      </c>
      <c r="BE13" s="23">
        <v>12</v>
      </c>
      <c r="BF13" s="23">
        <v>30</v>
      </c>
      <c r="BH13" s="23">
        <v>30</v>
      </c>
      <c r="BI13" s="23">
        <v>9</v>
      </c>
      <c r="BJ13" s="23">
        <v>30</v>
      </c>
      <c r="BP13" s="23">
        <v>30</v>
      </c>
      <c r="BQ13" s="23" t="s">
        <v>94</v>
      </c>
      <c r="BR13" s="23">
        <v>30</v>
      </c>
      <c r="BS13" s="23" t="s">
        <v>94</v>
      </c>
      <c r="BT13" s="23">
        <v>30</v>
      </c>
      <c r="BU13" s="23" t="s">
        <v>94</v>
      </c>
      <c r="BV13" s="23">
        <v>30</v>
      </c>
      <c r="BW13" s="23" t="s">
        <v>94</v>
      </c>
      <c r="BX13" s="23">
        <v>30</v>
      </c>
      <c r="BY13" s="23" t="s">
        <v>94</v>
      </c>
      <c r="BZ13" s="23">
        <v>30</v>
      </c>
      <c r="CA13" s="23" t="s">
        <v>94</v>
      </c>
      <c r="CB13" s="23">
        <v>30</v>
      </c>
      <c r="CC13" s="23" t="s">
        <v>94</v>
      </c>
      <c r="CD13" s="23">
        <v>30</v>
      </c>
      <c r="CE13" s="23" t="s">
        <v>94</v>
      </c>
      <c r="CF13" s="23">
        <v>30</v>
      </c>
      <c r="CG13" s="23" t="s">
        <v>94</v>
      </c>
      <c r="CH13" s="23">
        <v>30</v>
      </c>
      <c r="CI13" s="23" t="s">
        <v>94</v>
      </c>
      <c r="CJ13" s="23">
        <v>30</v>
      </c>
      <c r="CK13" s="23" t="s">
        <v>94</v>
      </c>
      <c r="CL13" s="23">
        <v>30</v>
      </c>
      <c r="CM13" s="23" t="s">
        <v>94</v>
      </c>
      <c r="CN13" s="23">
        <v>30</v>
      </c>
      <c r="CO13" s="23" t="s">
        <v>94</v>
      </c>
      <c r="CP13" s="23">
        <v>30</v>
      </c>
      <c r="CQ13" s="23" t="s">
        <v>94</v>
      </c>
      <c r="CR13" s="23">
        <v>30</v>
      </c>
      <c r="CS13" s="23" t="s">
        <v>94</v>
      </c>
      <c r="CT13" s="23">
        <v>30</v>
      </c>
      <c r="CU13" s="23" t="s">
        <v>94</v>
      </c>
      <c r="CV13" s="23">
        <v>30</v>
      </c>
      <c r="CW13" s="23" t="s">
        <v>94</v>
      </c>
    </row>
    <row r="14" spans="1:101" x14ac:dyDescent="0.2">
      <c r="A14" s="26" t="s">
        <v>14</v>
      </c>
      <c r="B14" s="24">
        <f>SUM(INGRESO!C14)</f>
        <v>0</v>
      </c>
      <c r="C14" s="24">
        <f>SUM(INGRESO!D14)</f>
        <v>0</v>
      </c>
      <c r="G14" s="24"/>
      <c r="H14" s="24">
        <f>B14</f>
        <v>0</v>
      </c>
      <c r="I14" s="24">
        <f>B14</f>
        <v>0</v>
      </c>
      <c r="J14" s="24">
        <f>B14</f>
        <v>0</v>
      </c>
      <c r="K14" s="24"/>
      <c r="L14" s="24">
        <f>B14</f>
        <v>0</v>
      </c>
      <c r="M14" s="24">
        <f>B14</f>
        <v>0</v>
      </c>
      <c r="N14" s="24"/>
      <c r="AD14" s="23">
        <v>31</v>
      </c>
      <c r="AF14" s="23">
        <v>31</v>
      </c>
      <c r="AH14" s="23">
        <v>31</v>
      </c>
      <c r="AI14" s="23">
        <v>2</v>
      </c>
      <c r="AJ14" s="23">
        <v>31</v>
      </c>
      <c r="AK14" s="23">
        <v>4</v>
      </c>
      <c r="AL14" s="23">
        <v>31</v>
      </c>
      <c r="AM14" s="23">
        <v>4</v>
      </c>
      <c r="AN14" s="23">
        <v>31</v>
      </c>
      <c r="AP14" s="23">
        <v>31</v>
      </c>
      <c r="AR14" s="23">
        <v>31</v>
      </c>
      <c r="AT14" s="23">
        <v>31</v>
      </c>
      <c r="AU14" s="23">
        <v>8</v>
      </c>
      <c r="AV14" s="23">
        <v>31</v>
      </c>
      <c r="AX14" s="23">
        <v>31</v>
      </c>
      <c r="AZ14" s="23">
        <v>31</v>
      </c>
      <c r="BB14" s="23">
        <v>31</v>
      </c>
      <c r="BD14" s="23">
        <v>31</v>
      </c>
      <c r="BF14" s="23">
        <v>31</v>
      </c>
      <c r="BG14" s="23">
        <v>10</v>
      </c>
      <c r="BH14" s="23">
        <v>31</v>
      </c>
      <c r="BJ14" s="23">
        <v>31</v>
      </c>
      <c r="BP14" s="23">
        <v>31</v>
      </c>
      <c r="BQ14" s="23" t="s">
        <v>94</v>
      </c>
      <c r="BR14" s="23">
        <v>31</v>
      </c>
      <c r="BS14" s="23" t="s">
        <v>94</v>
      </c>
      <c r="BT14" s="23">
        <v>31</v>
      </c>
      <c r="BU14" s="23" t="s">
        <v>94</v>
      </c>
      <c r="BV14" s="23">
        <v>31</v>
      </c>
      <c r="BW14" s="23" t="s">
        <v>94</v>
      </c>
      <c r="BX14" s="23">
        <v>31</v>
      </c>
      <c r="BY14" s="23" t="s">
        <v>94</v>
      </c>
      <c r="BZ14" s="23">
        <v>31</v>
      </c>
      <c r="CA14" s="23" t="s">
        <v>94</v>
      </c>
      <c r="CB14" s="23">
        <v>31</v>
      </c>
      <c r="CC14" s="23" t="s">
        <v>94</v>
      </c>
      <c r="CD14" s="23">
        <v>31</v>
      </c>
      <c r="CE14" s="23" t="s">
        <v>94</v>
      </c>
      <c r="CF14" s="23">
        <v>31</v>
      </c>
      <c r="CG14" s="23" t="s">
        <v>94</v>
      </c>
      <c r="CH14" s="23">
        <v>31</v>
      </c>
      <c r="CI14" s="23" t="s">
        <v>94</v>
      </c>
      <c r="CJ14" s="23">
        <v>31</v>
      </c>
      <c r="CK14" s="23" t="s">
        <v>94</v>
      </c>
      <c r="CL14" s="23">
        <v>31</v>
      </c>
      <c r="CM14" s="23" t="s">
        <v>94</v>
      </c>
      <c r="CN14" s="23">
        <v>31</v>
      </c>
      <c r="CO14" s="23" t="s">
        <v>94</v>
      </c>
      <c r="CP14" s="23">
        <v>31</v>
      </c>
      <c r="CQ14" s="23" t="s">
        <v>94</v>
      </c>
      <c r="CR14" s="23">
        <v>31</v>
      </c>
      <c r="CS14" s="23" t="s">
        <v>94</v>
      </c>
      <c r="CT14" s="23">
        <v>31</v>
      </c>
      <c r="CU14" s="23" t="s">
        <v>94</v>
      </c>
      <c r="CV14" s="23">
        <v>31</v>
      </c>
      <c r="CW14" s="23" t="s">
        <v>94</v>
      </c>
    </row>
    <row r="15" spans="1:101" x14ac:dyDescent="0.2">
      <c r="A15" s="26" t="s">
        <v>15</v>
      </c>
      <c r="B15" s="24">
        <f>SUM(INGRESO!C15)</f>
        <v>0</v>
      </c>
      <c r="C15" s="24">
        <f>SUM(INGRESO!D15)</f>
        <v>0</v>
      </c>
      <c r="G15" s="24"/>
      <c r="H15" s="24"/>
      <c r="I15" s="24"/>
      <c r="J15" s="24">
        <f>B15</f>
        <v>0</v>
      </c>
      <c r="K15" s="24"/>
      <c r="L15" s="24"/>
      <c r="M15" s="24">
        <f>B15</f>
        <v>0</v>
      </c>
      <c r="N15" s="24"/>
      <c r="AD15" s="23">
        <v>32</v>
      </c>
      <c r="AF15" s="23">
        <v>32</v>
      </c>
      <c r="AH15" s="23">
        <v>32</v>
      </c>
      <c r="AJ15" s="23">
        <v>32</v>
      </c>
      <c r="AL15" s="23">
        <v>32</v>
      </c>
      <c r="AN15" s="23">
        <v>32</v>
      </c>
      <c r="AO15" s="23">
        <v>9</v>
      </c>
      <c r="AP15" s="23">
        <v>32</v>
      </c>
      <c r="AQ15" s="23">
        <v>10</v>
      </c>
      <c r="AR15" s="23">
        <v>32</v>
      </c>
      <c r="AT15" s="23">
        <v>32</v>
      </c>
      <c r="AV15" s="23">
        <v>32</v>
      </c>
      <c r="AW15" s="23">
        <v>11</v>
      </c>
      <c r="AX15" s="23">
        <v>32</v>
      </c>
      <c r="AZ15" s="23">
        <v>32</v>
      </c>
      <c r="BA15" s="23">
        <v>14</v>
      </c>
      <c r="BB15" s="23">
        <v>32</v>
      </c>
      <c r="BC15" s="23">
        <v>14</v>
      </c>
      <c r="BD15" s="23">
        <v>32</v>
      </c>
      <c r="BE15" s="23">
        <v>13</v>
      </c>
      <c r="BF15" s="23">
        <v>32</v>
      </c>
      <c r="BG15" s="23">
        <v>11</v>
      </c>
      <c r="BH15" s="23">
        <v>32</v>
      </c>
      <c r="BJ15" s="23">
        <v>32</v>
      </c>
      <c r="BP15" s="23">
        <v>32</v>
      </c>
      <c r="BQ15" s="23" t="s">
        <v>94</v>
      </c>
      <c r="BR15" s="23">
        <v>32</v>
      </c>
      <c r="BS15" s="23" t="s">
        <v>94</v>
      </c>
      <c r="BT15" s="23">
        <v>32</v>
      </c>
      <c r="BU15" s="23" t="s">
        <v>94</v>
      </c>
      <c r="BV15" s="23">
        <v>32</v>
      </c>
      <c r="BW15" s="23" t="s">
        <v>94</v>
      </c>
      <c r="BX15" s="23">
        <v>32</v>
      </c>
      <c r="BY15" s="23" t="s">
        <v>94</v>
      </c>
      <c r="BZ15" s="23">
        <v>32</v>
      </c>
      <c r="CA15" s="23" t="s">
        <v>94</v>
      </c>
      <c r="CB15" s="23">
        <v>32</v>
      </c>
      <c r="CC15" s="23" t="s">
        <v>94</v>
      </c>
      <c r="CD15" s="23">
        <v>32</v>
      </c>
      <c r="CE15" s="23" t="s">
        <v>94</v>
      </c>
      <c r="CF15" s="23">
        <v>32</v>
      </c>
      <c r="CG15" s="23" t="s">
        <v>94</v>
      </c>
      <c r="CH15" s="23">
        <v>32</v>
      </c>
      <c r="CI15" s="23" t="s">
        <v>94</v>
      </c>
      <c r="CJ15" s="23">
        <v>32</v>
      </c>
      <c r="CK15" s="23" t="s">
        <v>94</v>
      </c>
      <c r="CL15" s="23">
        <v>32</v>
      </c>
      <c r="CM15" s="23" t="s">
        <v>94</v>
      </c>
      <c r="CN15" s="23">
        <v>32</v>
      </c>
      <c r="CO15" s="23" t="s">
        <v>94</v>
      </c>
      <c r="CP15" s="23">
        <v>32</v>
      </c>
      <c r="CQ15" s="23" t="s">
        <v>94</v>
      </c>
      <c r="CR15" s="23">
        <v>32</v>
      </c>
      <c r="CS15" s="23" t="s">
        <v>94</v>
      </c>
      <c r="CT15" s="23">
        <v>32</v>
      </c>
      <c r="CU15" s="23" t="s">
        <v>94</v>
      </c>
      <c r="CV15" s="23">
        <v>32</v>
      </c>
      <c r="CW15" s="23" t="s">
        <v>94</v>
      </c>
    </row>
    <row r="16" spans="1:101" x14ac:dyDescent="0.2">
      <c r="A16" s="26" t="s">
        <v>16</v>
      </c>
      <c r="B16" s="24">
        <f>SUM(INGRESO!C16)</f>
        <v>0</v>
      </c>
      <c r="C16" s="24">
        <f>SUM(INGRESO!D16)</f>
        <v>0</v>
      </c>
      <c r="E16" s="24">
        <f>B16</f>
        <v>0</v>
      </c>
      <c r="G16" s="24"/>
      <c r="H16" s="24"/>
      <c r="I16" s="24"/>
      <c r="J16" s="24">
        <f>B16</f>
        <v>0</v>
      </c>
      <c r="K16" s="24">
        <f>B16</f>
        <v>0</v>
      </c>
      <c r="L16" s="24"/>
      <c r="M16" s="24">
        <f>B16</f>
        <v>0</v>
      </c>
      <c r="N16" s="24"/>
      <c r="AD16" s="23">
        <v>33</v>
      </c>
      <c r="AF16" s="23">
        <v>33</v>
      </c>
      <c r="AH16" s="23">
        <v>33</v>
      </c>
      <c r="AI16" s="23">
        <v>3</v>
      </c>
      <c r="AJ16" s="23">
        <v>33</v>
      </c>
      <c r="AL16" s="23">
        <v>33</v>
      </c>
      <c r="AM16" s="23">
        <v>5</v>
      </c>
      <c r="AN16" s="23">
        <v>33</v>
      </c>
      <c r="AP16" s="23">
        <v>33</v>
      </c>
      <c r="AR16" s="23">
        <v>33</v>
      </c>
      <c r="AT16" s="23">
        <v>33</v>
      </c>
      <c r="AU16" s="23">
        <v>9</v>
      </c>
      <c r="AV16" s="23">
        <v>33</v>
      </c>
      <c r="AX16" s="23">
        <v>33</v>
      </c>
      <c r="AY16" s="23">
        <v>2</v>
      </c>
      <c r="AZ16" s="23">
        <v>33</v>
      </c>
      <c r="BB16" s="23">
        <v>33</v>
      </c>
      <c r="BC16" s="23">
        <v>15</v>
      </c>
      <c r="BD16" s="23">
        <v>33</v>
      </c>
      <c r="BF16" s="23">
        <v>33</v>
      </c>
      <c r="BH16" s="23">
        <v>33</v>
      </c>
      <c r="BI16" s="23">
        <v>10</v>
      </c>
      <c r="BJ16" s="23">
        <v>33</v>
      </c>
      <c r="BP16" s="23">
        <v>33</v>
      </c>
      <c r="BQ16" s="23" t="s">
        <v>94</v>
      </c>
      <c r="BR16" s="23">
        <v>33</v>
      </c>
      <c r="BS16" s="23" t="s">
        <v>94</v>
      </c>
      <c r="BT16" s="23">
        <v>33</v>
      </c>
      <c r="BU16" s="23" t="s">
        <v>94</v>
      </c>
      <c r="BV16" s="23">
        <v>33</v>
      </c>
      <c r="BW16" s="23" t="s">
        <v>94</v>
      </c>
      <c r="BX16" s="23">
        <v>33</v>
      </c>
      <c r="BY16" s="23" t="s">
        <v>94</v>
      </c>
      <c r="BZ16" s="23">
        <v>33</v>
      </c>
      <c r="CA16" s="23" t="s">
        <v>94</v>
      </c>
      <c r="CB16" s="23">
        <v>33</v>
      </c>
      <c r="CC16" s="23" t="s">
        <v>94</v>
      </c>
      <c r="CD16" s="23">
        <v>33</v>
      </c>
      <c r="CE16" s="23" t="s">
        <v>94</v>
      </c>
      <c r="CF16" s="23">
        <v>33</v>
      </c>
      <c r="CG16" s="23" t="s">
        <v>94</v>
      </c>
      <c r="CH16" s="23">
        <v>33</v>
      </c>
      <c r="CI16" s="23" t="s">
        <v>94</v>
      </c>
      <c r="CJ16" s="23">
        <v>33</v>
      </c>
      <c r="CK16" s="23" t="s">
        <v>94</v>
      </c>
      <c r="CL16" s="23">
        <v>33</v>
      </c>
      <c r="CM16" s="23" t="s">
        <v>94</v>
      </c>
      <c r="CN16" s="23">
        <v>33</v>
      </c>
      <c r="CO16" s="23" t="s">
        <v>94</v>
      </c>
      <c r="CP16" s="23">
        <v>33</v>
      </c>
      <c r="CQ16" s="23" t="s">
        <v>94</v>
      </c>
      <c r="CR16" s="23">
        <v>33</v>
      </c>
      <c r="CS16" s="23" t="s">
        <v>94</v>
      </c>
      <c r="CT16" s="23">
        <v>33</v>
      </c>
      <c r="CU16" s="23" t="s">
        <v>94</v>
      </c>
      <c r="CV16" s="23">
        <v>33</v>
      </c>
      <c r="CW16" s="23" t="s">
        <v>94</v>
      </c>
    </row>
    <row r="17" spans="1:101" x14ac:dyDescent="0.2">
      <c r="A17" s="26" t="s">
        <v>17</v>
      </c>
      <c r="B17" s="24">
        <f>SUM(INGRESO!C17)</f>
        <v>0</v>
      </c>
      <c r="C17" s="24">
        <f>SUM(INGRESO!D17)</f>
        <v>0</v>
      </c>
      <c r="G17" s="24"/>
      <c r="H17" s="24"/>
      <c r="I17" s="24"/>
      <c r="J17" s="24">
        <f>B17</f>
        <v>0</v>
      </c>
      <c r="K17" s="24"/>
      <c r="L17" s="24"/>
      <c r="M17" s="24">
        <f>B17</f>
        <v>0</v>
      </c>
      <c r="N17" s="24"/>
      <c r="AD17" s="23">
        <v>34</v>
      </c>
      <c r="AF17" s="23">
        <v>34</v>
      </c>
      <c r="AH17" s="23">
        <v>34</v>
      </c>
      <c r="AJ17" s="23">
        <v>34</v>
      </c>
      <c r="AK17" s="23">
        <v>5</v>
      </c>
      <c r="AL17" s="23">
        <v>34</v>
      </c>
      <c r="AN17" s="23">
        <v>34</v>
      </c>
      <c r="AO17" s="23">
        <v>10</v>
      </c>
      <c r="AP17" s="23">
        <v>34</v>
      </c>
      <c r="AQ17" s="23">
        <v>11</v>
      </c>
      <c r="AR17" s="23">
        <v>34</v>
      </c>
      <c r="AT17" s="23">
        <v>34</v>
      </c>
      <c r="AU17" s="23">
        <v>10</v>
      </c>
      <c r="AV17" s="23">
        <v>34</v>
      </c>
      <c r="AW17" s="23">
        <v>12</v>
      </c>
      <c r="AX17" s="23">
        <v>34</v>
      </c>
      <c r="AZ17" s="23">
        <v>34</v>
      </c>
      <c r="BA17" s="23">
        <v>15</v>
      </c>
      <c r="BB17" s="23">
        <v>34</v>
      </c>
      <c r="BD17" s="23">
        <v>34</v>
      </c>
      <c r="BE17" s="23">
        <v>14</v>
      </c>
      <c r="BF17" s="23">
        <v>34</v>
      </c>
      <c r="BG17" s="23">
        <v>12</v>
      </c>
      <c r="BH17" s="23">
        <v>34</v>
      </c>
      <c r="BJ17" s="23">
        <v>34</v>
      </c>
      <c r="BP17" s="23">
        <v>34</v>
      </c>
      <c r="BQ17" s="23" t="s">
        <v>94</v>
      </c>
      <c r="BR17" s="23">
        <v>34</v>
      </c>
      <c r="BS17" s="23" t="s">
        <v>94</v>
      </c>
      <c r="BT17" s="23">
        <v>34</v>
      </c>
      <c r="BU17" s="23" t="s">
        <v>94</v>
      </c>
      <c r="BV17" s="23">
        <v>34</v>
      </c>
      <c r="BW17" s="23" t="s">
        <v>94</v>
      </c>
      <c r="BX17" s="23">
        <v>34</v>
      </c>
      <c r="BY17" s="23" t="s">
        <v>94</v>
      </c>
      <c r="BZ17" s="23">
        <v>34</v>
      </c>
      <c r="CA17" s="23" t="s">
        <v>94</v>
      </c>
      <c r="CB17" s="23">
        <v>34</v>
      </c>
      <c r="CC17" s="23" t="s">
        <v>94</v>
      </c>
      <c r="CD17" s="23">
        <v>34</v>
      </c>
      <c r="CE17" s="23" t="s">
        <v>94</v>
      </c>
      <c r="CF17" s="23">
        <v>34</v>
      </c>
      <c r="CG17" s="23" t="s">
        <v>94</v>
      </c>
      <c r="CH17" s="23">
        <v>34</v>
      </c>
      <c r="CI17" s="23" t="s">
        <v>94</v>
      </c>
      <c r="CJ17" s="23">
        <v>34</v>
      </c>
      <c r="CK17" s="23" t="s">
        <v>94</v>
      </c>
      <c r="CL17" s="23">
        <v>34</v>
      </c>
      <c r="CM17" s="23" t="s">
        <v>94</v>
      </c>
      <c r="CN17" s="23">
        <v>34</v>
      </c>
      <c r="CO17" s="23" t="s">
        <v>94</v>
      </c>
      <c r="CP17" s="23">
        <v>34</v>
      </c>
      <c r="CQ17" s="23" t="s">
        <v>94</v>
      </c>
      <c r="CR17" s="23">
        <v>34</v>
      </c>
      <c r="CS17" s="23" t="s">
        <v>94</v>
      </c>
      <c r="CT17" s="23">
        <v>34</v>
      </c>
      <c r="CU17" s="23" t="s">
        <v>94</v>
      </c>
      <c r="CV17" s="23">
        <v>34</v>
      </c>
      <c r="CW17" s="23" t="s">
        <v>94</v>
      </c>
    </row>
    <row r="18" spans="1:101" x14ac:dyDescent="0.2">
      <c r="A18" s="26" t="s">
        <v>18</v>
      </c>
      <c r="B18" s="24">
        <f>SUM(INGRESO!C18)</f>
        <v>0</v>
      </c>
      <c r="C18" s="24">
        <f>SUM(INGRESO!D18)</f>
        <v>0</v>
      </c>
      <c r="G18" s="24"/>
      <c r="H18" s="24">
        <f>B18</f>
        <v>0</v>
      </c>
      <c r="I18" s="24"/>
      <c r="J18" s="24"/>
      <c r="K18" s="24"/>
      <c r="L18" s="24">
        <f>B18</f>
        <v>0</v>
      </c>
      <c r="M18" s="24">
        <f>B18</f>
        <v>0</v>
      </c>
      <c r="N18" s="24"/>
      <c r="AD18" s="23">
        <v>35</v>
      </c>
      <c r="AF18" s="23">
        <v>35</v>
      </c>
      <c r="AH18" s="23">
        <v>35</v>
      </c>
      <c r="AI18" s="23">
        <v>4</v>
      </c>
      <c r="AJ18" s="23">
        <v>35</v>
      </c>
      <c r="AL18" s="23">
        <v>35</v>
      </c>
      <c r="AM18" s="23">
        <v>6</v>
      </c>
      <c r="AN18" s="23">
        <v>35</v>
      </c>
      <c r="AP18" s="23">
        <v>35</v>
      </c>
      <c r="AR18" s="23">
        <v>35</v>
      </c>
      <c r="AS18" s="23">
        <v>8</v>
      </c>
      <c r="AT18" s="23">
        <v>35</v>
      </c>
      <c r="AV18" s="23">
        <v>35</v>
      </c>
      <c r="AX18" s="23">
        <v>35</v>
      </c>
      <c r="AY18" s="23">
        <v>3</v>
      </c>
      <c r="AZ18" s="23">
        <v>35</v>
      </c>
      <c r="BB18" s="23">
        <v>35</v>
      </c>
      <c r="BC18" s="23">
        <v>16</v>
      </c>
      <c r="BD18" s="23">
        <v>35</v>
      </c>
      <c r="BF18" s="23">
        <v>35</v>
      </c>
      <c r="BG18" s="23">
        <v>13</v>
      </c>
      <c r="BH18" s="23">
        <v>35</v>
      </c>
      <c r="BI18" s="23">
        <v>11</v>
      </c>
      <c r="BJ18" s="23">
        <v>35</v>
      </c>
      <c r="BP18" s="23">
        <v>35</v>
      </c>
      <c r="BQ18" s="23" t="s">
        <v>94</v>
      </c>
      <c r="BR18" s="23">
        <v>35</v>
      </c>
      <c r="BS18" s="23" t="s">
        <v>94</v>
      </c>
      <c r="BT18" s="23">
        <v>35</v>
      </c>
      <c r="BU18" s="23" t="s">
        <v>94</v>
      </c>
      <c r="BV18" s="23">
        <v>35</v>
      </c>
      <c r="BW18" s="23" t="s">
        <v>94</v>
      </c>
      <c r="BX18" s="23">
        <v>35</v>
      </c>
      <c r="BY18" s="23" t="s">
        <v>94</v>
      </c>
      <c r="BZ18" s="23">
        <v>35</v>
      </c>
      <c r="CA18" s="23" t="s">
        <v>94</v>
      </c>
      <c r="CB18" s="23">
        <v>35</v>
      </c>
      <c r="CC18" s="23" t="s">
        <v>94</v>
      </c>
      <c r="CD18" s="23">
        <v>35</v>
      </c>
      <c r="CE18" s="23" t="s">
        <v>94</v>
      </c>
      <c r="CF18" s="23">
        <v>35</v>
      </c>
      <c r="CG18" s="23" t="s">
        <v>94</v>
      </c>
      <c r="CH18" s="23">
        <v>35</v>
      </c>
      <c r="CI18" s="23" t="s">
        <v>94</v>
      </c>
      <c r="CJ18" s="23">
        <v>35</v>
      </c>
      <c r="CK18" s="23" t="s">
        <v>94</v>
      </c>
      <c r="CL18" s="23">
        <v>35</v>
      </c>
      <c r="CM18" s="23" t="s">
        <v>94</v>
      </c>
      <c r="CN18" s="23">
        <v>35</v>
      </c>
      <c r="CO18" s="23" t="s">
        <v>94</v>
      </c>
      <c r="CP18" s="23">
        <v>35</v>
      </c>
      <c r="CQ18" s="23" t="s">
        <v>94</v>
      </c>
      <c r="CR18" s="23">
        <v>35</v>
      </c>
      <c r="CS18" s="23" t="s">
        <v>94</v>
      </c>
      <c r="CT18" s="23">
        <v>35</v>
      </c>
      <c r="CU18" s="23" t="s">
        <v>94</v>
      </c>
      <c r="CV18" s="23">
        <v>35</v>
      </c>
      <c r="CW18" s="23" t="s">
        <v>94</v>
      </c>
    </row>
    <row r="19" spans="1:101" x14ac:dyDescent="0.2">
      <c r="A19" s="26" t="s">
        <v>19</v>
      </c>
      <c r="B19" s="24">
        <f>SUM(INGRESO!C19)</f>
        <v>0</v>
      </c>
      <c r="C19" s="24">
        <f>SUM(INGRESO!D19)</f>
        <v>0</v>
      </c>
      <c r="G19" s="24">
        <f>B19</f>
        <v>0</v>
      </c>
      <c r="H19" s="24">
        <f>B19</f>
        <v>0</v>
      </c>
      <c r="I19" s="24">
        <f>B19</f>
        <v>0</v>
      </c>
      <c r="J19" s="24"/>
      <c r="K19" s="24"/>
      <c r="L19" s="24"/>
      <c r="M19" s="24"/>
      <c r="N19" s="24"/>
      <c r="AD19" s="23">
        <v>36</v>
      </c>
      <c r="AF19" s="23">
        <v>36</v>
      </c>
      <c r="AH19" s="23">
        <v>36</v>
      </c>
      <c r="AI19" s="23">
        <v>5</v>
      </c>
      <c r="AJ19" s="23">
        <v>36</v>
      </c>
      <c r="AK19" s="23">
        <v>6</v>
      </c>
      <c r="AL19" s="23">
        <v>36</v>
      </c>
      <c r="AN19" s="23">
        <v>36</v>
      </c>
      <c r="AO19" s="23">
        <v>11</v>
      </c>
      <c r="AP19" s="23">
        <v>36</v>
      </c>
      <c r="AQ19" s="23">
        <v>12</v>
      </c>
      <c r="AR19" s="23">
        <v>36</v>
      </c>
      <c r="AS19" s="23">
        <v>9</v>
      </c>
      <c r="AT19" s="23">
        <v>36</v>
      </c>
      <c r="AU19" s="23">
        <v>11</v>
      </c>
      <c r="AV19" s="23">
        <v>36</v>
      </c>
      <c r="AW19" s="23">
        <v>13</v>
      </c>
      <c r="AX19" s="23">
        <v>36</v>
      </c>
      <c r="AZ19" s="23">
        <v>36</v>
      </c>
      <c r="BA19" s="23">
        <v>16</v>
      </c>
      <c r="BB19" s="23">
        <v>36</v>
      </c>
      <c r="BC19" s="23">
        <v>17</v>
      </c>
      <c r="BD19" s="23">
        <v>36</v>
      </c>
      <c r="BE19" s="23">
        <v>15</v>
      </c>
      <c r="BF19" s="23">
        <v>36</v>
      </c>
      <c r="BH19" s="23">
        <v>36</v>
      </c>
      <c r="BJ19" s="23">
        <v>36</v>
      </c>
      <c r="BP19" s="23">
        <v>36</v>
      </c>
      <c r="BQ19" s="23" t="s">
        <v>94</v>
      </c>
      <c r="BR19" s="23">
        <v>36</v>
      </c>
      <c r="BS19" s="23" t="s">
        <v>94</v>
      </c>
      <c r="BT19" s="23">
        <v>36</v>
      </c>
      <c r="BU19" s="23" t="s">
        <v>94</v>
      </c>
      <c r="BV19" s="23">
        <v>36</v>
      </c>
      <c r="BW19" s="23" t="s">
        <v>94</v>
      </c>
      <c r="BX19" s="23">
        <v>36</v>
      </c>
      <c r="BY19" s="23" t="s">
        <v>94</v>
      </c>
      <c r="BZ19" s="23">
        <v>36</v>
      </c>
      <c r="CA19" s="23" t="s">
        <v>94</v>
      </c>
      <c r="CB19" s="23">
        <v>36</v>
      </c>
      <c r="CC19" s="23" t="s">
        <v>94</v>
      </c>
      <c r="CD19" s="23">
        <v>36</v>
      </c>
      <c r="CE19" s="23" t="s">
        <v>94</v>
      </c>
      <c r="CF19" s="23">
        <v>36</v>
      </c>
      <c r="CG19" s="23" t="s">
        <v>94</v>
      </c>
      <c r="CH19" s="23">
        <v>36</v>
      </c>
      <c r="CI19" s="23" t="s">
        <v>94</v>
      </c>
      <c r="CJ19" s="23">
        <v>36</v>
      </c>
      <c r="CK19" s="23" t="s">
        <v>94</v>
      </c>
      <c r="CL19" s="23">
        <v>36</v>
      </c>
      <c r="CM19" s="23" t="s">
        <v>94</v>
      </c>
      <c r="CN19" s="23">
        <v>36</v>
      </c>
      <c r="CO19" s="23" t="s">
        <v>94</v>
      </c>
      <c r="CP19" s="23">
        <v>36</v>
      </c>
      <c r="CQ19" s="23" t="s">
        <v>94</v>
      </c>
      <c r="CR19" s="23">
        <v>36</v>
      </c>
      <c r="CS19" s="23" t="s">
        <v>94</v>
      </c>
      <c r="CT19" s="23">
        <v>36</v>
      </c>
      <c r="CU19" s="23" t="s">
        <v>94</v>
      </c>
      <c r="CV19" s="23">
        <v>36</v>
      </c>
      <c r="CW19" s="23" t="s">
        <v>94</v>
      </c>
    </row>
    <row r="20" spans="1:101" x14ac:dyDescent="0.2">
      <c r="A20" s="26" t="s">
        <v>20</v>
      </c>
      <c r="B20" s="24">
        <f>SUM(INGRESO!C20)</f>
        <v>0</v>
      </c>
      <c r="C20" s="24">
        <f>SUM(INGRESO!D20)</f>
        <v>0</v>
      </c>
      <c r="E20" s="24">
        <f>B20</f>
        <v>0</v>
      </c>
      <c r="G20" s="24"/>
      <c r="H20" s="24"/>
      <c r="I20" s="24"/>
      <c r="J20" s="24"/>
      <c r="K20" s="24"/>
      <c r="L20" s="24"/>
      <c r="M20" s="24"/>
      <c r="N20" s="24"/>
      <c r="AD20" s="23">
        <v>37</v>
      </c>
      <c r="AF20" s="23">
        <v>37</v>
      </c>
      <c r="AH20" s="23">
        <v>37</v>
      </c>
      <c r="AJ20" s="23">
        <v>37</v>
      </c>
      <c r="AL20" s="23">
        <v>37</v>
      </c>
      <c r="AM20" s="23">
        <v>7</v>
      </c>
      <c r="AN20" s="23">
        <v>37</v>
      </c>
      <c r="AP20" s="23">
        <v>37</v>
      </c>
      <c r="AR20" s="23">
        <v>37</v>
      </c>
      <c r="AT20" s="23">
        <v>37</v>
      </c>
      <c r="AV20" s="23">
        <v>37</v>
      </c>
      <c r="AX20" s="23">
        <v>37</v>
      </c>
      <c r="AZ20" s="23">
        <v>37</v>
      </c>
      <c r="BB20" s="23">
        <v>37</v>
      </c>
      <c r="BD20" s="23">
        <v>37</v>
      </c>
      <c r="BF20" s="23">
        <v>37</v>
      </c>
      <c r="BG20" s="23">
        <v>14</v>
      </c>
      <c r="BH20" s="23">
        <v>37</v>
      </c>
      <c r="BJ20" s="23">
        <v>37</v>
      </c>
      <c r="BP20" s="23">
        <v>37</v>
      </c>
      <c r="BQ20" s="23" t="s">
        <v>94</v>
      </c>
      <c r="BR20" s="23">
        <v>37</v>
      </c>
      <c r="BS20" s="23" t="s">
        <v>94</v>
      </c>
      <c r="BT20" s="23">
        <v>37</v>
      </c>
      <c r="BU20" s="23" t="s">
        <v>94</v>
      </c>
      <c r="BV20" s="23">
        <v>37</v>
      </c>
      <c r="BW20" s="23" t="s">
        <v>94</v>
      </c>
      <c r="BX20" s="23">
        <v>37</v>
      </c>
      <c r="BY20" s="23" t="s">
        <v>94</v>
      </c>
      <c r="BZ20" s="23">
        <v>37</v>
      </c>
      <c r="CA20" s="23" t="s">
        <v>94</v>
      </c>
      <c r="CB20" s="23">
        <v>37</v>
      </c>
      <c r="CC20" s="23" t="s">
        <v>94</v>
      </c>
      <c r="CD20" s="23">
        <v>37</v>
      </c>
      <c r="CE20" s="23" t="s">
        <v>94</v>
      </c>
      <c r="CF20" s="23">
        <v>37</v>
      </c>
      <c r="CG20" s="23" t="s">
        <v>94</v>
      </c>
      <c r="CH20" s="23">
        <v>37</v>
      </c>
      <c r="CI20" s="23" t="s">
        <v>94</v>
      </c>
      <c r="CJ20" s="23">
        <v>37</v>
      </c>
      <c r="CK20" s="23" t="s">
        <v>94</v>
      </c>
      <c r="CL20" s="23">
        <v>37</v>
      </c>
      <c r="CM20" s="23" t="s">
        <v>94</v>
      </c>
      <c r="CN20" s="23">
        <v>37</v>
      </c>
      <c r="CO20" s="23" t="s">
        <v>94</v>
      </c>
      <c r="CP20" s="23">
        <v>37</v>
      </c>
      <c r="CQ20" s="23" t="s">
        <v>94</v>
      </c>
      <c r="CR20" s="23">
        <v>37</v>
      </c>
      <c r="CS20" s="23" t="s">
        <v>94</v>
      </c>
      <c r="CT20" s="23">
        <v>37</v>
      </c>
      <c r="CU20" s="23" t="s">
        <v>94</v>
      </c>
      <c r="CV20" s="23">
        <v>37</v>
      </c>
      <c r="CW20" s="23" t="s">
        <v>94</v>
      </c>
    </row>
    <row r="21" spans="1:101" x14ac:dyDescent="0.2">
      <c r="A21" s="26" t="s">
        <v>21</v>
      </c>
      <c r="B21" s="24">
        <f>SUM(INGRESO!C21)</f>
        <v>0</v>
      </c>
      <c r="C21" s="24">
        <f>SUM(INGRESO!D21)</f>
        <v>0</v>
      </c>
      <c r="E21" s="24">
        <f>C21</f>
        <v>0</v>
      </c>
      <c r="G21" s="24"/>
      <c r="H21" s="24"/>
      <c r="I21" s="24"/>
      <c r="J21" s="24"/>
      <c r="K21" s="24"/>
      <c r="L21" s="24"/>
      <c r="M21" s="24"/>
      <c r="N21" s="24"/>
      <c r="AD21" s="23">
        <v>38</v>
      </c>
      <c r="AF21" s="23">
        <v>38</v>
      </c>
      <c r="AH21" s="23">
        <v>38</v>
      </c>
      <c r="AI21" s="23">
        <v>6</v>
      </c>
      <c r="AJ21" s="23">
        <v>38</v>
      </c>
      <c r="AL21" s="23">
        <v>38</v>
      </c>
      <c r="AN21" s="23">
        <v>38</v>
      </c>
      <c r="AP21" s="23">
        <v>38</v>
      </c>
      <c r="AQ21" s="23">
        <v>13</v>
      </c>
      <c r="AR21" s="23">
        <v>38</v>
      </c>
      <c r="AS21" s="23">
        <v>10</v>
      </c>
      <c r="AT21" s="23">
        <v>38</v>
      </c>
      <c r="AU21" s="23">
        <v>12</v>
      </c>
      <c r="AV21" s="23">
        <v>38</v>
      </c>
      <c r="AX21" s="23">
        <v>38</v>
      </c>
      <c r="AY21" s="23">
        <v>4</v>
      </c>
      <c r="AZ21" s="23">
        <v>38</v>
      </c>
      <c r="BA21" s="23">
        <v>17</v>
      </c>
      <c r="BB21" s="23">
        <v>38</v>
      </c>
      <c r="BC21" s="23">
        <v>18</v>
      </c>
      <c r="BD21" s="23">
        <v>38</v>
      </c>
      <c r="BE21" s="23">
        <v>16</v>
      </c>
      <c r="BF21" s="23">
        <v>38</v>
      </c>
      <c r="BG21" s="23">
        <v>15</v>
      </c>
      <c r="BH21" s="23">
        <v>38</v>
      </c>
      <c r="BI21" s="23">
        <v>12</v>
      </c>
      <c r="BJ21" s="23">
        <v>38</v>
      </c>
      <c r="BP21" s="23">
        <v>38</v>
      </c>
      <c r="BQ21" s="23" t="s">
        <v>94</v>
      </c>
      <c r="BR21" s="23">
        <v>38</v>
      </c>
      <c r="BS21" s="23" t="s">
        <v>94</v>
      </c>
      <c r="BT21" s="23">
        <v>38</v>
      </c>
      <c r="BU21" s="23" t="s">
        <v>94</v>
      </c>
      <c r="BV21" s="23">
        <v>38</v>
      </c>
      <c r="BW21" s="23" t="s">
        <v>94</v>
      </c>
      <c r="BX21" s="23">
        <v>38</v>
      </c>
      <c r="BY21" s="23" t="s">
        <v>94</v>
      </c>
      <c r="BZ21" s="23">
        <v>38</v>
      </c>
      <c r="CA21" s="23" t="s">
        <v>94</v>
      </c>
      <c r="CB21" s="23">
        <v>38</v>
      </c>
      <c r="CC21" s="23" t="s">
        <v>94</v>
      </c>
      <c r="CD21" s="23">
        <v>38</v>
      </c>
      <c r="CE21" s="23" t="s">
        <v>94</v>
      </c>
      <c r="CF21" s="23">
        <v>38</v>
      </c>
      <c r="CG21" s="23" t="s">
        <v>94</v>
      </c>
      <c r="CH21" s="23">
        <v>38</v>
      </c>
      <c r="CI21" s="23" t="s">
        <v>94</v>
      </c>
      <c r="CJ21" s="23">
        <v>38</v>
      </c>
      <c r="CK21" s="23" t="s">
        <v>94</v>
      </c>
      <c r="CL21" s="23">
        <v>38</v>
      </c>
      <c r="CM21" s="23" t="s">
        <v>94</v>
      </c>
      <c r="CN21" s="23">
        <v>38</v>
      </c>
      <c r="CO21" s="23" t="s">
        <v>94</v>
      </c>
      <c r="CP21" s="23">
        <v>38</v>
      </c>
      <c r="CQ21" s="23" t="s">
        <v>94</v>
      </c>
      <c r="CR21" s="23">
        <v>38</v>
      </c>
      <c r="CS21" s="23" t="s">
        <v>94</v>
      </c>
      <c r="CT21" s="23">
        <v>38</v>
      </c>
      <c r="CU21" s="23" t="s">
        <v>94</v>
      </c>
      <c r="CV21" s="23">
        <v>38</v>
      </c>
      <c r="CW21" s="23" t="s">
        <v>94</v>
      </c>
    </row>
    <row r="22" spans="1:101" x14ac:dyDescent="0.2">
      <c r="A22" s="26" t="s">
        <v>22</v>
      </c>
      <c r="B22" s="24">
        <f>SUM(INGRESO!C22)</f>
        <v>0</v>
      </c>
      <c r="C22" s="24">
        <f>SUM(INGRESO!D22)</f>
        <v>0</v>
      </c>
      <c r="G22" s="24"/>
      <c r="H22" s="24"/>
      <c r="I22" s="24"/>
      <c r="J22" s="24"/>
      <c r="K22" s="24"/>
      <c r="L22" s="24"/>
      <c r="M22" s="24"/>
      <c r="N22" s="24">
        <f>B22</f>
        <v>0</v>
      </c>
      <c r="AD22" s="23">
        <v>39</v>
      </c>
      <c r="AF22" s="23">
        <v>39</v>
      </c>
      <c r="AH22" s="23">
        <v>39</v>
      </c>
      <c r="AJ22" s="23">
        <v>39</v>
      </c>
      <c r="AK22" s="23">
        <v>7</v>
      </c>
      <c r="AL22" s="23">
        <v>39</v>
      </c>
      <c r="AM22" s="23">
        <v>8</v>
      </c>
      <c r="AN22" s="23">
        <v>39</v>
      </c>
      <c r="AO22" s="23">
        <v>12</v>
      </c>
      <c r="AP22" s="23">
        <v>39</v>
      </c>
      <c r="AR22" s="23">
        <v>39</v>
      </c>
      <c r="AT22" s="23">
        <v>39</v>
      </c>
      <c r="AV22" s="23">
        <v>39</v>
      </c>
      <c r="AW22" s="23">
        <v>14</v>
      </c>
      <c r="AX22" s="23">
        <v>39</v>
      </c>
      <c r="AZ22" s="23">
        <v>39</v>
      </c>
      <c r="BB22" s="23">
        <v>39</v>
      </c>
      <c r="BD22" s="23">
        <v>39</v>
      </c>
      <c r="BF22" s="23">
        <v>39</v>
      </c>
      <c r="BH22" s="23">
        <v>39</v>
      </c>
      <c r="BJ22" s="23">
        <v>39</v>
      </c>
      <c r="BP22" s="23">
        <v>39</v>
      </c>
      <c r="BQ22" s="23" t="s">
        <v>94</v>
      </c>
      <c r="BR22" s="23">
        <v>39</v>
      </c>
      <c r="BS22" s="23" t="s">
        <v>94</v>
      </c>
      <c r="BT22" s="23">
        <v>39</v>
      </c>
      <c r="BU22" s="23" t="s">
        <v>94</v>
      </c>
      <c r="BV22" s="23">
        <v>39</v>
      </c>
      <c r="BW22" s="23" t="s">
        <v>94</v>
      </c>
      <c r="BX22" s="23">
        <v>39</v>
      </c>
      <c r="BY22" s="23" t="s">
        <v>94</v>
      </c>
      <c r="BZ22" s="23">
        <v>39</v>
      </c>
      <c r="CA22" s="23" t="s">
        <v>94</v>
      </c>
      <c r="CB22" s="23">
        <v>39</v>
      </c>
      <c r="CC22" s="23" t="s">
        <v>94</v>
      </c>
      <c r="CD22" s="23">
        <v>39</v>
      </c>
      <c r="CE22" s="23" t="s">
        <v>94</v>
      </c>
      <c r="CF22" s="23">
        <v>39</v>
      </c>
      <c r="CG22" s="23" t="s">
        <v>94</v>
      </c>
      <c r="CH22" s="23">
        <v>39</v>
      </c>
      <c r="CI22" s="23" t="s">
        <v>94</v>
      </c>
      <c r="CJ22" s="23">
        <v>39</v>
      </c>
      <c r="CK22" s="23" t="s">
        <v>94</v>
      </c>
      <c r="CL22" s="23">
        <v>39</v>
      </c>
      <c r="CM22" s="23" t="s">
        <v>94</v>
      </c>
      <c r="CN22" s="23">
        <v>39</v>
      </c>
      <c r="CO22" s="23" t="s">
        <v>94</v>
      </c>
      <c r="CP22" s="23">
        <v>39</v>
      </c>
      <c r="CQ22" s="23" t="s">
        <v>94</v>
      </c>
      <c r="CR22" s="23">
        <v>39</v>
      </c>
      <c r="CS22" s="23" t="s">
        <v>94</v>
      </c>
      <c r="CT22" s="23">
        <v>39</v>
      </c>
      <c r="CU22" s="23" t="s">
        <v>94</v>
      </c>
      <c r="CV22" s="23">
        <v>39</v>
      </c>
      <c r="CW22" s="23" t="s">
        <v>94</v>
      </c>
    </row>
    <row r="23" spans="1:101" x14ac:dyDescent="0.2">
      <c r="A23" s="26" t="s">
        <v>23</v>
      </c>
      <c r="B23" s="24">
        <f>SUM(INGRESO!C23)</f>
        <v>0</v>
      </c>
      <c r="C23" s="24">
        <f>SUM(INGRESO!D23)</f>
        <v>0</v>
      </c>
      <c r="G23" s="24"/>
      <c r="H23" s="24">
        <f>B23</f>
        <v>0</v>
      </c>
      <c r="I23" s="24"/>
      <c r="J23" s="24">
        <f>B23</f>
        <v>0</v>
      </c>
      <c r="K23" s="24"/>
      <c r="L23" s="24">
        <f>B23</f>
        <v>0</v>
      </c>
      <c r="M23" s="24"/>
      <c r="N23" s="24"/>
      <c r="AD23" s="23">
        <v>40</v>
      </c>
      <c r="AF23" s="23">
        <v>40</v>
      </c>
      <c r="AH23" s="23">
        <v>40</v>
      </c>
      <c r="AI23" s="23">
        <v>7</v>
      </c>
      <c r="AJ23" s="23">
        <v>40</v>
      </c>
      <c r="AL23" s="23">
        <v>40</v>
      </c>
      <c r="AN23" s="23">
        <v>40</v>
      </c>
      <c r="AP23" s="23">
        <v>40</v>
      </c>
      <c r="AQ23" s="23">
        <v>14</v>
      </c>
      <c r="AR23" s="23">
        <v>40</v>
      </c>
      <c r="AS23" s="23">
        <v>11</v>
      </c>
      <c r="AT23" s="23">
        <v>40</v>
      </c>
      <c r="AU23" s="23">
        <v>13</v>
      </c>
      <c r="AV23" s="23">
        <v>40</v>
      </c>
      <c r="AX23" s="23">
        <v>40</v>
      </c>
      <c r="AZ23" s="23">
        <v>40</v>
      </c>
      <c r="BA23" s="23">
        <v>18</v>
      </c>
      <c r="BB23" s="23">
        <v>40</v>
      </c>
      <c r="BC23" s="23">
        <v>19</v>
      </c>
      <c r="BD23" s="23">
        <v>40</v>
      </c>
      <c r="BE23" s="23">
        <v>17</v>
      </c>
      <c r="BF23" s="23">
        <v>40</v>
      </c>
      <c r="BG23" s="23">
        <v>16</v>
      </c>
      <c r="BH23" s="23">
        <v>40</v>
      </c>
      <c r="BI23" s="23">
        <v>13</v>
      </c>
      <c r="BJ23" s="23">
        <v>40</v>
      </c>
      <c r="BP23" s="23">
        <v>40</v>
      </c>
      <c r="BQ23" s="23" t="s">
        <v>94</v>
      </c>
      <c r="BR23" s="23">
        <v>40</v>
      </c>
      <c r="BS23" s="23" t="s">
        <v>94</v>
      </c>
      <c r="BT23" s="23">
        <v>40</v>
      </c>
      <c r="BU23" s="23" t="s">
        <v>94</v>
      </c>
      <c r="BV23" s="23">
        <v>40</v>
      </c>
      <c r="BW23" s="23" t="s">
        <v>94</v>
      </c>
      <c r="BX23" s="23">
        <v>40</v>
      </c>
      <c r="BY23" s="23" t="s">
        <v>94</v>
      </c>
      <c r="BZ23" s="23">
        <v>40</v>
      </c>
      <c r="CA23" s="23" t="s">
        <v>94</v>
      </c>
      <c r="CB23" s="23">
        <v>40</v>
      </c>
      <c r="CC23" s="23" t="s">
        <v>94</v>
      </c>
      <c r="CD23" s="23">
        <v>40</v>
      </c>
      <c r="CE23" s="23" t="s">
        <v>94</v>
      </c>
      <c r="CF23" s="23">
        <v>40</v>
      </c>
      <c r="CG23" s="23" t="s">
        <v>94</v>
      </c>
      <c r="CH23" s="23">
        <v>40</v>
      </c>
      <c r="CI23" s="23" t="s">
        <v>94</v>
      </c>
      <c r="CJ23" s="23">
        <v>40</v>
      </c>
      <c r="CK23" s="23" t="s">
        <v>94</v>
      </c>
      <c r="CL23" s="23">
        <v>40</v>
      </c>
      <c r="CM23" s="23" t="s">
        <v>94</v>
      </c>
      <c r="CN23" s="23">
        <v>40</v>
      </c>
      <c r="CO23" s="23" t="s">
        <v>94</v>
      </c>
      <c r="CP23" s="23">
        <v>40</v>
      </c>
      <c r="CQ23" s="23" t="s">
        <v>94</v>
      </c>
      <c r="CR23" s="23">
        <v>40</v>
      </c>
      <c r="CS23" s="23" t="s">
        <v>94</v>
      </c>
      <c r="CT23" s="23">
        <v>40</v>
      </c>
      <c r="CU23" s="23" t="s">
        <v>94</v>
      </c>
      <c r="CV23" s="23">
        <v>40</v>
      </c>
      <c r="CW23" s="23" t="s">
        <v>94</v>
      </c>
    </row>
    <row r="24" spans="1:101" x14ac:dyDescent="0.2">
      <c r="A24" s="26" t="s">
        <v>24</v>
      </c>
      <c r="B24" s="24">
        <f>SUM(INGRESO!C24)</f>
        <v>0</v>
      </c>
      <c r="C24" s="24">
        <f>SUM(INGRESO!D24)</f>
        <v>0</v>
      </c>
      <c r="F24" s="24">
        <f>C24</f>
        <v>0</v>
      </c>
      <c r="G24" s="24"/>
      <c r="H24" s="24"/>
      <c r="I24" s="24">
        <f>C24</f>
        <v>0</v>
      </c>
      <c r="J24" s="24"/>
      <c r="K24" s="24"/>
      <c r="L24" s="24"/>
      <c r="M24" s="24"/>
      <c r="N24" s="24"/>
      <c r="AD24" s="23">
        <v>41</v>
      </c>
      <c r="AF24" s="23">
        <v>41</v>
      </c>
      <c r="AH24" s="23">
        <v>41</v>
      </c>
      <c r="AJ24" s="23">
        <v>41</v>
      </c>
      <c r="AK24" s="23">
        <v>8</v>
      </c>
      <c r="AL24" s="23">
        <v>41</v>
      </c>
      <c r="AN24" s="23">
        <v>41</v>
      </c>
      <c r="AO24" s="23">
        <v>13</v>
      </c>
      <c r="AP24" s="23">
        <v>41</v>
      </c>
      <c r="AR24" s="23">
        <v>41</v>
      </c>
      <c r="AT24" s="23">
        <v>41</v>
      </c>
      <c r="AV24" s="23">
        <v>41</v>
      </c>
      <c r="AW24" s="23">
        <v>15</v>
      </c>
      <c r="AX24" s="23">
        <v>41</v>
      </c>
      <c r="AY24" s="23">
        <v>5</v>
      </c>
      <c r="AZ24" s="23">
        <v>41</v>
      </c>
      <c r="BB24" s="23">
        <v>41</v>
      </c>
      <c r="BC24" s="23">
        <v>20</v>
      </c>
      <c r="BD24" s="23">
        <v>41</v>
      </c>
      <c r="BF24" s="23">
        <v>41</v>
      </c>
      <c r="BG24" s="23">
        <v>17</v>
      </c>
      <c r="BH24" s="23">
        <v>41</v>
      </c>
      <c r="BJ24" s="23">
        <v>41</v>
      </c>
      <c r="BP24" s="23">
        <v>41</v>
      </c>
      <c r="BQ24" s="23" t="s">
        <v>94</v>
      </c>
      <c r="BR24" s="23">
        <v>41</v>
      </c>
      <c r="BS24" s="23" t="s">
        <v>94</v>
      </c>
      <c r="BT24" s="23">
        <v>41</v>
      </c>
      <c r="BU24" s="23" t="s">
        <v>94</v>
      </c>
      <c r="BV24" s="23">
        <v>41</v>
      </c>
      <c r="BW24" s="23" t="s">
        <v>94</v>
      </c>
      <c r="BX24" s="23">
        <v>41</v>
      </c>
      <c r="BY24" s="23" t="s">
        <v>94</v>
      </c>
      <c r="BZ24" s="23">
        <v>41</v>
      </c>
      <c r="CA24" s="23" t="s">
        <v>94</v>
      </c>
      <c r="CB24" s="23">
        <v>41</v>
      </c>
      <c r="CC24" s="23" t="s">
        <v>94</v>
      </c>
      <c r="CD24" s="23">
        <v>41</v>
      </c>
      <c r="CE24" s="23" t="s">
        <v>94</v>
      </c>
      <c r="CF24" s="23">
        <v>41</v>
      </c>
      <c r="CG24" s="23" t="s">
        <v>94</v>
      </c>
      <c r="CH24" s="23">
        <v>41</v>
      </c>
      <c r="CI24" s="23" t="s">
        <v>94</v>
      </c>
      <c r="CJ24" s="23">
        <v>41</v>
      </c>
      <c r="CK24" s="23" t="s">
        <v>94</v>
      </c>
      <c r="CL24" s="23">
        <v>41</v>
      </c>
      <c r="CM24" s="23" t="s">
        <v>94</v>
      </c>
      <c r="CN24" s="23">
        <v>41</v>
      </c>
      <c r="CO24" s="23" t="s">
        <v>94</v>
      </c>
      <c r="CP24" s="23">
        <v>41</v>
      </c>
      <c r="CQ24" s="23" t="s">
        <v>94</v>
      </c>
      <c r="CR24" s="23">
        <v>41</v>
      </c>
      <c r="CS24" s="23" t="s">
        <v>94</v>
      </c>
      <c r="CT24" s="23">
        <v>41</v>
      </c>
      <c r="CU24" s="23" t="s">
        <v>94</v>
      </c>
      <c r="CV24" s="23">
        <v>41</v>
      </c>
      <c r="CW24" s="23" t="s">
        <v>94</v>
      </c>
    </row>
    <row r="25" spans="1:101" x14ac:dyDescent="0.2">
      <c r="A25" s="26" t="s">
        <v>25</v>
      </c>
      <c r="B25" s="24">
        <f>SUM(INGRESO!C25)</f>
        <v>0</v>
      </c>
      <c r="C25" s="24">
        <f>SUM(INGRESO!D25)</f>
        <v>0</v>
      </c>
      <c r="D25" s="24">
        <f>C25</f>
        <v>0</v>
      </c>
      <c r="E25" s="24">
        <f>C25</f>
        <v>0</v>
      </c>
      <c r="G25" s="24"/>
      <c r="H25" s="24"/>
      <c r="I25" s="24"/>
      <c r="J25" s="24"/>
      <c r="K25" s="24"/>
      <c r="L25" s="24"/>
      <c r="M25" s="24"/>
      <c r="N25" s="24"/>
      <c r="AD25" s="23">
        <v>42</v>
      </c>
      <c r="AF25" s="23">
        <v>42</v>
      </c>
      <c r="AH25" s="23">
        <v>42</v>
      </c>
      <c r="AI25" s="23">
        <v>8</v>
      </c>
      <c r="AJ25" s="23">
        <v>42</v>
      </c>
      <c r="AL25" s="23">
        <v>42</v>
      </c>
      <c r="AM25" s="23">
        <v>9</v>
      </c>
      <c r="AN25" s="23">
        <v>42</v>
      </c>
      <c r="AP25" s="23">
        <v>42</v>
      </c>
      <c r="AQ25" s="23">
        <v>15</v>
      </c>
      <c r="AR25" s="23">
        <v>42</v>
      </c>
      <c r="AS25" s="23">
        <v>12</v>
      </c>
      <c r="AT25" s="23">
        <v>42</v>
      </c>
      <c r="AU25" s="23">
        <v>14</v>
      </c>
      <c r="AV25" s="23">
        <v>42</v>
      </c>
      <c r="AX25" s="23">
        <v>42</v>
      </c>
      <c r="AZ25" s="23">
        <v>42</v>
      </c>
      <c r="BA25" s="23">
        <v>19</v>
      </c>
      <c r="BB25" s="23">
        <v>42</v>
      </c>
      <c r="BD25" s="23">
        <v>42</v>
      </c>
      <c r="BE25" s="23">
        <v>18</v>
      </c>
      <c r="BF25" s="23">
        <v>42</v>
      </c>
      <c r="BH25" s="23">
        <v>42</v>
      </c>
      <c r="BJ25" s="23">
        <v>42</v>
      </c>
      <c r="BP25" s="23">
        <v>42</v>
      </c>
      <c r="BQ25" s="23" t="s">
        <v>94</v>
      </c>
      <c r="BR25" s="23">
        <v>42</v>
      </c>
      <c r="BS25" s="23" t="s">
        <v>94</v>
      </c>
      <c r="BT25" s="23">
        <v>42</v>
      </c>
      <c r="BU25" s="23" t="s">
        <v>94</v>
      </c>
      <c r="BV25" s="23">
        <v>42</v>
      </c>
      <c r="BW25" s="23" t="s">
        <v>94</v>
      </c>
      <c r="BX25" s="23">
        <v>42</v>
      </c>
      <c r="BY25" s="23" t="s">
        <v>94</v>
      </c>
      <c r="BZ25" s="23">
        <v>42</v>
      </c>
      <c r="CA25" s="23" t="s">
        <v>94</v>
      </c>
      <c r="CB25" s="23">
        <v>42</v>
      </c>
      <c r="CC25" s="23" t="s">
        <v>94</v>
      </c>
      <c r="CD25" s="23">
        <v>42</v>
      </c>
      <c r="CE25" s="23" t="s">
        <v>94</v>
      </c>
      <c r="CF25" s="23">
        <v>42</v>
      </c>
      <c r="CG25" s="23" t="s">
        <v>94</v>
      </c>
      <c r="CH25" s="23">
        <v>42</v>
      </c>
      <c r="CI25" s="23" t="s">
        <v>94</v>
      </c>
      <c r="CJ25" s="23">
        <v>42</v>
      </c>
      <c r="CK25" s="23" t="s">
        <v>94</v>
      </c>
      <c r="CL25" s="23">
        <v>42</v>
      </c>
      <c r="CM25" s="23" t="s">
        <v>94</v>
      </c>
      <c r="CN25" s="23">
        <v>42</v>
      </c>
      <c r="CO25" s="23" t="s">
        <v>94</v>
      </c>
      <c r="CP25" s="23">
        <v>42</v>
      </c>
      <c r="CQ25" s="23" t="s">
        <v>94</v>
      </c>
      <c r="CR25" s="23">
        <v>42</v>
      </c>
      <c r="CS25" s="23" t="s">
        <v>94</v>
      </c>
      <c r="CT25" s="23">
        <v>42</v>
      </c>
      <c r="CU25" s="23" t="s">
        <v>94</v>
      </c>
      <c r="CV25" s="23">
        <v>42</v>
      </c>
      <c r="CW25" s="23" t="s">
        <v>94</v>
      </c>
    </row>
    <row r="26" spans="1:101" x14ac:dyDescent="0.2">
      <c r="A26" s="26" t="s">
        <v>26</v>
      </c>
      <c r="B26" s="24">
        <f>SUM(INGRESO!C26)</f>
        <v>0</v>
      </c>
      <c r="C26" s="24">
        <f>SUM(INGRESO!D26)</f>
        <v>0</v>
      </c>
      <c r="G26" s="24"/>
      <c r="H26" s="24">
        <f>B26</f>
        <v>0</v>
      </c>
      <c r="I26" s="24"/>
      <c r="J26" s="24"/>
      <c r="K26" s="24"/>
      <c r="L26" s="24">
        <f>B26</f>
        <v>0</v>
      </c>
      <c r="M26" s="24"/>
      <c r="N26" s="24"/>
      <c r="AD26" s="23">
        <v>43</v>
      </c>
      <c r="AF26" s="23">
        <v>43</v>
      </c>
      <c r="AH26" s="23">
        <v>43</v>
      </c>
      <c r="AJ26" s="23">
        <v>43</v>
      </c>
      <c r="AL26" s="23">
        <v>43</v>
      </c>
      <c r="AN26" s="23">
        <v>43</v>
      </c>
      <c r="AP26" s="23">
        <v>43</v>
      </c>
      <c r="AR26" s="23">
        <v>43</v>
      </c>
      <c r="AT26" s="23">
        <v>43</v>
      </c>
      <c r="AU26" s="23">
        <v>15</v>
      </c>
      <c r="AV26" s="23">
        <v>43</v>
      </c>
      <c r="AW26" s="23">
        <v>16</v>
      </c>
      <c r="AX26" s="23">
        <v>43</v>
      </c>
      <c r="AZ26" s="23">
        <v>43</v>
      </c>
      <c r="BB26" s="23">
        <v>43</v>
      </c>
      <c r="BC26" s="23">
        <v>21</v>
      </c>
      <c r="BD26" s="23">
        <v>43</v>
      </c>
      <c r="BF26" s="23">
        <v>43</v>
      </c>
      <c r="BG26" s="23">
        <v>18</v>
      </c>
      <c r="BH26" s="23">
        <v>43</v>
      </c>
      <c r="BI26" s="23">
        <v>14</v>
      </c>
      <c r="BJ26" s="23">
        <v>43</v>
      </c>
      <c r="BP26" s="23">
        <v>43</v>
      </c>
      <c r="BQ26" s="23" t="s">
        <v>94</v>
      </c>
      <c r="BR26" s="23">
        <v>43</v>
      </c>
      <c r="BS26" s="23" t="s">
        <v>94</v>
      </c>
      <c r="BT26" s="23">
        <v>43</v>
      </c>
      <c r="BU26" s="23" t="s">
        <v>94</v>
      </c>
      <c r="BV26" s="23">
        <v>43</v>
      </c>
      <c r="BW26" s="23" t="s">
        <v>94</v>
      </c>
      <c r="BX26" s="23">
        <v>43</v>
      </c>
      <c r="BY26" s="23" t="s">
        <v>94</v>
      </c>
      <c r="BZ26" s="23">
        <v>43</v>
      </c>
      <c r="CA26" s="23" t="s">
        <v>94</v>
      </c>
      <c r="CB26" s="23">
        <v>43</v>
      </c>
      <c r="CC26" s="23" t="s">
        <v>94</v>
      </c>
      <c r="CD26" s="23">
        <v>43</v>
      </c>
      <c r="CE26" s="23" t="s">
        <v>94</v>
      </c>
      <c r="CF26" s="23">
        <v>43</v>
      </c>
      <c r="CG26" s="23" t="s">
        <v>94</v>
      </c>
      <c r="CH26" s="23">
        <v>43</v>
      </c>
      <c r="CI26" s="23" t="s">
        <v>94</v>
      </c>
      <c r="CJ26" s="23">
        <v>43</v>
      </c>
      <c r="CK26" s="23" t="s">
        <v>94</v>
      </c>
      <c r="CL26" s="23">
        <v>43</v>
      </c>
      <c r="CM26" s="23" t="s">
        <v>94</v>
      </c>
      <c r="CN26" s="23">
        <v>43</v>
      </c>
      <c r="CO26" s="23" t="s">
        <v>94</v>
      </c>
      <c r="CP26" s="23">
        <v>43</v>
      </c>
      <c r="CQ26" s="23" t="s">
        <v>94</v>
      </c>
      <c r="CR26" s="23">
        <v>43</v>
      </c>
      <c r="CS26" s="23" t="s">
        <v>94</v>
      </c>
      <c r="CT26" s="23">
        <v>43</v>
      </c>
      <c r="CU26" s="23" t="s">
        <v>94</v>
      </c>
      <c r="CV26" s="23">
        <v>43</v>
      </c>
      <c r="CW26" s="23" t="s">
        <v>94</v>
      </c>
    </row>
    <row r="27" spans="1:101" x14ac:dyDescent="0.2">
      <c r="A27" s="26" t="s">
        <v>27</v>
      </c>
      <c r="B27" s="24">
        <f>SUM(INGRESO!C27)</f>
        <v>0</v>
      </c>
      <c r="C27" s="24">
        <f>SUM(INGRESO!D27)</f>
        <v>0</v>
      </c>
      <c r="G27" s="24">
        <f>B27</f>
        <v>0</v>
      </c>
      <c r="H27" s="24"/>
      <c r="I27" s="24"/>
      <c r="J27" s="24"/>
      <c r="K27" s="24"/>
      <c r="L27" s="24"/>
      <c r="M27" s="24">
        <f>B27</f>
        <v>0</v>
      </c>
      <c r="N27" s="24"/>
      <c r="AD27" s="23">
        <v>44</v>
      </c>
      <c r="AF27" s="23">
        <v>44</v>
      </c>
      <c r="AH27" s="23">
        <v>44</v>
      </c>
      <c r="AI27" s="23">
        <v>9</v>
      </c>
      <c r="AJ27" s="23">
        <v>44</v>
      </c>
      <c r="AK27" s="23">
        <v>9</v>
      </c>
      <c r="AL27" s="23">
        <v>44</v>
      </c>
      <c r="AM27" s="23">
        <v>10</v>
      </c>
      <c r="AN27" s="23">
        <v>44</v>
      </c>
      <c r="AO27" s="23">
        <v>14</v>
      </c>
      <c r="AP27" s="23">
        <v>44</v>
      </c>
      <c r="AQ27" s="23">
        <v>16</v>
      </c>
      <c r="AR27" s="23">
        <v>44</v>
      </c>
      <c r="AS27" s="23">
        <v>13</v>
      </c>
      <c r="AT27" s="23">
        <v>44</v>
      </c>
      <c r="AV27" s="23">
        <v>44</v>
      </c>
      <c r="AX27" s="23">
        <v>44</v>
      </c>
      <c r="AY27" s="23">
        <v>6</v>
      </c>
      <c r="AZ27" s="23">
        <v>44</v>
      </c>
      <c r="BA27" s="23">
        <v>20</v>
      </c>
      <c r="BB27" s="23">
        <v>44</v>
      </c>
      <c r="BD27" s="23">
        <v>44</v>
      </c>
      <c r="BE27" s="23">
        <v>19</v>
      </c>
      <c r="BF27" s="23">
        <v>44</v>
      </c>
      <c r="BG27" s="23">
        <v>19</v>
      </c>
      <c r="BH27" s="23">
        <v>44</v>
      </c>
      <c r="BJ27" s="23">
        <v>44</v>
      </c>
      <c r="BP27" s="23">
        <v>44</v>
      </c>
      <c r="BQ27" s="23" t="s">
        <v>94</v>
      </c>
      <c r="BR27" s="23">
        <v>44</v>
      </c>
      <c r="BS27" s="23" t="s">
        <v>94</v>
      </c>
      <c r="BT27" s="23">
        <v>44</v>
      </c>
      <c r="BU27" s="23" t="s">
        <v>94</v>
      </c>
      <c r="BV27" s="23">
        <v>44</v>
      </c>
      <c r="BW27" s="23" t="s">
        <v>94</v>
      </c>
      <c r="BX27" s="23">
        <v>44</v>
      </c>
      <c r="BY27" s="23" t="s">
        <v>94</v>
      </c>
      <c r="BZ27" s="23">
        <v>44</v>
      </c>
      <c r="CA27" s="23" t="s">
        <v>94</v>
      </c>
      <c r="CB27" s="23">
        <v>44</v>
      </c>
      <c r="CC27" s="23" t="s">
        <v>94</v>
      </c>
      <c r="CD27" s="23">
        <v>44</v>
      </c>
      <c r="CE27" s="23" t="s">
        <v>94</v>
      </c>
      <c r="CF27" s="23">
        <v>44</v>
      </c>
      <c r="CG27" s="23" t="s">
        <v>94</v>
      </c>
      <c r="CH27" s="23">
        <v>44</v>
      </c>
      <c r="CI27" s="23" t="s">
        <v>94</v>
      </c>
      <c r="CJ27" s="23">
        <v>44</v>
      </c>
      <c r="CK27" s="23" t="s">
        <v>94</v>
      </c>
      <c r="CL27" s="23">
        <v>44</v>
      </c>
      <c r="CM27" s="23" t="s">
        <v>94</v>
      </c>
      <c r="CN27" s="23">
        <v>44</v>
      </c>
      <c r="CO27" s="23" t="s">
        <v>94</v>
      </c>
      <c r="CP27" s="23">
        <v>44</v>
      </c>
      <c r="CQ27" s="23" t="s">
        <v>94</v>
      </c>
      <c r="CR27" s="23">
        <v>44</v>
      </c>
      <c r="CS27" s="23" t="s">
        <v>94</v>
      </c>
      <c r="CT27" s="23">
        <v>44</v>
      </c>
      <c r="CU27" s="23" t="s">
        <v>94</v>
      </c>
      <c r="CV27" s="23">
        <v>44</v>
      </c>
      <c r="CW27" s="23" t="s">
        <v>94</v>
      </c>
    </row>
    <row r="28" spans="1:101" x14ac:dyDescent="0.2">
      <c r="A28" s="26" t="s">
        <v>28</v>
      </c>
      <c r="B28" s="24">
        <f>SUM(INGRESO!C28)</f>
        <v>0</v>
      </c>
      <c r="C28" s="24">
        <f>SUM(INGRESO!D28)</f>
        <v>0</v>
      </c>
      <c r="G28" s="24"/>
      <c r="H28" s="24"/>
      <c r="I28" s="24"/>
      <c r="J28" s="24">
        <f>B28</f>
        <v>0</v>
      </c>
      <c r="K28" s="24"/>
      <c r="L28" s="24">
        <f>B28</f>
        <v>0</v>
      </c>
      <c r="M28" s="24"/>
      <c r="N28" s="24"/>
      <c r="AD28" s="23">
        <v>45</v>
      </c>
      <c r="AF28" s="23">
        <v>45</v>
      </c>
      <c r="AH28" s="23">
        <v>45</v>
      </c>
      <c r="AJ28" s="23">
        <v>45</v>
      </c>
      <c r="AL28" s="23">
        <v>45</v>
      </c>
      <c r="AN28" s="23">
        <v>45</v>
      </c>
      <c r="AP28" s="23">
        <v>45</v>
      </c>
      <c r="AR28" s="23">
        <v>45</v>
      </c>
      <c r="AS28" s="23">
        <v>14</v>
      </c>
      <c r="AT28" s="23">
        <v>45</v>
      </c>
      <c r="AU28" s="23">
        <v>16</v>
      </c>
      <c r="AV28" s="23">
        <v>45</v>
      </c>
      <c r="AX28" s="23">
        <v>45</v>
      </c>
      <c r="AZ28" s="23">
        <v>45</v>
      </c>
      <c r="BB28" s="23">
        <v>45</v>
      </c>
      <c r="BC28" s="23">
        <v>22</v>
      </c>
      <c r="BD28" s="23">
        <v>45</v>
      </c>
      <c r="BF28" s="23">
        <v>45</v>
      </c>
      <c r="BH28" s="23">
        <v>45</v>
      </c>
      <c r="BI28" s="23">
        <v>15</v>
      </c>
      <c r="BJ28" s="23">
        <v>45</v>
      </c>
      <c r="BP28" s="23">
        <v>45</v>
      </c>
      <c r="BQ28" s="23" t="s">
        <v>94</v>
      </c>
      <c r="BR28" s="23">
        <v>45</v>
      </c>
      <c r="BS28" s="23" t="s">
        <v>94</v>
      </c>
      <c r="BT28" s="23">
        <v>45</v>
      </c>
      <c r="BU28" s="23" t="s">
        <v>94</v>
      </c>
      <c r="BV28" s="23">
        <v>45</v>
      </c>
      <c r="BW28" s="23" t="s">
        <v>95</v>
      </c>
      <c r="BX28" s="23">
        <v>45</v>
      </c>
      <c r="BY28" s="23" t="s">
        <v>95</v>
      </c>
      <c r="BZ28" s="23">
        <v>45</v>
      </c>
      <c r="CA28" s="23" t="s">
        <v>95</v>
      </c>
      <c r="CB28" s="23">
        <v>45</v>
      </c>
      <c r="CC28" s="23" t="s">
        <v>95</v>
      </c>
      <c r="CD28" s="23">
        <v>45</v>
      </c>
      <c r="CE28" s="23" t="s">
        <v>95</v>
      </c>
      <c r="CF28" s="23">
        <v>45</v>
      </c>
      <c r="CG28" s="23" t="s">
        <v>95</v>
      </c>
      <c r="CH28" s="23">
        <v>45</v>
      </c>
      <c r="CI28" s="23" t="s">
        <v>95</v>
      </c>
      <c r="CJ28" s="23">
        <v>45</v>
      </c>
      <c r="CK28" s="23" t="s">
        <v>95</v>
      </c>
      <c r="CL28" s="23">
        <v>45</v>
      </c>
      <c r="CM28" s="23" t="s">
        <v>95</v>
      </c>
      <c r="CN28" s="23">
        <v>45</v>
      </c>
      <c r="CO28" s="23" t="s">
        <v>95</v>
      </c>
      <c r="CP28" s="23">
        <v>45</v>
      </c>
      <c r="CQ28" s="23" t="s">
        <v>95</v>
      </c>
      <c r="CR28" s="23">
        <v>45</v>
      </c>
      <c r="CS28" s="23" t="s">
        <v>95</v>
      </c>
      <c r="CT28" s="23">
        <v>45</v>
      </c>
      <c r="CU28" s="23" t="s">
        <v>95</v>
      </c>
      <c r="CV28" s="23">
        <v>45</v>
      </c>
      <c r="CW28" s="23" t="s">
        <v>95</v>
      </c>
    </row>
    <row r="29" spans="1:101" x14ac:dyDescent="0.2">
      <c r="A29" s="26" t="s">
        <v>29</v>
      </c>
      <c r="B29" s="24">
        <f>SUM(INGRESO!C29)</f>
        <v>0</v>
      </c>
      <c r="C29" s="24">
        <f>SUM(INGRESO!D29)</f>
        <v>0</v>
      </c>
      <c r="G29" s="24"/>
      <c r="H29" s="24">
        <f>C29</f>
        <v>0</v>
      </c>
      <c r="I29" s="24">
        <f>C29</f>
        <v>0</v>
      </c>
      <c r="J29" s="24">
        <f>C29</f>
        <v>0</v>
      </c>
      <c r="K29" s="24">
        <f>C29</f>
        <v>0</v>
      </c>
      <c r="L29" s="24"/>
      <c r="M29" s="24"/>
      <c r="N29" s="24"/>
      <c r="AD29" s="23">
        <v>46</v>
      </c>
      <c r="AF29" s="23">
        <v>46</v>
      </c>
      <c r="AH29" s="23">
        <v>46</v>
      </c>
      <c r="AI29" s="23">
        <v>10</v>
      </c>
      <c r="AJ29" s="23">
        <v>46</v>
      </c>
      <c r="AL29" s="23">
        <v>46</v>
      </c>
      <c r="AM29" s="23">
        <v>11</v>
      </c>
      <c r="AN29" s="23">
        <v>46</v>
      </c>
      <c r="AO29" s="23">
        <v>15</v>
      </c>
      <c r="AP29" s="23">
        <v>46</v>
      </c>
      <c r="AQ29" s="23">
        <v>17</v>
      </c>
      <c r="AR29" s="23">
        <v>46</v>
      </c>
      <c r="AT29" s="23">
        <v>46</v>
      </c>
      <c r="AV29" s="23">
        <v>46</v>
      </c>
      <c r="AW29" s="23">
        <v>17</v>
      </c>
      <c r="AX29" s="23">
        <v>46</v>
      </c>
      <c r="AZ29" s="23">
        <v>46</v>
      </c>
      <c r="BA29" s="23">
        <v>21</v>
      </c>
      <c r="BB29" s="23">
        <v>46</v>
      </c>
      <c r="BC29" s="23">
        <v>23</v>
      </c>
      <c r="BD29" s="23">
        <v>46</v>
      </c>
      <c r="BE29" s="23">
        <v>20</v>
      </c>
      <c r="BF29" s="23">
        <v>46</v>
      </c>
      <c r="BG29" s="23">
        <v>20</v>
      </c>
      <c r="BH29" s="23">
        <v>46</v>
      </c>
      <c r="BJ29" s="23">
        <v>46</v>
      </c>
      <c r="BP29" s="23">
        <v>46</v>
      </c>
      <c r="BQ29" s="23" t="s">
        <v>94</v>
      </c>
      <c r="BR29" s="23">
        <v>46</v>
      </c>
      <c r="BS29" s="23" t="s">
        <v>94</v>
      </c>
      <c r="BT29" s="23">
        <v>46</v>
      </c>
      <c r="BU29" s="23" t="s">
        <v>94</v>
      </c>
      <c r="BV29" s="23">
        <v>46</v>
      </c>
      <c r="BW29" s="23" t="s">
        <v>95</v>
      </c>
      <c r="BX29" s="23">
        <v>46</v>
      </c>
      <c r="BY29" s="23" t="s">
        <v>95</v>
      </c>
      <c r="BZ29" s="23">
        <v>46</v>
      </c>
      <c r="CA29" s="23" t="s">
        <v>95</v>
      </c>
      <c r="CB29" s="23">
        <v>46</v>
      </c>
      <c r="CC29" s="23" t="s">
        <v>95</v>
      </c>
      <c r="CD29" s="23">
        <v>46</v>
      </c>
      <c r="CE29" s="23" t="s">
        <v>95</v>
      </c>
      <c r="CF29" s="23">
        <v>46</v>
      </c>
      <c r="CG29" s="23" t="s">
        <v>95</v>
      </c>
      <c r="CH29" s="23">
        <v>46</v>
      </c>
      <c r="CI29" s="23" t="s">
        <v>95</v>
      </c>
      <c r="CJ29" s="23">
        <v>46</v>
      </c>
      <c r="CK29" s="23" t="s">
        <v>95</v>
      </c>
      <c r="CL29" s="23">
        <v>46</v>
      </c>
      <c r="CM29" s="23" t="s">
        <v>95</v>
      </c>
      <c r="CN29" s="23">
        <v>46</v>
      </c>
      <c r="CO29" s="23" t="s">
        <v>95</v>
      </c>
      <c r="CP29" s="23">
        <v>46</v>
      </c>
      <c r="CQ29" s="23" t="s">
        <v>95</v>
      </c>
      <c r="CR29" s="23">
        <v>46</v>
      </c>
      <c r="CS29" s="23" t="s">
        <v>95</v>
      </c>
      <c r="CT29" s="23">
        <v>46</v>
      </c>
      <c r="CU29" s="23" t="s">
        <v>95</v>
      </c>
      <c r="CV29" s="23">
        <v>46</v>
      </c>
      <c r="CW29" s="23" t="s">
        <v>95</v>
      </c>
    </row>
    <row r="30" spans="1:101" x14ac:dyDescent="0.2">
      <c r="A30" s="26" t="s">
        <v>30</v>
      </c>
      <c r="B30" s="24">
        <f>SUM(INGRESO!C30)</f>
        <v>0</v>
      </c>
      <c r="C30" s="24">
        <f>SUM(INGRESO!D30)</f>
        <v>0</v>
      </c>
      <c r="G30" s="24"/>
      <c r="H30" s="24"/>
      <c r="I30" s="24">
        <f>C30</f>
        <v>0</v>
      </c>
      <c r="J30" s="24"/>
      <c r="K30" s="24">
        <f>C30</f>
        <v>0</v>
      </c>
      <c r="L30" s="24"/>
      <c r="M30" s="24"/>
      <c r="N30" s="24">
        <f>B30</f>
        <v>0</v>
      </c>
      <c r="AD30" s="23">
        <v>47</v>
      </c>
      <c r="AF30" s="23">
        <v>47</v>
      </c>
      <c r="AH30" s="23">
        <v>47</v>
      </c>
      <c r="AJ30" s="23">
        <v>47</v>
      </c>
      <c r="AK30" s="23">
        <v>10</v>
      </c>
      <c r="AL30" s="23">
        <v>47</v>
      </c>
      <c r="AN30" s="23">
        <v>47</v>
      </c>
      <c r="AP30" s="23">
        <v>47</v>
      </c>
      <c r="AQ30" s="23">
        <v>18</v>
      </c>
      <c r="AR30" s="23">
        <v>47</v>
      </c>
      <c r="AS30" s="23">
        <v>15</v>
      </c>
      <c r="AT30" s="23">
        <v>47</v>
      </c>
      <c r="AU30" s="23">
        <v>17</v>
      </c>
      <c r="AV30" s="23">
        <v>47</v>
      </c>
      <c r="AX30" s="23">
        <v>47</v>
      </c>
      <c r="AY30" s="23">
        <v>7</v>
      </c>
      <c r="AZ30" s="23">
        <v>47</v>
      </c>
      <c r="BB30" s="23">
        <v>47</v>
      </c>
      <c r="BD30" s="23">
        <v>47</v>
      </c>
      <c r="BF30" s="23">
        <v>47</v>
      </c>
      <c r="BG30" s="23">
        <v>21</v>
      </c>
      <c r="BH30" s="23">
        <v>47</v>
      </c>
      <c r="BJ30" s="23">
        <v>47</v>
      </c>
      <c r="BP30" s="23">
        <v>47</v>
      </c>
      <c r="BQ30" s="23" t="s">
        <v>94</v>
      </c>
      <c r="BR30" s="23">
        <v>47</v>
      </c>
      <c r="BS30" s="23" t="s">
        <v>94</v>
      </c>
      <c r="BT30" s="23">
        <v>47</v>
      </c>
      <c r="BU30" s="23" t="s">
        <v>94</v>
      </c>
      <c r="BV30" s="23">
        <v>47</v>
      </c>
      <c r="BW30" s="23" t="s">
        <v>95</v>
      </c>
      <c r="BX30" s="23">
        <v>47</v>
      </c>
      <c r="BY30" s="23" t="s">
        <v>95</v>
      </c>
      <c r="BZ30" s="23">
        <v>47</v>
      </c>
      <c r="CA30" s="23" t="s">
        <v>95</v>
      </c>
      <c r="CB30" s="23">
        <v>47</v>
      </c>
      <c r="CC30" s="23" t="s">
        <v>95</v>
      </c>
      <c r="CD30" s="23">
        <v>47</v>
      </c>
      <c r="CE30" s="23" t="s">
        <v>95</v>
      </c>
      <c r="CF30" s="23">
        <v>47</v>
      </c>
      <c r="CG30" s="23" t="s">
        <v>95</v>
      </c>
      <c r="CH30" s="23">
        <v>47</v>
      </c>
      <c r="CI30" s="23" t="s">
        <v>95</v>
      </c>
      <c r="CJ30" s="23">
        <v>47</v>
      </c>
      <c r="CK30" s="23" t="s">
        <v>95</v>
      </c>
      <c r="CL30" s="23">
        <v>47</v>
      </c>
      <c r="CM30" s="23" t="s">
        <v>95</v>
      </c>
      <c r="CN30" s="23">
        <v>47</v>
      </c>
      <c r="CO30" s="23" t="s">
        <v>95</v>
      </c>
      <c r="CP30" s="23">
        <v>47</v>
      </c>
      <c r="CQ30" s="23" t="s">
        <v>95</v>
      </c>
      <c r="CR30" s="23">
        <v>47</v>
      </c>
      <c r="CS30" s="23" t="s">
        <v>95</v>
      </c>
      <c r="CT30" s="23">
        <v>47</v>
      </c>
      <c r="CU30" s="23" t="s">
        <v>95</v>
      </c>
      <c r="CV30" s="23">
        <v>47</v>
      </c>
      <c r="CW30" s="23" t="s">
        <v>95</v>
      </c>
    </row>
    <row r="31" spans="1:101" x14ac:dyDescent="0.2">
      <c r="A31" s="26" t="s">
        <v>31</v>
      </c>
      <c r="B31" s="24">
        <f>SUM(INGRESO!C31)</f>
        <v>0</v>
      </c>
      <c r="C31" s="24">
        <f>SUM(INGRESO!D31)</f>
        <v>0</v>
      </c>
      <c r="E31" s="24">
        <f>B31</f>
        <v>0</v>
      </c>
      <c r="G31" s="24"/>
      <c r="H31" s="24"/>
      <c r="I31" s="24"/>
      <c r="J31" s="24"/>
      <c r="K31" s="24">
        <f>B31</f>
        <v>0</v>
      </c>
      <c r="L31" s="24"/>
      <c r="M31" s="24">
        <f>B31</f>
        <v>0</v>
      </c>
      <c r="N31" s="24"/>
      <c r="AD31" s="23">
        <v>48</v>
      </c>
      <c r="AF31" s="23">
        <v>48</v>
      </c>
      <c r="AH31" s="23">
        <v>48</v>
      </c>
      <c r="AI31" s="23">
        <v>11</v>
      </c>
      <c r="AJ31" s="23">
        <v>48</v>
      </c>
      <c r="AL31" s="23">
        <v>48</v>
      </c>
      <c r="AM31" s="23">
        <v>12</v>
      </c>
      <c r="AN31" s="23">
        <v>48</v>
      </c>
      <c r="AO31" s="23">
        <v>16</v>
      </c>
      <c r="AP31" s="23">
        <v>48</v>
      </c>
      <c r="AR31" s="23">
        <v>48</v>
      </c>
      <c r="AT31" s="23">
        <v>48</v>
      </c>
      <c r="AV31" s="23">
        <v>48</v>
      </c>
      <c r="AW31" s="23">
        <v>18</v>
      </c>
      <c r="AX31" s="23">
        <v>48</v>
      </c>
      <c r="AZ31" s="23">
        <v>48</v>
      </c>
      <c r="BA31" s="23">
        <v>22</v>
      </c>
      <c r="BB31" s="23">
        <v>48</v>
      </c>
      <c r="BC31" s="23">
        <v>24</v>
      </c>
      <c r="BD31" s="23">
        <v>48</v>
      </c>
      <c r="BE31" s="23">
        <v>21</v>
      </c>
      <c r="BF31" s="23">
        <v>48</v>
      </c>
      <c r="BH31" s="23">
        <v>48</v>
      </c>
      <c r="BI31" s="23">
        <v>16</v>
      </c>
      <c r="BJ31" s="23">
        <v>48</v>
      </c>
      <c r="BP31" s="23">
        <v>48</v>
      </c>
      <c r="BQ31" s="23" t="s">
        <v>94</v>
      </c>
      <c r="BR31" s="23">
        <v>48</v>
      </c>
      <c r="BS31" s="23" t="s">
        <v>94</v>
      </c>
      <c r="BT31" s="23">
        <v>48</v>
      </c>
      <c r="BU31" s="23" t="s">
        <v>94</v>
      </c>
      <c r="BV31" s="23">
        <v>48</v>
      </c>
      <c r="BW31" s="23" t="s">
        <v>95</v>
      </c>
      <c r="BX31" s="23">
        <v>48</v>
      </c>
      <c r="BY31" s="23" t="s">
        <v>95</v>
      </c>
      <c r="BZ31" s="23">
        <v>48</v>
      </c>
      <c r="CA31" s="23" t="s">
        <v>95</v>
      </c>
      <c r="CB31" s="23">
        <v>48</v>
      </c>
      <c r="CC31" s="23" t="s">
        <v>95</v>
      </c>
      <c r="CD31" s="23">
        <v>48</v>
      </c>
      <c r="CE31" s="23" t="s">
        <v>95</v>
      </c>
      <c r="CF31" s="23">
        <v>48</v>
      </c>
      <c r="CG31" s="23" t="s">
        <v>95</v>
      </c>
      <c r="CH31" s="23">
        <v>48</v>
      </c>
      <c r="CI31" s="23" t="s">
        <v>95</v>
      </c>
      <c r="CJ31" s="23">
        <v>48</v>
      </c>
      <c r="CK31" s="23" t="s">
        <v>95</v>
      </c>
      <c r="CL31" s="23">
        <v>48</v>
      </c>
      <c r="CM31" s="23" t="s">
        <v>95</v>
      </c>
      <c r="CN31" s="23">
        <v>48</v>
      </c>
      <c r="CO31" s="23" t="s">
        <v>95</v>
      </c>
      <c r="CP31" s="23">
        <v>48</v>
      </c>
      <c r="CQ31" s="23" t="s">
        <v>95</v>
      </c>
      <c r="CR31" s="23">
        <v>48</v>
      </c>
      <c r="CS31" s="23" t="s">
        <v>95</v>
      </c>
      <c r="CT31" s="23">
        <v>48</v>
      </c>
      <c r="CU31" s="23" t="s">
        <v>95</v>
      </c>
      <c r="CV31" s="23">
        <v>48</v>
      </c>
      <c r="CW31" s="23" t="s">
        <v>95</v>
      </c>
    </row>
    <row r="32" spans="1:101" x14ac:dyDescent="0.2">
      <c r="A32" s="26" t="s">
        <v>32</v>
      </c>
      <c r="B32" s="24">
        <f>SUM(INGRESO!C32)</f>
        <v>0</v>
      </c>
      <c r="C32" s="24">
        <f>SUM(INGRESO!D32)</f>
        <v>0</v>
      </c>
      <c r="G32" s="24"/>
      <c r="H32" s="24"/>
      <c r="I32" s="24">
        <f>C32</f>
        <v>0</v>
      </c>
      <c r="J32" s="24"/>
      <c r="K32" s="24">
        <f>C32</f>
        <v>0</v>
      </c>
      <c r="L32" s="24"/>
      <c r="M32" s="24"/>
      <c r="N32" s="24"/>
      <c r="AD32" s="23">
        <v>49</v>
      </c>
      <c r="AF32" s="23">
        <v>49</v>
      </c>
      <c r="AH32" s="23">
        <v>49</v>
      </c>
      <c r="AI32" s="23">
        <v>12</v>
      </c>
      <c r="AJ32" s="23">
        <v>49</v>
      </c>
      <c r="AK32" s="23">
        <v>11</v>
      </c>
      <c r="AL32" s="23">
        <v>49</v>
      </c>
      <c r="AN32" s="23">
        <v>49</v>
      </c>
      <c r="AP32" s="23">
        <v>49</v>
      </c>
      <c r="AQ32" s="23">
        <v>19</v>
      </c>
      <c r="AR32" s="23">
        <v>49</v>
      </c>
      <c r="AS32" s="23">
        <v>16</v>
      </c>
      <c r="AT32" s="23">
        <v>49</v>
      </c>
      <c r="AU32" s="23">
        <v>18</v>
      </c>
      <c r="AV32" s="23">
        <v>49</v>
      </c>
      <c r="AX32" s="23">
        <v>49</v>
      </c>
      <c r="AZ32" s="23">
        <v>49</v>
      </c>
      <c r="BB32" s="23">
        <v>49</v>
      </c>
      <c r="BD32" s="23">
        <v>49</v>
      </c>
      <c r="BF32" s="23">
        <v>49</v>
      </c>
      <c r="BG32" s="23">
        <v>22</v>
      </c>
      <c r="BH32" s="23">
        <v>49</v>
      </c>
      <c r="BJ32" s="23">
        <v>49</v>
      </c>
      <c r="BP32" s="23">
        <v>49</v>
      </c>
      <c r="BQ32" s="23" t="s">
        <v>94</v>
      </c>
      <c r="BR32" s="23">
        <v>49</v>
      </c>
      <c r="BS32" s="23" t="s">
        <v>94</v>
      </c>
      <c r="BT32" s="23">
        <v>49</v>
      </c>
      <c r="BU32" s="23" t="s">
        <v>94</v>
      </c>
      <c r="BV32" s="23">
        <v>49</v>
      </c>
      <c r="BW32" s="23" t="s">
        <v>95</v>
      </c>
      <c r="BX32" s="23">
        <v>49</v>
      </c>
      <c r="BY32" s="23" t="s">
        <v>95</v>
      </c>
      <c r="BZ32" s="23">
        <v>49</v>
      </c>
      <c r="CA32" s="23" t="s">
        <v>95</v>
      </c>
      <c r="CB32" s="23">
        <v>49</v>
      </c>
      <c r="CC32" s="23" t="s">
        <v>95</v>
      </c>
      <c r="CD32" s="23">
        <v>49</v>
      </c>
      <c r="CE32" s="23" t="s">
        <v>95</v>
      </c>
      <c r="CF32" s="23">
        <v>49</v>
      </c>
      <c r="CG32" s="23" t="s">
        <v>95</v>
      </c>
      <c r="CH32" s="23">
        <v>49</v>
      </c>
      <c r="CI32" s="23" t="s">
        <v>95</v>
      </c>
      <c r="CJ32" s="23">
        <v>49</v>
      </c>
      <c r="CK32" s="23" t="s">
        <v>95</v>
      </c>
      <c r="CL32" s="23">
        <v>49</v>
      </c>
      <c r="CM32" s="23" t="s">
        <v>95</v>
      </c>
      <c r="CN32" s="23">
        <v>49</v>
      </c>
      <c r="CO32" s="23" t="s">
        <v>95</v>
      </c>
      <c r="CP32" s="23">
        <v>49</v>
      </c>
      <c r="CQ32" s="23" t="s">
        <v>95</v>
      </c>
      <c r="CR32" s="23">
        <v>49</v>
      </c>
      <c r="CS32" s="23" t="s">
        <v>95</v>
      </c>
      <c r="CT32" s="23">
        <v>49</v>
      </c>
      <c r="CU32" s="23" t="s">
        <v>95</v>
      </c>
      <c r="CV32" s="23">
        <v>49</v>
      </c>
      <c r="CW32" s="23" t="s">
        <v>95</v>
      </c>
    </row>
    <row r="33" spans="1:101" x14ac:dyDescent="0.2">
      <c r="A33" s="26" t="s">
        <v>33</v>
      </c>
      <c r="B33" s="24">
        <f>SUM(INGRESO!C33)</f>
        <v>0</v>
      </c>
      <c r="C33" s="24">
        <f>SUM(INGRESO!D33)</f>
        <v>0</v>
      </c>
      <c r="G33" s="24">
        <f>B33</f>
        <v>0</v>
      </c>
      <c r="H33" s="24"/>
      <c r="I33" s="24"/>
      <c r="J33" s="24"/>
      <c r="K33" s="24"/>
      <c r="L33" s="24"/>
      <c r="M33" s="24"/>
      <c r="N33" s="24"/>
      <c r="AD33" s="23">
        <v>50</v>
      </c>
      <c r="AE33" s="23">
        <v>4</v>
      </c>
      <c r="AF33" s="23">
        <v>50</v>
      </c>
      <c r="AG33" s="23">
        <v>3</v>
      </c>
      <c r="AH33" s="23">
        <v>50</v>
      </c>
      <c r="AJ33" s="23">
        <v>50</v>
      </c>
      <c r="AL33" s="23">
        <v>50</v>
      </c>
      <c r="AM33" s="23">
        <v>13</v>
      </c>
      <c r="AN33" s="23">
        <v>50</v>
      </c>
      <c r="AP33" s="23">
        <v>50</v>
      </c>
      <c r="AR33" s="23">
        <v>50</v>
      </c>
      <c r="AT33" s="23">
        <v>50</v>
      </c>
      <c r="AU33" s="23">
        <v>19</v>
      </c>
      <c r="AV33" s="23">
        <v>50</v>
      </c>
      <c r="AW33" s="23">
        <v>19</v>
      </c>
      <c r="AX33" s="23">
        <v>50</v>
      </c>
      <c r="AY33" s="23">
        <v>8</v>
      </c>
      <c r="AZ33" s="23">
        <v>50</v>
      </c>
      <c r="BA33" s="23">
        <v>23</v>
      </c>
      <c r="BB33" s="23">
        <v>50</v>
      </c>
      <c r="BC33" s="23">
        <v>25</v>
      </c>
      <c r="BD33" s="23">
        <v>50</v>
      </c>
      <c r="BE33" s="23">
        <v>22</v>
      </c>
      <c r="BF33" s="23">
        <v>50</v>
      </c>
      <c r="BH33" s="23">
        <v>50</v>
      </c>
      <c r="BI33" s="23">
        <v>17</v>
      </c>
      <c r="BJ33" s="23">
        <v>50</v>
      </c>
      <c r="BP33" s="23">
        <v>50</v>
      </c>
      <c r="BQ33" s="23" t="s">
        <v>94</v>
      </c>
      <c r="BR33" s="23">
        <v>50</v>
      </c>
      <c r="BS33" s="23" t="s">
        <v>94</v>
      </c>
      <c r="BT33" s="23">
        <v>50</v>
      </c>
      <c r="BU33" s="23" t="s">
        <v>94</v>
      </c>
      <c r="BV33" s="23">
        <v>50</v>
      </c>
      <c r="BW33" s="23" t="s">
        <v>95</v>
      </c>
      <c r="BX33" s="23">
        <v>50</v>
      </c>
      <c r="BY33" s="23" t="s">
        <v>95</v>
      </c>
      <c r="BZ33" s="23">
        <v>50</v>
      </c>
      <c r="CA33" s="23" t="s">
        <v>95</v>
      </c>
      <c r="CB33" s="23">
        <v>50</v>
      </c>
      <c r="CC33" s="23" t="s">
        <v>95</v>
      </c>
      <c r="CD33" s="23">
        <v>50</v>
      </c>
      <c r="CE33" s="23" t="s">
        <v>95</v>
      </c>
      <c r="CF33" s="23">
        <v>50</v>
      </c>
      <c r="CG33" s="23" t="s">
        <v>95</v>
      </c>
      <c r="CH33" s="23">
        <v>50</v>
      </c>
      <c r="CI33" s="23" t="s">
        <v>95</v>
      </c>
      <c r="CJ33" s="23">
        <v>50</v>
      </c>
      <c r="CK33" s="23" t="s">
        <v>95</v>
      </c>
      <c r="CL33" s="23">
        <v>50</v>
      </c>
      <c r="CM33" s="23" t="s">
        <v>95</v>
      </c>
      <c r="CN33" s="23">
        <v>50</v>
      </c>
      <c r="CO33" s="23" t="s">
        <v>95</v>
      </c>
      <c r="CP33" s="23">
        <v>50</v>
      </c>
      <c r="CQ33" s="23" t="s">
        <v>95</v>
      </c>
      <c r="CR33" s="23">
        <v>50</v>
      </c>
      <c r="CS33" s="23" t="s">
        <v>95</v>
      </c>
      <c r="CT33" s="23">
        <v>50</v>
      </c>
      <c r="CU33" s="23" t="s">
        <v>95</v>
      </c>
      <c r="CV33" s="23">
        <v>50</v>
      </c>
      <c r="CW33" s="23" t="s">
        <v>95</v>
      </c>
    </row>
    <row r="34" spans="1:101" x14ac:dyDescent="0.2">
      <c r="A34" s="26" t="s">
        <v>34</v>
      </c>
      <c r="B34" s="24">
        <f>SUM(INGRESO!C34)</f>
        <v>0</v>
      </c>
      <c r="C34" s="24">
        <f>SUM(INGRESO!D34)</f>
        <v>0</v>
      </c>
      <c r="F34" s="24">
        <f>C34</f>
        <v>0</v>
      </c>
      <c r="G34" s="24"/>
      <c r="H34" s="24"/>
      <c r="I34" s="24">
        <f>C34</f>
        <v>0</v>
      </c>
      <c r="J34" s="24"/>
      <c r="K34" s="24"/>
      <c r="L34" s="24"/>
      <c r="M34" s="24"/>
      <c r="N34" s="24"/>
      <c r="AD34" s="23">
        <v>51</v>
      </c>
      <c r="AF34" s="23">
        <v>51</v>
      </c>
      <c r="AH34" s="23">
        <v>51</v>
      </c>
      <c r="AI34" s="23">
        <v>13</v>
      </c>
      <c r="AJ34" s="23">
        <v>51</v>
      </c>
      <c r="AL34" s="23">
        <v>51</v>
      </c>
      <c r="AN34" s="23">
        <v>51</v>
      </c>
      <c r="AO34" s="23">
        <v>17</v>
      </c>
      <c r="AP34" s="23">
        <v>51</v>
      </c>
      <c r="AQ34" s="23">
        <v>20</v>
      </c>
      <c r="AR34" s="23">
        <v>51</v>
      </c>
      <c r="AS34" s="23">
        <v>17</v>
      </c>
      <c r="AT34" s="23">
        <v>51</v>
      </c>
      <c r="AV34" s="23">
        <v>51</v>
      </c>
      <c r="AX34" s="23">
        <v>51</v>
      </c>
      <c r="AZ34" s="23">
        <v>51</v>
      </c>
      <c r="BB34" s="23">
        <v>51</v>
      </c>
      <c r="BC34" s="23">
        <v>26</v>
      </c>
      <c r="BD34" s="23">
        <v>51</v>
      </c>
      <c r="BE34" s="23">
        <v>23</v>
      </c>
      <c r="BF34" s="23">
        <v>51</v>
      </c>
      <c r="BG34" s="23">
        <v>23</v>
      </c>
      <c r="BH34" s="23">
        <v>51</v>
      </c>
      <c r="BJ34" s="23">
        <v>51</v>
      </c>
      <c r="BP34" s="23">
        <v>51</v>
      </c>
      <c r="BQ34" s="23" t="s">
        <v>94</v>
      </c>
      <c r="BR34" s="23">
        <v>51</v>
      </c>
      <c r="BS34" s="23" t="s">
        <v>94</v>
      </c>
      <c r="BT34" s="23">
        <v>51</v>
      </c>
      <c r="BU34" s="23" t="s">
        <v>94</v>
      </c>
      <c r="BV34" s="23">
        <v>51</v>
      </c>
      <c r="BW34" s="23" t="s">
        <v>95</v>
      </c>
      <c r="BX34" s="23">
        <v>51</v>
      </c>
      <c r="BY34" s="23" t="s">
        <v>95</v>
      </c>
      <c r="BZ34" s="23">
        <v>51</v>
      </c>
      <c r="CA34" s="23" t="s">
        <v>95</v>
      </c>
      <c r="CB34" s="23">
        <v>51</v>
      </c>
      <c r="CC34" s="23" t="s">
        <v>95</v>
      </c>
      <c r="CD34" s="23">
        <v>51</v>
      </c>
      <c r="CE34" s="23" t="s">
        <v>95</v>
      </c>
      <c r="CF34" s="23">
        <v>51</v>
      </c>
      <c r="CG34" s="23" t="s">
        <v>95</v>
      </c>
      <c r="CH34" s="23">
        <v>51</v>
      </c>
      <c r="CI34" s="23" t="s">
        <v>95</v>
      </c>
      <c r="CJ34" s="23">
        <v>51</v>
      </c>
      <c r="CK34" s="23" t="s">
        <v>95</v>
      </c>
      <c r="CL34" s="23">
        <v>51</v>
      </c>
      <c r="CM34" s="23" t="s">
        <v>95</v>
      </c>
      <c r="CN34" s="23">
        <v>51</v>
      </c>
      <c r="CO34" s="23" t="s">
        <v>95</v>
      </c>
      <c r="CP34" s="23">
        <v>51</v>
      </c>
      <c r="CQ34" s="23" t="s">
        <v>95</v>
      </c>
      <c r="CR34" s="23">
        <v>51</v>
      </c>
      <c r="CS34" s="23" t="s">
        <v>95</v>
      </c>
      <c r="CT34" s="23">
        <v>51</v>
      </c>
      <c r="CU34" s="23" t="s">
        <v>95</v>
      </c>
      <c r="CV34" s="23">
        <v>51</v>
      </c>
      <c r="CW34" s="23" t="s">
        <v>95</v>
      </c>
    </row>
    <row r="35" spans="1:101" x14ac:dyDescent="0.2">
      <c r="A35" s="26" t="s">
        <v>35</v>
      </c>
      <c r="B35" s="24">
        <f>SUM(INGRESO!C35)</f>
        <v>0</v>
      </c>
      <c r="C35" s="24">
        <f>SUM(INGRESO!D35)</f>
        <v>0</v>
      </c>
      <c r="F35" s="24">
        <f>C35</f>
        <v>0</v>
      </c>
      <c r="G35" s="24"/>
      <c r="H35" s="24"/>
      <c r="I35" s="24"/>
      <c r="J35" s="24">
        <f>C35</f>
        <v>0</v>
      </c>
      <c r="K35" s="24"/>
      <c r="L35" s="24"/>
      <c r="M35" s="24"/>
      <c r="N35" s="24">
        <f>B35</f>
        <v>0</v>
      </c>
      <c r="AD35" s="23">
        <v>52</v>
      </c>
      <c r="AF35" s="23">
        <v>52</v>
      </c>
      <c r="AH35" s="23">
        <v>52</v>
      </c>
      <c r="AJ35" s="23">
        <v>52</v>
      </c>
      <c r="AK35" s="23">
        <v>12</v>
      </c>
      <c r="AL35" s="23">
        <v>52</v>
      </c>
      <c r="AM35" s="23">
        <v>14</v>
      </c>
      <c r="AN35" s="23">
        <v>52</v>
      </c>
      <c r="AP35" s="23">
        <v>52</v>
      </c>
      <c r="AR35" s="23">
        <v>52</v>
      </c>
      <c r="AT35" s="23">
        <v>52</v>
      </c>
      <c r="AU35" s="23">
        <v>20</v>
      </c>
      <c r="AV35" s="23">
        <v>52</v>
      </c>
      <c r="AX35" s="23">
        <v>52</v>
      </c>
      <c r="AZ35" s="23">
        <v>52</v>
      </c>
      <c r="BA35" s="23">
        <v>24</v>
      </c>
      <c r="BB35" s="23">
        <v>52</v>
      </c>
      <c r="BD35" s="23">
        <v>52</v>
      </c>
      <c r="BF35" s="23">
        <v>52</v>
      </c>
      <c r="BG35" s="23">
        <v>24</v>
      </c>
      <c r="BH35" s="23">
        <v>52</v>
      </c>
      <c r="BJ35" s="23">
        <v>52</v>
      </c>
      <c r="BP35" s="23">
        <v>52</v>
      </c>
      <c r="BQ35" s="23" t="s">
        <v>94</v>
      </c>
      <c r="BR35" s="23">
        <v>52</v>
      </c>
      <c r="BS35" s="23" t="s">
        <v>94</v>
      </c>
      <c r="BT35" s="23">
        <v>52</v>
      </c>
      <c r="BU35" s="23" t="s">
        <v>94</v>
      </c>
      <c r="BV35" s="23">
        <v>52</v>
      </c>
      <c r="BW35" s="23" t="s">
        <v>95</v>
      </c>
      <c r="BX35" s="23">
        <v>52</v>
      </c>
      <c r="BY35" s="23" t="s">
        <v>95</v>
      </c>
      <c r="BZ35" s="23">
        <v>52</v>
      </c>
      <c r="CA35" s="23" t="s">
        <v>95</v>
      </c>
      <c r="CB35" s="23">
        <v>52</v>
      </c>
      <c r="CC35" s="23" t="s">
        <v>95</v>
      </c>
      <c r="CD35" s="23">
        <v>52</v>
      </c>
      <c r="CE35" s="23" t="s">
        <v>95</v>
      </c>
      <c r="CF35" s="23">
        <v>52</v>
      </c>
      <c r="CG35" s="23" t="s">
        <v>95</v>
      </c>
      <c r="CH35" s="23">
        <v>52</v>
      </c>
      <c r="CI35" s="23" t="s">
        <v>95</v>
      </c>
      <c r="CJ35" s="23">
        <v>52</v>
      </c>
      <c r="CK35" s="23" t="s">
        <v>95</v>
      </c>
      <c r="CL35" s="23">
        <v>52</v>
      </c>
      <c r="CM35" s="23" t="s">
        <v>95</v>
      </c>
      <c r="CN35" s="23">
        <v>52</v>
      </c>
      <c r="CO35" s="23" t="s">
        <v>95</v>
      </c>
      <c r="CP35" s="23">
        <v>52</v>
      </c>
      <c r="CQ35" s="23" t="s">
        <v>95</v>
      </c>
      <c r="CR35" s="23">
        <v>52</v>
      </c>
      <c r="CS35" s="23" t="s">
        <v>95</v>
      </c>
      <c r="CT35" s="23">
        <v>52</v>
      </c>
      <c r="CU35" s="23" t="s">
        <v>95</v>
      </c>
      <c r="CV35" s="23">
        <v>52</v>
      </c>
      <c r="CW35" s="23" t="s">
        <v>95</v>
      </c>
    </row>
    <row r="36" spans="1:101" x14ac:dyDescent="0.2">
      <c r="A36" s="26" t="s">
        <v>36</v>
      </c>
      <c r="B36" s="24">
        <f>SUM(INGRESO!C36)</f>
        <v>0</v>
      </c>
      <c r="C36" s="24">
        <f>SUM(INGRESO!D36)</f>
        <v>0</v>
      </c>
      <c r="G36" s="24"/>
      <c r="H36" s="24"/>
      <c r="I36" s="24">
        <f>C36</f>
        <v>0</v>
      </c>
      <c r="J36" s="24">
        <f>C36</f>
        <v>0</v>
      </c>
      <c r="K36" s="24"/>
      <c r="L36" s="24"/>
      <c r="M36" s="24"/>
      <c r="N36" s="24"/>
      <c r="AD36" s="23">
        <v>53</v>
      </c>
      <c r="AE36" s="23">
        <v>5</v>
      </c>
      <c r="AF36" s="23">
        <v>53</v>
      </c>
      <c r="AG36" s="23">
        <v>4</v>
      </c>
      <c r="AH36" s="23">
        <v>53</v>
      </c>
      <c r="AI36" s="23">
        <v>14</v>
      </c>
      <c r="AJ36" s="23">
        <v>53</v>
      </c>
      <c r="AL36" s="23">
        <v>53</v>
      </c>
      <c r="AN36" s="23">
        <v>53</v>
      </c>
      <c r="AO36" s="23">
        <v>18</v>
      </c>
      <c r="AP36" s="23">
        <v>53</v>
      </c>
      <c r="AQ36" s="23">
        <v>21</v>
      </c>
      <c r="AR36" s="23">
        <v>53</v>
      </c>
      <c r="AS36" s="23">
        <v>18</v>
      </c>
      <c r="AT36" s="23">
        <v>53</v>
      </c>
      <c r="AV36" s="23">
        <v>53</v>
      </c>
      <c r="AW36" s="23">
        <v>20</v>
      </c>
      <c r="AX36" s="23">
        <v>53</v>
      </c>
      <c r="AY36" s="23">
        <v>9</v>
      </c>
      <c r="AZ36" s="23">
        <v>53</v>
      </c>
      <c r="BB36" s="23">
        <v>53</v>
      </c>
      <c r="BC36" s="23">
        <v>27</v>
      </c>
      <c r="BD36" s="23">
        <v>53</v>
      </c>
      <c r="BE36" s="23">
        <v>24</v>
      </c>
      <c r="BF36" s="23">
        <v>53</v>
      </c>
      <c r="BH36" s="23">
        <v>53</v>
      </c>
      <c r="BI36" s="23">
        <v>18</v>
      </c>
      <c r="BJ36" s="23">
        <v>53</v>
      </c>
      <c r="BP36" s="23">
        <v>53</v>
      </c>
      <c r="BQ36" s="23" t="s">
        <v>94</v>
      </c>
      <c r="BR36" s="23">
        <v>53</v>
      </c>
      <c r="BS36" s="23" t="s">
        <v>94</v>
      </c>
      <c r="BT36" s="23">
        <v>53</v>
      </c>
      <c r="BU36" s="23" t="s">
        <v>94</v>
      </c>
      <c r="BV36" s="23">
        <v>53</v>
      </c>
      <c r="BW36" s="23" t="s">
        <v>95</v>
      </c>
      <c r="BX36" s="23">
        <v>53</v>
      </c>
      <c r="BY36" s="23" t="s">
        <v>95</v>
      </c>
      <c r="BZ36" s="23">
        <v>53</v>
      </c>
      <c r="CA36" s="23" t="s">
        <v>95</v>
      </c>
      <c r="CB36" s="23">
        <v>53</v>
      </c>
      <c r="CC36" s="23" t="s">
        <v>95</v>
      </c>
      <c r="CD36" s="23">
        <v>53</v>
      </c>
      <c r="CE36" s="23" t="s">
        <v>95</v>
      </c>
      <c r="CF36" s="23">
        <v>53</v>
      </c>
      <c r="CG36" s="23" t="s">
        <v>95</v>
      </c>
      <c r="CH36" s="23">
        <v>53</v>
      </c>
      <c r="CI36" s="23" t="s">
        <v>95</v>
      </c>
      <c r="CJ36" s="23">
        <v>53</v>
      </c>
      <c r="CK36" s="23" t="s">
        <v>95</v>
      </c>
      <c r="CL36" s="23">
        <v>53</v>
      </c>
      <c r="CM36" s="23" t="s">
        <v>95</v>
      </c>
      <c r="CN36" s="23">
        <v>53</v>
      </c>
      <c r="CO36" s="23" t="s">
        <v>95</v>
      </c>
      <c r="CP36" s="23">
        <v>53</v>
      </c>
      <c r="CQ36" s="23" t="s">
        <v>95</v>
      </c>
      <c r="CR36" s="23">
        <v>53</v>
      </c>
      <c r="CS36" s="23" t="s">
        <v>95</v>
      </c>
      <c r="CT36" s="23">
        <v>53</v>
      </c>
      <c r="CU36" s="23" t="s">
        <v>95</v>
      </c>
      <c r="CV36" s="23">
        <v>53</v>
      </c>
      <c r="CW36" s="23" t="s">
        <v>95</v>
      </c>
    </row>
    <row r="37" spans="1:101" x14ac:dyDescent="0.2">
      <c r="A37" s="26" t="s">
        <v>37</v>
      </c>
      <c r="B37" s="24">
        <f>SUM(INGRESO!C37)</f>
        <v>0</v>
      </c>
      <c r="C37" s="24">
        <f>SUM(INGRESO!D37)</f>
        <v>0</v>
      </c>
      <c r="F37" s="24">
        <f>C37</f>
        <v>0</v>
      </c>
      <c r="G37" s="24"/>
      <c r="H37" s="24">
        <f>B37</f>
        <v>0</v>
      </c>
      <c r="I37" s="24"/>
      <c r="J37" s="24"/>
      <c r="K37" s="24"/>
      <c r="L37" s="24">
        <f>B37</f>
        <v>0</v>
      </c>
      <c r="M37" s="24"/>
      <c r="N37" s="24"/>
      <c r="AD37" s="23">
        <v>54</v>
      </c>
      <c r="AF37" s="23">
        <v>54</v>
      </c>
      <c r="AH37" s="23">
        <v>54</v>
      </c>
      <c r="AJ37" s="23">
        <v>54</v>
      </c>
      <c r="AK37" s="23">
        <v>13</v>
      </c>
      <c r="AL37" s="23">
        <v>54</v>
      </c>
      <c r="AM37" s="23">
        <v>15</v>
      </c>
      <c r="AN37" s="23">
        <v>54</v>
      </c>
      <c r="AP37" s="23">
        <v>54</v>
      </c>
      <c r="AR37" s="23">
        <v>54</v>
      </c>
      <c r="AT37" s="23">
        <v>54</v>
      </c>
      <c r="AU37" s="23">
        <v>21</v>
      </c>
      <c r="AV37" s="23">
        <v>54</v>
      </c>
      <c r="AX37" s="23">
        <v>54</v>
      </c>
      <c r="AZ37" s="23">
        <v>54</v>
      </c>
      <c r="BA37" s="23">
        <v>25</v>
      </c>
      <c r="BB37" s="23">
        <v>54</v>
      </c>
      <c r="BD37" s="23">
        <v>54</v>
      </c>
      <c r="BF37" s="23">
        <v>54</v>
      </c>
      <c r="BG37" s="23">
        <v>25</v>
      </c>
      <c r="BH37" s="23">
        <v>54</v>
      </c>
      <c r="BJ37" s="23">
        <v>54</v>
      </c>
      <c r="BP37" s="23">
        <v>54</v>
      </c>
      <c r="BQ37" s="23" t="s">
        <v>94</v>
      </c>
      <c r="BR37" s="23">
        <v>54</v>
      </c>
      <c r="BS37" s="23" t="s">
        <v>94</v>
      </c>
      <c r="BT37" s="23">
        <v>54</v>
      </c>
      <c r="BU37" s="23" t="s">
        <v>94</v>
      </c>
      <c r="BV37" s="23">
        <v>54</v>
      </c>
      <c r="BW37" s="23" t="s">
        <v>95</v>
      </c>
      <c r="BX37" s="23">
        <v>54</v>
      </c>
      <c r="BY37" s="23" t="s">
        <v>95</v>
      </c>
      <c r="BZ37" s="23">
        <v>54</v>
      </c>
      <c r="CA37" s="23" t="s">
        <v>95</v>
      </c>
      <c r="CB37" s="23">
        <v>54</v>
      </c>
      <c r="CC37" s="23" t="s">
        <v>95</v>
      </c>
      <c r="CD37" s="23">
        <v>54</v>
      </c>
      <c r="CE37" s="23" t="s">
        <v>95</v>
      </c>
      <c r="CF37" s="23">
        <v>54</v>
      </c>
      <c r="CG37" s="23" t="s">
        <v>95</v>
      </c>
      <c r="CH37" s="23">
        <v>54</v>
      </c>
      <c r="CI37" s="23" t="s">
        <v>95</v>
      </c>
      <c r="CJ37" s="23">
        <v>54</v>
      </c>
      <c r="CK37" s="23" t="s">
        <v>95</v>
      </c>
      <c r="CL37" s="23">
        <v>54</v>
      </c>
      <c r="CM37" s="23" t="s">
        <v>95</v>
      </c>
      <c r="CN37" s="23">
        <v>54</v>
      </c>
      <c r="CO37" s="23" t="s">
        <v>95</v>
      </c>
      <c r="CP37" s="23">
        <v>54</v>
      </c>
      <c r="CQ37" s="23" t="s">
        <v>95</v>
      </c>
      <c r="CR37" s="23">
        <v>54</v>
      </c>
      <c r="CS37" s="23" t="s">
        <v>95</v>
      </c>
      <c r="CT37" s="23">
        <v>54</v>
      </c>
      <c r="CU37" s="23" t="s">
        <v>95</v>
      </c>
      <c r="CV37" s="23">
        <v>54</v>
      </c>
      <c r="CW37" s="23" t="s">
        <v>95</v>
      </c>
    </row>
    <row r="38" spans="1:101" x14ac:dyDescent="0.2">
      <c r="A38" s="26" t="s">
        <v>38</v>
      </c>
      <c r="B38" s="24">
        <f>SUM(INGRESO!C38)</f>
        <v>0</v>
      </c>
      <c r="C38" s="24">
        <f>SUM(INGRESO!D38)</f>
        <v>0</v>
      </c>
      <c r="F38" s="24">
        <f>C38</f>
        <v>0</v>
      </c>
      <c r="G38" s="24">
        <f>C38</f>
        <v>0</v>
      </c>
      <c r="H38" s="24">
        <f>C38</f>
        <v>0</v>
      </c>
      <c r="I38" s="24">
        <f>C38</f>
        <v>0</v>
      </c>
      <c r="J38" s="24"/>
      <c r="K38" s="24"/>
      <c r="L38" s="24"/>
      <c r="M38" s="24"/>
      <c r="N38" s="24"/>
      <c r="AD38" s="23">
        <v>55</v>
      </c>
      <c r="AF38" s="23">
        <v>55</v>
      </c>
      <c r="AG38" s="23">
        <v>5</v>
      </c>
      <c r="AH38" s="23">
        <v>55</v>
      </c>
      <c r="AI38" s="23">
        <v>15</v>
      </c>
      <c r="AJ38" s="23">
        <v>55</v>
      </c>
      <c r="AL38" s="23">
        <v>55</v>
      </c>
      <c r="AN38" s="23">
        <v>55</v>
      </c>
      <c r="AP38" s="23">
        <v>55</v>
      </c>
      <c r="AQ38" s="23">
        <v>22</v>
      </c>
      <c r="AR38" s="23">
        <v>55</v>
      </c>
      <c r="AS38" s="23">
        <v>19</v>
      </c>
      <c r="AT38" s="23">
        <v>55</v>
      </c>
      <c r="AV38" s="23">
        <v>55</v>
      </c>
      <c r="AW38" s="23">
        <v>21</v>
      </c>
      <c r="AX38" s="23">
        <v>55</v>
      </c>
      <c r="AZ38" s="23">
        <v>55</v>
      </c>
      <c r="BB38" s="23">
        <v>55</v>
      </c>
      <c r="BC38" s="23">
        <v>28</v>
      </c>
      <c r="BD38" s="23">
        <v>55</v>
      </c>
      <c r="BE38" s="23">
        <v>25</v>
      </c>
      <c r="BF38" s="23">
        <v>55</v>
      </c>
      <c r="BG38" s="23">
        <v>26</v>
      </c>
      <c r="BH38" s="23">
        <v>55</v>
      </c>
      <c r="BI38" s="23">
        <v>19</v>
      </c>
      <c r="BJ38" s="23">
        <v>55</v>
      </c>
      <c r="BP38" s="23">
        <v>55</v>
      </c>
      <c r="BQ38" s="23" t="s">
        <v>94</v>
      </c>
      <c r="BR38" s="23">
        <v>55</v>
      </c>
      <c r="BS38" s="23" t="s">
        <v>94</v>
      </c>
      <c r="BT38" s="23">
        <v>55</v>
      </c>
      <c r="BU38" s="23" t="s">
        <v>94</v>
      </c>
      <c r="BV38" s="23">
        <v>55</v>
      </c>
      <c r="BW38" s="23" t="s">
        <v>95</v>
      </c>
      <c r="BX38" s="23">
        <v>55</v>
      </c>
      <c r="BY38" s="23" t="s">
        <v>95</v>
      </c>
      <c r="BZ38" s="23">
        <v>55</v>
      </c>
      <c r="CA38" s="23" t="s">
        <v>95</v>
      </c>
      <c r="CB38" s="23">
        <v>55</v>
      </c>
      <c r="CC38" s="23" t="s">
        <v>95</v>
      </c>
      <c r="CD38" s="23">
        <v>55</v>
      </c>
      <c r="CE38" s="23" t="s">
        <v>95</v>
      </c>
      <c r="CF38" s="23">
        <v>55</v>
      </c>
      <c r="CG38" s="23" t="s">
        <v>95</v>
      </c>
      <c r="CH38" s="23">
        <v>55</v>
      </c>
      <c r="CI38" s="23" t="s">
        <v>95</v>
      </c>
      <c r="CJ38" s="23">
        <v>55</v>
      </c>
      <c r="CK38" s="23" t="s">
        <v>95</v>
      </c>
      <c r="CL38" s="23">
        <v>55</v>
      </c>
      <c r="CM38" s="23" t="s">
        <v>95</v>
      </c>
      <c r="CN38" s="23">
        <v>55</v>
      </c>
      <c r="CO38" s="23" t="s">
        <v>95</v>
      </c>
      <c r="CP38" s="23">
        <v>55</v>
      </c>
      <c r="CQ38" s="23" t="s">
        <v>95</v>
      </c>
      <c r="CR38" s="23">
        <v>55</v>
      </c>
      <c r="CS38" s="23" t="s">
        <v>95</v>
      </c>
      <c r="CT38" s="23">
        <v>55</v>
      </c>
      <c r="CU38" s="23" t="s">
        <v>95</v>
      </c>
      <c r="CV38" s="23">
        <v>55</v>
      </c>
      <c r="CW38" s="23" t="s">
        <v>95</v>
      </c>
    </row>
    <row r="39" spans="1:101" x14ac:dyDescent="0.2">
      <c r="A39" s="26" t="s">
        <v>39</v>
      </c>
      <c r="B39" s="24">
        <f>SUM(INGRESO!C39)</f>
        <v>0</v>
      </c>
      <c r="C39" s="24">
        <f>SUM(INGRESO!D39)</f>
        <v>0</v>
      </c>
      <c r="E39" s="24">
        <f>B39</f>
        <v>0</v>
      </c>
      <c r="G39" s="24"/>
      <c r="H39" s="24"/>
      <c r="I39" s="24"/>
      <c r="J39" s="24"/>
      <c r="K39" s="24"/>
      <c r="L39" s="24"/>
      <c r="M39" s="24">
        <f>B39</f>
        <v>0</v>
      </c>
      <c r="N39" s="24"/>
      <c r="AD39" s="23">
        <v>56</v>
      </c>
      <c r="AE39" s="23">
        <v>6</v>
      </c>
      <c r="AF39" s="23">
        <v>56</v>
      </c>
      <c r="AH39" s="23">
        <v>56</v>
      </c>
      <c r="AJ39" s="23">
        <v>56</v>
      </c>
      <c r="AL39" s="23">
        <v>56</v>
      </c>
      <c r="AM39" s="23">
        <v>16</v>
      </c>
      <c r="AN39" s="23">
        <v>56</v>
      </c>
      <c r="AO39" s="23">
        <v>19</v>
      </c>
      <c r="AP39" s="23">
        <v>56</v>
      </c>
      <c r="AR39" s="23">
        <v>56</v>
      </c>
      <c r="AS39" s="23">
        <v>20</v>
      </c>
      <c r="AT39" s="23">
        <v>56</v>
      </c>
      <c r="AU39" s="23">
        <v>22</v>
      </c>
      <c r="AV39" s="23">
        <v>56</v>
      </c>
      <c r="AX39" s="23">
        <v>56</v>
      </c>
      <c r="AY39" s="23">
        <v>10</v>
      </c>
      <c r="AZ39" s="23">
        <v>56</v>
      </c>
      <c r="BA39" s="23">
        <v>26</v>
      </c>
      <c r="BB39" s="23">
        <v>56</v>
      </c>
      <c r="BC39" s="23">
        <v>29</v>
      </c>
      <c r="BD39" s="23">
        <v>56</v>
      </c>
      <c r="BF39" s="23">
        <v>56</v>
      </c>
      <c r="BH39" s="23">
        <v>56</v>
      </c>
      <c r="BJ39" s="23">
        <v>56</v>
      </c>
      <c r="BP39" s="23">
        <v>56</v>
      </c>
      <c r="BQ39" s="23" t="s">
        <v>94</v>
      </c>
      <c r="BR39" s="23">
        <v>56</v>
      </c>
      <c r="BS39" s="23" t="s">
        <v>94</v>
      </c>
      <c r="BT39" s="23">
        <v>56</v>
      </c>
      <c r="BU39" s="23" t="s">
        <v>94</v>
      </c>
      <c r="BV39" s="23">
        <v>56</v>
      </c>
      <c r="BW39" s="23" t="s">
        <v>95</v>
      </c>
      <c r="BX39" s="23">
        <v>56</v>
      </c>
      <c r="BY39" s="23" t="s">
        <v>95</v>
      </c>
      <c r="BZ39" s="23">
        <v>56</v>
      </c>
      <c r="CA39" s="23" t="s">
        <v>95</v>
      </c>
      <c r="CB39" s="23">
        <v>56</v>
      </c>
      <c r="CC39" s="23" t="s">
        <v>95</v>
      </c>
      <c r="CD39" s="23">
        <v>56</v>
      </c>
      <c r="CE39" s="23" t="s">
        <v>95</v>
      </c>
      <c r="CF39" s="23">
        <v>56</v>
      </c>
      <c r="CG39" s="23" t="s">
        <v>95</v>
      </c>
      <c r="CH39" s="23">
        <v>56</v>
      </c>
      <c r="CI39" s="23" t="s">
        <v>95</v>
      </c>
      <c r="CJ39" s="23">
        <v>56</v>
      </c>
      <c r="CK39" s="23" t="s">
        <v>95</v>
      </c>
      <c r="CL39" s="23">
        <v>56</v>
      </c>
      <c r="CM39" s="23" t="s">
        <v>95</v>
      </c>
      <c r="CN39" s="23">
        <v>56</v>
      </c>
      <c r="CO39" s="23" t="s">
        <v>95</v>
      </c>
      <c r="CP39" s="23">
        <v>56</v>
      </c>
      <c r="CQ39" s="23" t="s">
        <v>95</v>
      </c>
      <c r="CR39" s="23">
        <v>56</v>
      </c>
      <c r="CS39" s="23" t="s">
        <v>95</v>
      </c>
      <c r="CT39" s="23">
        <v>56</v>
      </c>
      <c r="CU39" s="23" t="s">
        <v>95</v>
      </c>
      <c r="CV39" s="23">
        <v>56</v>
      </c>
      <c r="CW39" s="23" t="s">
        <v>95</v>
      </c>
    </row>
    <row r="40" spans="1:101" x14ac:dyDescent="0.2">
      <c r="A40" s="26" t="s">
        <v>40</v>
      </c>
      <c r="B40" s="24">
        <f>SUM(INGRESO!C40)</f>
        <v>0</v>
      </c>
      <c r="C40" s="24">
        <f>SUM(INGRESO!D40)</f>
        <v>0</v>
      </c>
      <c r="G40" s="24"/>
      <c r="H40" s="24"/>
      <c r="I40" s="24"/>
      <c r="J40" s="24"/>
      <c r="K40" s="24">
        <f>B40</f>
        <v>0</v>
      </c>
      <c r="L40" s="24"/>
      <c r="M40" s="24">
        <f>B40</f>
        <v>0</v>
      </c>
      <c r="N40" s="24">
        <f>B40</f>
        <v>0</v>
      </c>
      <c r="AD40" s="23">
        <v>57</v>
      </c>
      <c r="AF40" s="23">
        <v>57</v>
      </c>
      <c r="AH40" s="23">
        <v>57</v>
      </c>
      <c r="AI40" s="23">
        <v>16</v>
      </c>
      <c r="AJ40" s="23">
        <v>57</v>
      </c>
      <c r="AK40" s="23">
        <v>14</v>
      </c>
      <c r="AL40" s="23">
        <v>57</v>
      </c>
      <c r="AN40" s="23">
        <v>57</v>
      </c>
      <c r="AP40" s="23">
        <v>57</v>
      </c>
      <c r="AQ40" s="23">
        <v>23</v>
      </c>
      <c r="AR40" s="23">
        <v>57</v>
      </c>
      <c r="AT40" s="23">
        <v>57</v>
      </c>
      <c r="AU40" s="23">
        <v>23</v>
      </c>
      <c r="AV40" s="23">
        <v>57</v>
      </c>
      <c r="AW40" s="23">
        <v>22</v>
      </c>
      <c r="AX40" s="23">
        <v>57</v>
      </c>
      <c r="AZ40" s="23">
        <v>57</v>
      </c>
      <c r="BB40" s="23">
        <v>57</v>
      </c>
      <c r="BD40" s="23">
        <v>57</v>
      </c>
      <c r="BE40" s="23">
        <v>26</v>
      </c>
      <c r="BF40" s="23">
        <v>57</v>
      </c>
      <c r="BG40" s="23">
        <v>27</v>
      </c>
      <c r="BH40" s="23">
        <v>57</v>
      </c>
      <c r="BJ40" s="23">
        <v>57</v>
      </c>
      <c r="BP40" s="23">
        <v>57</v>
      </c>
      <c r="BQ40" s="23" t="s">
        <v>94</v>
      </c>
      <c r="BR40" s="23">
        <v>57</v>
      </c>
      <c r="BS40" s="23" t="s">
        <v>94</v>
      </c>
      <c r="BT40" s="23">
        <v>57</v>
      </c>
      <c r="BU40" s="23" t="s">
        <v>94</v>
      </c>
      <c r="BV40" s="23">
        <v>57</v>
      </c>
      <c r="BW40" s="23" t="s">
        <v>95</v>
      </c>
      <c r="BX40" s="23">
        <v>57</v>
      </c>
      <c r="BY40" s="23" t="s">
        <v>95</v>
      </c>
      <c r="BZ40" s="23">
        <v>57</v>
      </c>
      <c r="CA40" s="23" t="s">
        <v>95</v>
      </c>
      <c r="CB40" s="23">
        <v>57</v>
      </c>
      <c r="CC40" s="23" t="s">
        <v>95</v>
      </c>
      <c r="CD40" s="23">
        <v>57</v>
      </c>
      <c r="CE40" s="23" t="s">
        <v>95</v>
      </c>
      <c r="CF40" s="23">
        <v>57</v>
      </c>
      <c r="CG40" s="23" t="s">
        <v>95</v>
      </c>
      <c r="CH40" s="23">
        <v>57</v>
      </c>
      <c r="CI40" s="23" t="s">
        <v>95</v>
      </c>
      <c r="CJ40" s="23">
        <v>57</v>
      </c>
      <c r="CK40" s="23" t="s">
        <v>95</v>
      </c>
      <c r="CL40" s="23">
        <v>57</v>
      </c>
      <c r="CM40" s="23" t="s">
        <v>95</v>
      </c>
      <c r="CN40" s="23">
        <v>57</v>
      </c>
      <c r="CO40" s="23" t="s">
        <v>95</v>
      </c>
      <c r="CP40" s="23">
        <v>57</v>
      </c>
      <c r="CQ40" s="23" t="s">
        <v>95</v>
      </c>
      <c r="CR40" s="23">
        <v>57</v>
      </c>
      <c r="CS40" s="23" t="s">
        <v>95</v>
      </c>
      <c r="CT40" s="23">
        <v>57</v>
      </c>
      <c r="CU40" s="23" t="s">
        <v>95</v>
      </c>
      <c r="CV40" s="23">
        <v>57</v>
      </c>
      <c r="CW40" s="23" t="s">
        <v>95</v>
      </c>
    </row>
    <row r="41" spans="1:101" x14ac:dyDescent="0.2">
      <c r="A41" s="26" t="s">
        <v>41</v>
      </c>
      <c r="B41" s="24">
        <f>SUM(INGRESO!C41)</f>
        <v>0</v>
      </c>
      <c r="C41" s="24">
        <f>SUM(INGRESO!D41)</f>
        <v>0</v>
      </c>
      <c r="F41" s="24">
        <f>B41</f>
        <v>0</v>
      </c>
      <c r="G41" s="24"/>
      <c r="H41" s="24">
        <f>B41</f>
        <v>0</v>
      </c>
      <c r="I41" s="24">
        <f>B41</f>
        <v>0</v>
      </c>
      <c r="J41" s="24"/>
      <c r="K41" s="24"/>
      <c r="L41" s="24"/>
      <c r="M41" s="24"/>
      <c r="N41" s="24"/>
      <c r="AD41" s="23">
        <v>58</v>
      </c>
      <c r="AF41" s="23">
        <v>58</v>
      </c>
      <c r="AG41" s="23">
        <v>6</v>
      </c>
      <c r="AH41" s="23">
        <v>58</v>
      </c>
      <c r="AJ41" s="23">
        <v>58</v>
      </c>
      <c r="AL41" s="23">
        <v>58</v>
      </c>
      <c r="AM41" s="23">
        <v>17</v>
      </c>
      <c r="AN41" s="23">
        <v>58</v>
      </c>
      <c r="AO41" s="23">
        <v>20</v>
      </c>
      <c r="AP41" s="23">
        <v>58</v>
      </c>
      <c r="AR41" s="23">
        <v>58</v>
      </c>
      <c r="AS41" s="23">
        <v>21</v>
      </c>
      <c r="AT41" s="23">
        <v>58</v>
      </c>
      <c r="AV41" s="23">
        <v>58</v>
      </c>
      <c r="AX41" s="23">
        <v>58</v>
      </c>
      <c r="AZ41" s="23">
        <v>58</v>
      </c>
      <c r="BA41" s="23">
        <v>27</v>
      </c>
      <c r="BB41" s="23">
        <v>58</v>
      </c>
      <c r="BC41" s="23">
        <v>30</v>
      </c>
      <c r="BD41" s="23">
        <v>58</v>
      </c>
      <c r="BF41" s="23">
        <v>58</v>
      </c>
      <c r="BG41" s="23">
        <v>28</v>
      </c>
      <c r="BH41" s="23">
        <v>58</v>
      </c>
      <c r="BI41" s="23">
        <v>20</v>
      </c>
      <c r="BJ41" s="23">
        <v>58</v>
      </c>
      <c r="BP41" s="23">
        <v>58</v>
      </c>
      <c r="BQ41" s="23" t="s">
        <v>94</v>
      </c>
      <c r="BR41" s="23">
        <v>58</v>
      </c>
      <c r="BS41" s="23" t="s">
        <v>94</v>
      </c>
      <c r="BT41" s="23">
        <v>58</v>
      </c>
      <c r="BU41" s="23" t="s">
        <v>94</v>
      </c>
      <c r="BV41" s="23">
        <v>58</v>
      </c>
      <c r="BW41" s="23" t="s">
        <v>95</v>
      </c>
      <c r="BX41" s="23">
        <v>58</v>
      </c>
      <c r="BY41" s="23" t="s">
        <v>95</v>
      </c>
      <c r="BZ41" s="23">
        <v>58</v>
      </c>
      <c r="CA41" s="23" t="s">
        <v>95</v>
      </c>
      <c r="CB41" s="23">
        <v>58</v>
      </c>
      <c r="CC41" s="23" t="s">
        <v>95</v>
      </c>
      <c r="CD41" s="23">
        <v>58</v>
      </c>
      <c r="CE41" s="23" t="s">
        <v>95</v>
      </c>
      <c r="CF41" s="23">
        <v>58</v>
      </c>
      <c r="CG41" s="23" t="s">
        <v>95</v>
      </c>
      <c r="CH41" s="23">
        <v>58</v>
      </c>
      <c r="CI41" s="23" t="s">
        <v>95</v>
      </c>
      <c r="CJ41" s="23">
        <v>58</v>
      </c>
      <c r="CK41" s="23" t="s">
        <v>95</v>
      </c>
      <c r="CL41" s="23">
        <v>58</v>
      </c>
      <c r="CM41" s="23" t="s">
        <v>95</v>
      </c>
      <c r="CN41" s="23">
        <v>58</v>
      </c>
      <c r="CO41" s="23" t="s">
        <v>95</v>
      </c>
      <c r="CP41" s="23">
        <v>58</v>
      </c>
      <c r="CQ41" s="23" t="s">
        <v>95</v>
      </c>
      <c r="CR41" s="23">
        <v>58</v>
      </c>
      <c r="CS41" s="23" t="s">
        <v>95</v>
      </c>
      <c r="CT41" s="23">
        <v>58</v>
      </c>
      <c r="CU41" s="23" t="s">
        <v>95</v>
      </c>
      <c r="CV41" s="23">
        <v>58</v>
      </c>
      <c r="CW41" s="23" t="s">
        <v>95</v>
      </c>
    </row>
    <row r="42" spans="1:101" x14ac:dyDescent="0.2">
      <c r="A42" s="26" t="s">
        <v>42</v>
      </c>
      <c r="B42" s="24">
        <f>SUM(INGRESO!C42)</f>
        <v>0</v>
      </c>
      <c r="C42" s="24">
        <f>SUM(INGRESO!D42)</f>
        <v>0</v>
      </c>
      <c r="F42" s="24">
        <f>B42</f>
        <v>0</v>
      </c>
      <c r="G42" s="24"/>
      <c r="H42" s="24"/>
      <c r="I42" s="24">
        <f>B42</f>
        <v>0</v>
      </c>
      <c r="J42" s="24">
        <f>B42</f>
        <v>0</v>
      </c>
      <c r="K42" s="24"/>
      <c r="L42" s="24"/>
      <c r="M42" s="24"/>
      <c r="N42" s="24"/>
      <c r="AD42" s="23">
        <v>59</v>
      </c>
      <c r="AF42" s="23">
        <v>59</v>
      </c>
      <c r="AH42" s="23">
        <v>59</v>
      </c>
      <c r="AI42" s="23">
        <v>17</v>
      </c>
      <c r="AJ42" s="23">
        <v>59</v>
      </c>
      <c r="AK42" s="23">
        <v>15</v>
      </c>
      <c r="AL42" s="23">
        <v>59</v>
      </c>
      <c r="AN42" s="23">
        <v>59</v>
      </c>
      <c r="AP42" s="23">
        <v>59</v>
      </c>
      <c r="AQ42" s="23">
        <v>24</v>
      </c>
      <c r="AR42" s="23">
        <v>59</v>
      </c>
      <c r="AT42" s="23">
        <v>59</v>
      </c>
      <c r="AU42" s="23">
        <v>24</v>
      </c>
      <c r="AV42" s="23">
        <v>59</v>
      </c>
      <c r="AX42" s="23">
        <v>59</v>
      </c>
      <c r="AY42" s="23">
        <v>11</v>
      </c>
      <c r="AZ42" s="23">
        <v>59</v>
      </c>
      <c r="BB42" s="23">
        <v>59</v>
      </c>
      <c r="BD42" s="23">
        <v>59</v>
      </c>
      <c r="BE42" s="23">
        <v>27</v>
      </c>
      <c r="BF42" s="23">
        <v>59</v>
      </c>
      <c r="BH42" s="23">
        <v>59</v>
      </c>
      <c r="BJ42" s="23">
        <v>59</v>
      </c>
      <c r="BP42" s="23">
        <v>59</v>
      </c>
      <c r="BQ42" s="23" t="s">
        <v>94</v>
      </c>
      <c r="BR42" s="23">
        <v>59</v>
      </c>
      <c r="BS42" s="23" t="s">
        <v>94</v>
      </c>
      <c r="BT42" s="23">
        <v>59</v>
      </c>
      <c r="BU42" s="23" t="s">
        <v>94</v>
      </c>
      <c r="BV42" s="23">
        <v>59</v>
      </c>
      <c r="BW42" s="23" t="s">
        <v>95</v>
      </c>
      <c r="BX42" s="23">
        <v>59</v>
      </c>
      <c r="BY42" s="23" t="s">
        <v>95</v>
      </c>
      <c r="BZ42" s="23">
        <v>59</v>
      </c>
      <c r="CA42" s="23" t="s">
        <v>95</v>
      </c>
      <c r="CB42" s="23">
        <v>59</v>
      </c>
      <c r="CC42" s="23" t="s">
        <v>95</v>
      </c>
      <c r="CD42" s="23">
        <v>59</v>
      </c>
      <c r="CE42" s="23" t="s">
        <v>95</v>
      </c>
      <c r="CF42" s="23">
        <v>59</v>
      </c>
      <c r="CG42" s="23" t="s">
        <v>95</v>
      </c>
      <c r="CH42" s="23">
        <v>59</v>
      </c>
      <c r="CI42" s="23" t="s">
        <v>95</v>
      </c>
      <c r="CJ42" s="23">
        <v>59</v>
      </c>
      <c r="CK42" s="23" t="s">
        <v>95</v>
      </c>
      <c r="CL42" s="23">
        <v>59</v>
      </c>
      <c r="CM42" s="23" t="s">
        <v>95</v>
      </c>
      <c r="CN42" s="23">
        <v>59</v>
      </c>
      <c r="CO42" s="23" t="s">
        <v>95</v>
      </c>
      <c r="CP42" s="23">
        <v>59</v>
      </c>
      <c r="CQ42" s="23" t="s">
        <v>95</v>
      </c>
      <c r="CR42" s="23">
        <v>59</v>
      </c>
      <c r="CS42" s="23" t="s">
        <v>95</v>
      </c>
      <c r="CT42" s="23">
        <v>59</v>
      </c>
      <c r="CU42" s="23" t="s">
        <v>95</v>
      </c>
      <c r="CV42" s="23">
        <v>59</v>
      </c>
      <c r="CW42" s="23" t="s">
        <v>95</v>
      </c>
    </row>
    <row r="43" spans="1:101" x14ac:dyDescent="0.2">
      <c r="A43" s="26" t="s">
        <v>43</v>
      </c>
      <c r="B43" s="24">
        <f>SUM(INGRESO!C43)</f>
        <v>0</v>
      </c>
      <c r="C43" s="24">
        <f>SUM(INGRESO!D43)</f>
        <v>0</v>
      </c>
      <c r="G43" s="24"/>
      <c r="H43" s="24">
        <f>C43</f>
        <v>0</v>
      </c>
      <c r="I43" s="24"/>
      <c r="J43" s="24"/>
      <c r="K43" s="24"/>
      <c r="L43" s="24">
        <f>C43</f>
        <v>0</v>
      </c>
      <c r="M43" s="24">
        <f>C43</f>
        <v>0</v>
      </c>
      <c r="N43" s="24"/>
      <c r="AD43" s="23">
        <v>60</v>
      </c>
      <c r="AE43" s="23">
        <v>7</v>
      </c>
      <c r="AF43" s="23">
        <v>60</v>
      </c>
      <c r="AG43" s="23">
        <v>7</v>
      </c>
      <c r="AH43" s="23">
        <v>60</v>
      </c>
      <c r="AJ43" s="23">
        <v>60</v>
      </c>
      <c r="AL43" s="23">
        <v>60</v>
      </c>
      <c r="AM43" s="23">
        <v>18</v>
      </c>
      <c r="AN43" s="23">
        <v>60</v>
      </c>
      <c r="AO43" s="23">
        <v>21</v>
      </c>
      <c r="AP43" s="23">
        <v>60</v>
      </c>
      <c r="AR43" s="23">
        <v>60</v>
      </c>
      <c r="AS43" s="23">
        <v>22</v>
      </c>
      <c r="AT43" s="23">
        <v>60</v>
      </c>
      <c r="AV43" s="23">
        <v>60</v>
      </c>
      <c r="AW43" s="23">
        <v>23</v>
      </c>
      <c r="AX43" s="23">
        <v>60</v>
      </c>
      <c r="AZ43" s="23">
        <v>60</v>
      </c>
      <c r="BA43" s="23">
        <v>28</v>
      </c>
      <c r="BB43" s="23">
        <v>60</v>
      </c>
      <c r="BC43" s="23">
        <v>31</v>
      </c>
      <c r="BD43" s="23">
        <v>60</v>
      </c>
      <c r="BF43" s="23">
        <v>60</v>
      </c>
      <c r="BG43" s="23">
        <v>29</v>
      </c>
      <c r="BH43" s="23">
        <v>60</v>
      </c>
      <c r="BI43" s="23">
        <v>21</v>
      </c>
      <c r="BJ43" s="23">
        <v>60</v>
      </c>
      <c r="BP43" s="23">
        <v>60</v>
      </c>
      <c r="BQ43" s="23" t="s">
        <v>94</v>
      </c>
      <c r="BR43" s="23">
        <v>60</v>
      </c>
      <c r="BS43" s="23" t="s">
        <v>94</v>
      </c>
      <c r="BT43" s="23">
        <v>60</v>
      </c>
      <c r="BU43" s="23" t="s">
        <v>94</v>
      </c>
      <c r="BV43" s="23">
        <v>60</v>
      </c>
      <c r="BW43" s="23" t="s">
        <v>95</v>
      </c>
      <c r="BX43" s="23">
        <v>60</v>
      </c>
      <c r="BY43" s="23" t="s">
        <v>95</v>
      </c>
      <c r="BZ43" s="23">
        <v>60</v>
      </c>
      <c r="CA43" s="23" t="s">
        <v>95</v>
      </c>
      <c r="CB43" s="23">
        <v>60</v>
      </c>
      <c r="CC43" s="23" t="s">
        <v>95</v>
      </c>
      <c r="CD43" s="23">
        <v>60</v>
      </c>
      <c r="CE43" s="23" t="s">
        <v>95</v>
      </c>
      <c r="CF43" s="23">
        <v>60</v>
      </c>
      <c r="CG43" s="23" t="s">
        <v>95</v>
      </c>
      <c r="CH43" s="23">
        <v>60</v>
      </c>
      <c r="CI43" s="23" t="s">
        <v>95</v>
      </c>
      <c r="CJ43" s="23">
        <v>60</v>
      </c>
      <c r="CK43" s="23" t="s">
        <v>95</v>
      </c>
      <c r="CL43" s="23">
        <v>60</v>
      </c>
      <c r="CM43" s="23" t="s">
        <v>95</v>
      </c>
      <c r="CN43" s="23">
        <v>60</v>
      </c>
      <c r="CO43" s="23" t="s">
        <v>95</v>
      </c>
      <c r="CP43" s="23">
        <v>60</v>
      </c>
      <c r="CQ43" s="23" t="s">
        <v>95</v>
      </c>
      <c r="CR43" s="23">
        <v>60</v>
      </c>
      <c r="CS43" s="23" t="s">
        <v>95</v>
      </c>
      <c r="CT43" s="23">
        <v>60</v>
      </c>
      <c r="CU43" s="23" t="s">
        <v>95</v>
      </c>
      <c r="CV43" s="23">
        <v>60</v>
      </c>
      <c r="CW43" s="23" t="s">
        <v>95</v>
      </c>
    </row>
    <row r="44" spans="1:101" x14ac:dyDescent="0.2">
      <c r="A44" s="26" t="s">
        <v>44</v>
      </c>
      <c r="B44" s="24">
        <f>SUM(INGRESO!C44)</f>
        <v>0</v>
      </c>
      <c r="C44" s="24">
        <f>SUM(INGRESO!D44)</f>
        <v>0</v>
      </c>
      <c r="F44" s="24">
        <f>C44</f>
        <v>0</v>
      </c>
      <c r="G44" s="24"/>
      <c r="H44" s="24"/>
      <c r="I44" s="24">
        <f>C44</f>
        <v>0</v>
      </c>
      <c r="J44" s="24">
        <f>C44</f>
        <v>0</v>
      </c>
      <c r="K44" s="24"/>
      <c r="L44" s="24"/>
      <c r="M44" s="24"/>
      <c r="N44" s="24">
        <f>C44</f>
        <v>0</v>
      </c>
      <c r="AD44" s="23">
        <v>61</v>
      </c>
      <c r="AF44" s="23">
        <v>61</v>
      </c>
      <c r="AH44" s="23">
        <v>61</v>
      </c>
      <c r="AI44" s="23">
        <v>18</v>
      </c>
      <c r="AJ44" s="23">
        <v>61</v>
      </c>
      <c r="AL44" s="23">
        <v>61</v>
      </c>
      <c r="AN44" s="23">
        <v>61</v>
      </c>
      <c r="AP44" s="23">
        <v>61</v>
      </c>
      <c r="AQ44" s="23">
        <v>25</v>
      </c>
      <c r="AR44" s="23">
        <v>61</v>
      </c>
      <c r="AT44" s="23">
        <v>61</v>
      </c>
      <c r="AU44" s="23">
        <v>25</v>
      </c>
      <c r="AV44" s="23">
        <v>61</v>
      </c>
      <c r="AX44" s="23">
        <v>61</v>
      </c>
      <c r="AZ44" s="23">
        <v>61</v>
      </c>
      <c r="BB44" s="23">
        <v>61</v>
      </c>
      <c r="BC44" s="23">
        <v>32</v>
      </c>
      <c r="BD44" s="23">
        <v>61</v>
      </c>
      <c r="BE44" s="23">
        <v>28</v>
      </c>
      <c r="BF44" s="23">
        <v>61</v>
      </c>
      <c r="BG44" s="23">
        <v>30</v>
      </c>
      <c r="BH44" s="23">
        <v>61</v>
      </c>
      <c r="BJ44" s="23">
        <v>61</v>
      </c>
      <c r="BP44" s="23">
        <v>61</v>
      </c>
      <c r="BQ44" s="23" t="s">
        <v>94</v>
      </c>
      <c r="BR44" s="23">
        <v>61</v>
      </c>
      <c r="BS44" s="23" t="s">
        <v>94</v>
      </c>
      <c r="BT44" s="23">
        <v>61</v>
      </c>
      <c r="BU44" s="23" t="s">
        <v>94</v>
      </c>
      <c r="BV44" s="23">
        <v>61</v>
      </c>
      <c r="BW44" s="23" t="s">
        <v>95</v>
      </c>
      <c r="BX44" s="23">
        <v>61</v>
      </c>
      <c r="BY44" s="23" t="s">
        <v>95</v>
      </c>
      <c r="BZ44" s="23">
        <v>61</v>
      </c>
      <c r="CA44" s="23" t="s">
        <v>95</v>
      </c>
      <c r="CB44" s="23">
        <v>61</v>
      </c>
      <c r="CC44" s="23" t="s">
        <v>95</v>
      </c>
      <c r="CD44" s="23">
        <v>61</v>
      </c>
      <c r="CE44" s="23" t="s">
        <v>95</v>
      </c>
      <c r="CF44" s="23">
        <v>61</v>
      </c>
      <c r="CG44" s="23" t="s">
        <v>95</v>
      </c>
      <c r="CH44" s="23">
        <v>61</v>
      </c>
      <c r="CI44" s="23" t="s">
        <v>95</v>
      </c>
      <c r="CJ44" s="23">
        <v>61</v>
      </c>
      <c r="CK44" s="23" t="s">
        <v>95</v>
      </c>
      <c r="CL44" s="23">
        <v>61</v>
      </c>
      <c r="CM44" s="23" t="s">
        <v>95</v>
      </c>
      <c r="CN44" s="23">
        <v>61</v>
      </c>
      <c r="CO44" s="23" t="s">
        <v>95</v>
      </c>
      <c r="CP44" s="23">
        <v>61</v>
      </c>
      <c r="CQ44" s="23" t="s">
        <v>95</v>
      </c>
      <c r="CR44" s="23">
        <v>61</v>
      </c>
      <c r="CS44" s="23" t="s">
        <v>95</v>
      </c>
      <c r="CT44" s="23">
        <v>61</v>
      </c>
      <c r="CU44" s="23" t="s">
        <v>95</v>
      </c>
      <c r="CV44" s="23">
        <v>61</v>
      </c>
      <c r="CW44" s="23" t="s">
        <v>95</v>
      </c>
    </row>
    <row r="45" spans="1:101" x14ac:dyDescent="0.2">
      <c r="A45" s="26" t="s">
        <v>45</v>
      </c>
      <c r="B45" s="24">
        <f>SUM(INGRESO!C45)</f>
        <v>0</v>
      </c>
      <c r="C45" s="24">
        <f>SUM(INGRESO!D45)</f>
        <v>0</v>
      </c>
      <c r="G45" s="24">
        <f>B45</f>
        <v>0</v>
      </c>
      <c r="H45" s="24">
        <f>B45</f>
        <v>0</v>
      </c>
      <c r="I45" s="24">
        <f>B45</f>
        <v>0</v>
      </c>
      <c r="J45" s="24"/>
      <c r="K45" s="24"/>
      <c r="L45" s="24">
        <f>B45</f>
        <v>0</v>
      </c>
      <c r="M45" s="24"/>
      <c r="N45" s="24"/>
      <c r="AD45" s="23">
        <v>62</v>
      </c>
      <c r="AF45" s="23">
        <v>62</v>
      </c>
      <c r="AG45" s="23">
        <v>8</v>
      </c>
      <c r="AH45" s="23">
        <v>62</v>
      </c>
      <c r="AI45" s="23">
        <v>19</v>
      </c>
      <c r="AJ45" s="23">
        <v>62</v>
      </c>
      <c r="AK45" s="23">
        <v>16</v>
      </c>
      <c r="AL45" s="23">
        <v>62</v>
      </c>
      <c r="AM45" s="23">
        <v>19</v>
      </c>
      <c r="AN45" s="23">
        <v>62</v>
      </c>
      <c r="AP45" s="23">
        <v>62</v>
      </c>
      <c r="AR45" s="23">
        <v>62</v>
      </c>
      <c r="AS45" s="23">
        <v>23</v>
      </c>
      <c r="AT45" s="23">
        <v>62</v>
      </c>
      <c r="AV45" s="23">
        <v>62</v>
      </c>
      <c r="AW45" s="23">
        <v>24</v>
      </c>
      <c r="AX45" s="23">
        <v>62</v>
      </c>
      <c r="AY45" s="23">
        <v>12</v>
      </c>
      <c r="AZ45" s="23">
        <v>62</v>
      </c>
      <c r="BA45" s="23">
        <v>29</v>
      </c>
      <c r="BB45" s="23">
        <v>62</v>
      </c>
      <c r="BD45" s="23">
        <v>62</v>
      </c>
      <c r="BF45" s="23">
        <v>62</v>
      </c>
      <c r="BH45" s="23">
        <v>62</v>
      </c>
      <c r="BJ45" s="23">
        <v>62</v>
      </c>
      <c r="BP45" s="23">
        <v>62</v>
      </c>
      <c r="BQ45" s="23" t="s">
        <v>94</v>
      </c>
      <c r="BR45" s="23">
        <v>62</v>
      </c>
      <c r="BS45" s="23" t="s">
        <v>94</v>
      </c>
      <c r="BT45" s="23">
        <v>62</v>
      </c>
      <c r="BU45" s="23" t="s">
        <v>94</v>
      </c>
      <c r="BV45" s="23">
        <v>62</v>
      </c>
      <c r="BW45" s="23" t="s">
        <v>95</v>
      </c>
      <c r="BX45" s="23">
        <v>62</v>
      </c>
      <c r="BY45" s="23" t="s">
        <v>95</v>
      </c>
      <c r="BZ45" s="23">
        <v>62</v>
      </c>
      <c r="CA45" s="23" t="s">
        <v>95</v>
      </c>
      <c r="CB45" s="23">
        <v>62</v>
      </c>
      <c r="CC45" s="23" t="s">
        <v>95</v>
      </c>
      <c r="CD45" s="23">
        <v>62</v>
      </c>
      <c r="CE45" s="23" t="s">
        <v>95</v>
      </c>
      <c r="CF45" s="23">
        <v>62</v>
      </c>
      <c r="CG45" s="23" t="s">
        <v>95</v>
      </c>
      <c r="CH45" s="23">
        <v>62</v>
      </c>
      <c r="CI45" s="23" t="s">
        <v>95</v>
      </c>
      <c r="CJ45" s="23">
        <v>62</v>
      </c>
      <c r="CK45" s="23" t="s">
        <v>95</v>
      </c>
      <c r="CL45" s="23">
        <v>62</v>
      </c>
      <c r="CM45" s="23" t="s">
        <v>95</v>
      </c>
      <c r="CN45" s="23">
        <v>62</v>
      </c>
      <c r="CO45" s="23" t="s">
        <v>95</v>
      </c>
      <c r="CP45" s="23">
        <v>62</v>
      </c>
      <c r="CQ45" s="23" t="s">
        <v>95</v>
      </c>
      <c r="CR45" s="23">
        <v>62</v>
      </c>
      <c r="CS45" s="23" t="s">
        <v>95</v>
      </c>
      <c r="CT45" s="23">
        <v>62</v>
      </c>
      <c r="CU45" s="23" t="s">
        <v>95</v>
      </c>
      <c r="CV45" s="23">
        <v>62</v>
      </c>
      <c r="CW45" s="23" t="s">
        <v>95</v>
      </c>
    </row>
    <row r="46" spans="1:101" x14ac:dyDescent="0.2">
      <c r="A46" s="26" t="s">
        <v>46</v>
      </c>
      <c r="B46" s="24">
        <f>SUM(INGRESO!C46)</f>
        <v>0</v>
      </c>
      <c r="C46" s="24">
        <f>SUM(INGRESO!D46)</f>
        <v>0</v>
      </c>
      <c r="G46" s="24">
        <f>B46</f>
        <v>0</v>
      </c>
      <c r="H46" s="24"/>
      <c r="I46" s="24">
        <f>B46</f>
        <v>0</v>
      </c>
      <c r="J46" s="24"/>
      <c r="K46" s="24"/>
      <c r="L46" s="24"/>
      <c r="M46" s="24"/>
      <c r="N46" s="24"/>
      <c r="AD46" s="23">
        <v>63</v>
      </c>
      <c r="AE46" s="23">
        <v>8</v>
      </c>
      <c r="AF46" s="23">
        <v>63</v>
      </c>
      <c r="AH46" s="23">
        <v>63</v>
      </c>
      <c r="AJ46" s="23">
        <v>63</v>
      </c>
      <c r="AL46" s="23">
        <v>63</v>
      </c>
      <c r="AN46" s="23">
        <v>63</v>
      </c>
      <c r="AO46" s="23">
        <v>22</v>
      </c>
      <c r="AP46" s="23">
        <v>63</v>
      </c>
      <c r="AQ46" s="23">
        <v>26</v>
      </c>
      <c r="AR46" s="23">
        <v>63</v>
      </c>
      <c r="AT46" s="23">
        <v>63</v>
      </c>
      <c r="AU46" s="23">
        <v>26</v>
      </c>
      <c r="AV46" s="23">
        <v>63</v>
      </c>
      <c r="AX46" s="23">
        <v>63</v>
      </c>
      <c r="AZ46" s="23">
        <v>63</v>
      </c>
      <c r="BB46" s="23">
        <v>63</v>
      </c>
      <c r="BC46" s="23">
        <v>33</v>
      </c>
      <c r="BD46" s="23">
        <v>63</v>
      </c>
      <c r="BE46" s="23">
        <v>29</v>
      </c>
      <c r="BF46" s="23">
        <v>63</v>
      </c>
      <c r="BG46" s="23">
        <v>31</v>
      </c>
      <c r="BH46" s="23">
        <v>63</v>
      </c>
      <c r="BI46" s="23">
        <v>22</v>
      </c>
      <c r="BJ46" s="23">
        <v>63</v>
      </c>
      <c r="BP46" s="23">
        <v>63</v>
      </c>
      <c r="BQ46" s="23" t="s">
        <v>94</v>
      </c>
      <c r="BR46" s="23">
        <v>63</v>
      </c>
      <c r="BS46" s="23" t="s">
        <v>94</v>
      </c>
      <c r="BT46" s="23">
        <v>63</v>
      </c>
      <c r="BU46" s="23" t="s">
        <v>94</v>
      </c>
      <c r="BV46" s="23">
        <v>63</v>
      </c>
      <c r="BW46" s="23" t="s">
        <v>95</v>
      </c>
      <c r="BX46" s="23">
        <v>63</v>
      </c>
      <c r="BY46" s="23" t="s">
        <v>95</v>
      </c>
      <c r="BZ46" s="23">
        <v>63</v>
      </c>
      <c r="CA46" s="23" t="s">
        <v>95</v>
      </c>
      <c r="CB46" s="23">
        <v>63</v>
      </c>
      <c r="CC46" s="23" t="s">
        <v>95</v>
      </c>
      <c r="CD46" s="23">
        <v>63</v>
      </c>
      <c r="CE46" s="23" t="s">
        <v>95</v>
      </c>
      <c r="CF46" s="23">
        <v>63</v>
      </c>
      <c r="CG46" s="23" t="s">
        <v>95</v>
      </c>
      <c r="CH46" s="23">
        <v>63</v>
      </c>
      <c r="CI46" s="23" t="s">
        <v>95</v>
      </c>
      <c r="CJ46" s="23">
        <v>63</v>
      </c>
      <c r="CK46" s="23" t="s">
        <v>95</v>
      </c>
      <c r="CL46" s="23">
        <v>63</v>
      </c>
      <c r="CM46" s="23" t="s">
        <v>95</v>
      </c>
      <c r="CN46" s="23">
        <v>63</v>
      </c>
      <c r="CO46" s="23" t="s">
        <v>95</v>
      </c>
      <c r="CP46" s="23">
        <v>63</v>
      </c>
      <c r="CQ46" s="23" t="s">
        <v>95</v>
      </c>
      <c r="CR46" s="23">
        <v>63</v>
      </c>
      <c r="CS46" s="23" t="s">
        <v>95</v>
      </c>
      <c r="CT46" s="23">
        <v>63</v>
      </c>
      <c r="CU46" s="23" t="s">
        <v>95</v>
      </c>
      <c r="CV46" s="23">
        <v>63</v>
      </c>
      <c r="CW46" s="23" t="s">
        <v>95</v>
      </c>
    </row>
    <row r="47" spans="1:101" x14ac:dyDescent="0.2">
      <c r="A47" s="26" t="s">
        <v>47</v>
      </c>
      <c r="B47" s="24">
        <f>SUM(INGRESO!C47)</f>
        <v>0</v>
      </c>
      <c r="C47" s="24">
        <f>SUM(INGRESO!D47)</f>
        <v>0</v>
      </c>
      <c r="G47" s="24">
        <f>B47</f>
        <v>0</v>
      </c>
      <c r="H47" s="24"/>
      <c r="I47" s="24">
        <f>B47</f>
        <v>0</v>
      </c>
      <c r="J47" s="24"/>
      <c r="K47" s="24"/>
      <c r="L47" s="24"/>
      <c r="M47" s="24">
        <f>B47</f>
        <v>0</v>
      </c>
      <c r="N47" s="24"/>
      <c r="AD47" s="23">
        <v>64</v>
      </c>
      <c r="AF47" s="23">
        <v>64</v>
      </c>
      <c r="AG47" s="23">
        <v>9</v>
      </c>
      <c r="AH47" s="23">
        <v>64</v>
      </c>
      <c r="AI47" s="23">
        <v>20</v>
      </c>
      <c r="AJ47" s="23">
        <v>64</v>
      </c>
      <c r="AL47" s="23">
        <v>64</v>
      </c>
      <c r="AM47" s="23">
        <v>20</v>
      </c>
      <c r="AN47" s="23">
        <v>64</v>
      </c>
      <c r="AP47" s="23">
        <v>64</v>
      </c>
      <c r="AR47" s="23">
        <v>64</v>
      </c>
      <c r="AS47" s="23">
        <v>24</v>
      </c>
      <c r="AT47" s="23">
        <v>64</v>
      </c>
      <c r="AU47" s="23">
        <v>27</v>
      </c>
      <c r="AV47" s="23">
        <v>64</v>
      </c>
      <c r="AW47" s="23">
        <v>25</v>
      </c>
      <c r="AX47" s="23">
        <v>64</v>
      </c>
      <c r="AZ47" s="23">
        <v>64</v>
      </c>
      <c r="BA47" s="23">
        <v>30</v>
      </c>
      <c r="BB47" s="23">
        <v>64</v>
      </c>
      <c r="BD47" s="23">
        <v>64</v>
      </c>
      <c r="BF47" s="23">
        <v>64</v>
      </c>
      <c r="BG47" s="23">
        <v>32</v>
      </c>
      <c r="BH47" s="23">
        <v>64</v>
      </c>
      <c r="BJ47" s="23">
        <v>64</v>
      </c>
      <c r="BP47" s="23">
        <v>64</v>
      </c>
      <c r="BQ47" s="23" t="s">
        <v>94</v>
      </c>
      <c r="BR47" s="23">
        <v>64</v>
      </c>
      <c r="BS47" s="23" t="s">
        <v>94</v>
      </c>
      <c r="BT47" s="23">
        <v>64</v>
      </c>
      <c r="BU47" s="23" t="s">
        <v>94</v>
      </c>
      <c r="BV47" s="23">
        <v>64</v>
      </c>
      <c r="BW47" s="23" t="s">
        <v>95</v>
      </c>
      <c r="BX47" s="23">
        <v>64</v>
      </c>
      <c r="BY47" s="23" t="s">
        <v>95</v>
      </c>
      <c r="BZ47" s="23">
        <v>64</v>
      </c>
      <c r="CA47" s="23" t="s">
        <v>95</v>
      </c>
      <c r="CB47" s="23">
        <v>64</v>
      </c>
      <c r="CC47" s="23" t="s">
        <v>95</v>
      </c>
      <c r="CD47" s="23">
        <v>64</v>
      </c>
      <c r="CE47" s="23" t="s">
        <v>95</v>
      </c>
      <c r="CF47" s="23">
        <v>64</v>
      </c>
      <c r="CG47" s="23" t="s">
        <v>95</v>
      </c>
      <c r="CH47" s="23">
        <v>64</v>
      </c>
      <c r="CI47" s="23" t="s">
        <v>95</v>
      </c>
      <c r="CJ47" s="23">
        <v>64</v>
      </c>
      <c r="CK47" s="23" t="s">
        <v>95</v>
      </c>
      <c r="CL47" s="23">
        <v>64</v>
      </c>
      <c r="CM47" s="23" t="s">
        <v>95</v>
      </c>
      <c r="CN47" s="23">
        <v>64</v>
      </c>
      <c r="CO47" s="23" t="s">
        <v>95</v>
      </c>
      <c r="CP47" s="23">
        <v>64</v>
      </c>
      <c r="CQ47" s="23" t="s">
        <v>95</v>
      </c>
      <c r="CR47" s="23">
        <v>64</v>
      </c>
      <c r="CS47" s="23" t="s">
        <v>95</v>
      </c>
      <c r="CT47" s="23">
        <v>64</v>
      </c>
      <c r="CU47" s="23" t="s">
        <v>95</v>
      </c>
      <c r="CV47" s="23">
        <v>64</v>
      </c>
      <c r="CW47" s="23" t="s">
        <v>95</v>
      </c>
    </row>
    <row r="48" spans="1:101" x14ac:dyDescent="0.2">
      <c r="A48" s="26" t="s">
        <v>48</v>
      </c>
      <c r="B48" s="24">
        <f>SUM(INGRESO!C48)</f>
        <v>0</v>
      </c>
      <c r="C48" s="24">
        <f>SUM(INGRESO!D48)</f>
        <v>0</v>
      </c>
      <c r="D48" s="24">
        <f>B48</f>
        <v>0</v>
      </c>
      <c r="G48" s="24"/>
      <c r="H48" s="24"/>
      <c r="I48" s="24"/>
      <c r="J48" s="24"/>
      <c r="K48" s="24"/>
      <c r="L48" s="24"/>
      <c r="M48" s="24"/>
      <c r="N48" s="24"/>
      <c r="AD48" s="23">
        <v>65</v>
      </c>
      <c r="AF48" s="23">
        <v>65</v>
      </c>
      <c r="AH48" s="23">
        <v>65</v>
      </c>
      <c r="AJ48" s="23">
        <v>65</v>
      </c>
      <c r="AK48" s="23">
        <v>17</v>
      </c>
      <c r="AL48" s="23">
        <v>65</v>
      </c>
      <c r="AN48" s="23">
        <v>65</v>
      </c>
      <c r="AO48" s="23">
        <v>23</v>
      </c>
      <c r="AP48" s="23">
        <v>65</v>
      </c>
      <c r="AQ48" s="23">
        <v>27</v>
      </c>
      <c r="AR48" s="23">
        <v>65</v>
      </c>
      <c r="AS48" s="23">
        <v>25</v>
      </c>
      <c r="AT48" s="23">
        <v>65</v>
      </c>
      <c r="AV48" s="23">
        <v>65</v>
      </c>
      <c r="AX48" s="23">
        <v>65</v>
      </c>
      <c r="AY48" s="23">
        <v>13</v>
      </c>
      <c r="AZ48" s="23">
        <v>65</v>
      </c>
      <c r="BB48" s="23">
        <v>65</v>
      </c>
      <c r="BC48" s="23">
        <v>34</v>
      </c>
      <c r="BD48" s="23">
        <v>65</v>
      </c>
      <c r="BE48" s="23">
        <v>30</v>
      </c>
      <c r="BF48" s="23">
        <v>65</v>
      </c>
      <c r="BH48" s="23">
        <v>65</v>
      </c>
      <c r="BI48" s="23">
        <v>23</v>
      </c>
      <c r="BJ48" s="23">
        <v>65</v>
      </c>
      <c r="BP48" s="23">
        <v>65</v>
      </c>
      <c r="BQ48" s="23" t="s">
        <v>94</v>
      </c>
      <c r="BR48" s="23">
        <v>65</v>
      </c>
      <c r="BS48" s="23" t="s">
        <v>94</v>
      </c>
      <c r="BT48" s="23">
        <v>65</v>
      </c>
      <c r="BU48" s="23" t="s">
        <v>94</v>
      </c>
      <c r="BV48" s="23">
        <v>65</v>
      </c>
      <c r="BW48" s="23" t="s">
        <v>95</v>
      </c>
      <c r="BX48" s="23">
        <v>65</v>
      </c>
      <c r="BY48" s="23" t="s">
        <v>95</v>
      </c>
      <c r="BZ48" s="23">
        <v>65</v>
      </c>
      <c r="CA48" s="23" t="s">
        <v>95</v>
      </c>
      <c r="CB48" s="23">
        <v>65</v>
      </c>
      <c r="CC48" s="23" t="s">
        <v>95</v>
      </c>
      <c r="CD48" s="23">
        <v>65</v>
      </c>
      <c r="CE48" s="23" t="s">
        <v>95</v>
      </c>
      <c r="CF48" s="23">
        <v>65</v>
      </c>
      <c r="CG48" s="23" t="s">
        <v>95</v>
      </c>
      <c r="CH48" s="23">
        <v>65</v>
      </c>
      <c r="CI48" s="23" t="s">
        <v>95</v>
      </c>
      <c r="CJ48" s="23">
        <v>65</v>
      </c>
      <c r="CK48" s="23" t="s">
        <v>95</v>
      </c>
      <c r="CL48" s="23">
        <v>65</v>
      </c>
      <c r="CM48" s="23" t="s">
        <v>95</v>
      </c>
      <c r="CN48" s="23">
        <v>65</v>
      </c>
      <c r="CO48" s="23" t="s">
        <v>95</v>
      </c>
      <c r="CP48" s="23">
        <v>65</v>
      </c>
      <c r="CQ48" s="23" t="s">
        <v>95</v>
      </c>
      <c r="CR48" s="23">
        <v>65</v>
      </c>
      <c r="CS48" s="23" t="s">
        <v>95</v>
      </c>
      <c r="CT48" s="23">
        <v>65</v>
      </c>
      <c r="CU48" s="23" t="s">
        <v>95</v>
      </c>
      <c r="CV48" s="23">
        <v>65</v>
      </c>
      <c r="CW48" s="23" t="s">
        <v>95</v>
      </c>
    </row>
    <row r="49" spans="1:101" x14ac:dyDescent="0.2">
      <c r="A49" s="26" t="s">
        <v>49</v>
      </c>
      <c r="B49" s="24">
        <f>SUM(INGRESO!C49)</f>
        <v>0</v>
      </c>
      <c r="C49" s="24">
        <f>SUM(INGRESO!D49)</f>
        <v>0</v>
      </c>
      <c r="E49" s="24">
        <f>B49</f>
        <v>0</v>
      </c>
      <c r="G49" s="24"/>
      <c r="H49" s="24"/>
      <c r="I49" s="24"/>
      <c r="J49" s="24"/>
      <c r="K49" s="24"/>
      <c r="L49" s="24"/>
      <c r="M49" s="24"/>
      <c r="N49" s="24"/>
      <c r="AD49" s="23">
        <v>66</v>
      </c>
      <c r="AE49" s="23">
        <v>9</v>
      </c>
      <c r="AF49" s="23">
        <v>66</v>
      </c>
      <c r="AG49" s="23">
        <v>10</v>
      </c>
      <c r="AH49" s="23">
        <v>66</v>
      </c>
      <c r="AI49" s="23">
        <v>21</v>
      </c>
      <c r="AJ49" s="23">
        <v>66</v>
      </c>
      <c r="AL49" s="23">
        <v>66</v>
      </c>
      <c r="AM49" s="23">
        <v>21</v>
      </c>
      <c r="AN49" s="23">
        <v>66</v>
      </c>
      <c r="AP49" s="23">
        <v>66</v>
      </c>
      <c r="AR49" s="23">
        <v>66</v>
      </c>
      <c r="AT49" s="23">
        <v>66</v>
      </c>
      <c r="AU49" s="23">
        <v>28</v>
      </c>
      <c r="AV49" s="23">
        <v>66</v>
      </c>
      <c r="AX49" s="23">
        <v>66</v>
      </c>
      <c r="AZ49" s="23">
        <v>66</v>
      </c>
      <c r="BA49" s="23">
        <v>31</v>
      </c>
      <c r="BB49" s="23">
        <v>66</v>
      </c>
      <c r="BC49" s="23">
        <v>35</v>
      </c>
      <c r="BD49" s="23">
        <v>66</v>
      </c>
      <c r="BF49" s="23">
        <v>66</v>
      </c>
      <c r="BG49" s="23">
        <v>33</v>
      </c>
      <c r="BH49" s="23">
        <v>66</v>
      </c>
      <c r="BJ49" s="23">
        <v>66</v>
      </c>
      <c r="BP49" s="23">
        <v>66</v>
      </c>
      <c r="BQ49" s="23" t="s">
        <v>94</v>
      </c>
      <c r="BR49" s="23">
        <v>66</v>
      </c>
      <c r="BS49" s="23" t="s">
        <v>94</v>
      </c>
      <c r="BT49" s="23">
        <v>66</v>
      </c>
      <c r="BU49" s="23" t="s">
        <v>94</v>
      </c>
      <c r="BV49" s="23">
        <v>66</v>
      </c>
      <c r="BW49" s="23" t="s">
        <v>95</v>
      </c>
      <c r="BX49" s="23">
        <v>66</v>
      </c>
      <c r="BY49" s="23" t="s">
        <v>95</v>
      </c>
      <c r="BZ49" s="23">
        <v>66</v>
      </c>
      <c r="CA49" s="23" t="s">
        <v>95</v>
      </c>
      <c r="CB49" s="23">
        <v>66</v>
      </c>
      <c r="CC49" s="23" t="s">
        <v>95</v>
      </c>
      <c r="CD49" s="23">
        <v>66</v>
      </c>
      <c r="CE49" s="23" t="s">
        <v>95</v>
      </c>
      <c r="CF49" s="23">
        <v>66</v>
      </c>
      <c r="CG49" s="23" t="s">
        <v>95</v>
      </c>
      <c r="CH49" s="23">
        <v>66</v>
      </c>
      <c r="CI49" s="23" t="s">
        <v>95</v>
      </c>
      <c r="CJ49" s="23">
        <v>66</v>
      </c>
      <c r="CK49" s="23" t="s">
        <v>95</v>
      </c>
      <c r="CL49" s="23">
        <v>66</v>
      </c>
      <c r="CM49" s="23" t="s">
        <v>95</v>
      </c>
      <c r="CN49" s="23">
        <v>66</v>
      </c>
      <c r="CO49" s="23" t="s">
        <v>95</v>
      </c>
      <c r="CP49" s="23">
        <v>66</v>
      </c>
      <c r="CQ49" s="23" t="s">
        <v>95</v>
      </c>
      <c r="CR49" s="23">
        <v>66</v>
      </c>
      <c r="CS49" s="23" t="s">
        <v>95</v>
      </c>
      <c r="CT49" s="23">
        <v>66</v>
      </c>
      <c r="CU49" s="23" t="s">
        <v>95</v>
      </c>
      <c r="CV49" s="23">
        <v>66</v>
      </c>
      <c r="CW49" s="23" t="s">
        <v>95</v>
      </c>
    </row>
    <row r="50" spans="1:101" x14ac:dyDescent="0.2">
      <c r="A50" s="26" t="s">
        <v>50</v>
      </c>
      <c r="B50" s="24">
        <f>SUM(INGRESO!C50)</f>
        <v>0</v>
      </c>
      <c r="C50" s="24">
        <f>SUM(INGRESO!D50)</f>
        <v>0</v>
      </c>
      <c r="G50" s="24"/>
      <c r="H50" s="24"/>
      <c r="I50" s="24">
        <f>C50</f>
        <v>0</v>
      </c>
      <c r="J50" s="24">
        <f>C50</f>
        <v>0</v>
      </c>
      <c r="K50" s="24"/>
      <c r="L50" s="24"/>
      <c r="M50" s="24"/>
      <c r="N50" s="24"/>
      <c r="AD50" s="23">
        <v>67</v>
      </c>
      <c r="AF50" s="23">
        <v>67</v>
      </c>
      <c r="AH50" s="23">
        <v>67</v>
      </c>
      <c r="AJ50" s="23">
        <v>67</v>
      </c>
      <c r="AK50" s="23">
        <v>18</v>
      </c>
      <c r="AL50" s="23">
        <v>67</v>
      </c>
      <c r="AN50" s="23">
        <v>67</v>
      </c>
      <c r="AP50" s="23">
        <v>67</v>
      </c>
      <c r="AQ50" s="23">
        <v>28</v>
      </c>
      <c r="AR50" s="23">
        <v>67</v>
      </c>
      <c r="AS50" s="23">
        <v>26</v>
      </c>
      <c r="AT50" s="23">
        <v>67</v>
      </c>
      <c r="AV50" s="23">
        <v>67</v>
      </c>
      <c r="AW50" s="23">
        <v>26</v>
      </c>
      <c r="AX50" s="23">
        <v>67</v>
      </c>
      <c r="AY50" s="23">
        <v>14</v>
      </c>
      <c r="AZ50" s="23">
        <v>67</v>
      </c>
      <c r="BB50" s="23">
        <v>67</v>
      </c>
      <c r="BD50" s="23">
        <v>67</v>
      </c>
      <c r="BE50" s="23">
        <v>31</v>
      </c>
      <c r="BF50" s="23">
        <v>67</v>
      </c>
      <c r="BG50" s="23">
        <v>34</v>
      </c>
      <c r="BH50" s="23">
        <v>67</v>
      </c>
      <c r="BJ50" s="23">
        <v>67</v>
      </c>
      <c r="BP50" s="23">
        <v>67</v>
      </c>
      <c r="BQ50" s="23" t="s">
        <v>94</v>
      </c>
      <c r="BR50" s="23">
        <v>67</v>
      </c>
      <c r="BS50" s="23" t="s">
        <v>94</v>
      </c>
      <c r="BT50" s="23">
        <v>67</v>
      </c>
      <c r="BU50" s="23" t="s">
        <v>94</v>
      </c>
      <c r="BV50" s="23">
        <v>67</v>
      </c>
      <c r="BW50" s="23" t="s">
        <v>95</v>
      </c>
      <c r="BX50" s="23">
        <v>67</v>
      </c>
      <c r="BY50" s="23" t="s">
        <v>95</v>
      </c>
      <c r="BZ50" s="23">
        <v>67</v>
      </c>
      <c r="CA50" s="23" t="s">
        <v>95</v>
      </c>
      <c r="CB50" s="23">
        <v>67</v>
      </c>
      <c r="CC50" s="23" t="s">
        <v>95</v>
      </c>
      <c r="CD50" s="23">
        <v>67</v>
      </c>
      <c r="CE50" s="23" t="s">
        <v>95</v>
      </c>
      <c r="CF50" s="23">
        <v>67</v>
      </c>
      <c r="CG50" s="23" t="s">
        <v>95</v>
      </c>
      <c r="CH50" s="23">
        <v>67</v>
      </c>
      <c r="CI50" s="23" t="s">
        <v>95</v>
      </c>
      <c r="CJ50" s="23">
        <v>67</v>
      </c>
      <c r="CK50" s="23" t="s">
        <v>95</v>
      </c>
      <c r="CL50" s="23">
        <v>67</v>
      </c>
      <c r="CM50" s="23" t="s">
        <v>95</v>
      </c>
      <c r="CN50" s="23">
        <v>67</v>
      </c>
      <c r="CO50" s="23" t="s">
        <v>95</v>
      </c>
      <c r="CP50" s="23">
        <v>67</v>
      </c>
      <c r="CQ50" s="23" t="s">
        <v>95</v>
      </c>
      <c r="CR50" s="23">
        <v>67</v>
      </c>
      <c r="CS50" s="23" t="s">
        <v>95</v>
      </c>
      <c r="CT50" s="23">
        <v>67</v>
      </c>
      <c r="CU50" s="23" t="s">
        <v>95</v>
      </c>
      <c r="CV50" s="23">
        <v>67</v>
      </c>
      <c r="CW50" s="23" t="s">
        <v>95</v>
      </c>
    </row>
    <row r="51" spans="1:101" x14ac:dyDescent="0.2">
      <c r="A51" s="26" t="s">
        <v>51</v>
      </c>
      <c r="B51" s="24">
        <f>SUM(INGRESO!C51)</f>
        <v>0</v>
      </c>
      <c r="C51" s="24">
        <f>SUM(INGRESO!D51)</f>
        <v>0</v>
      </c>
      <c r="E51" s="24">
        <f>B51</f>
        <v>0</v>
      </c>
      <c r="G51" s="24"/>
      <c r="H51" s="24"/>
      <c r="I51" s="24"/>
      <c r="J51" s="24"/>
      <c r="K51" s="24"/>
      <c r="L51" s="24"/>
      <c r="M51" s="24"/>
      <c r="N51" s="24"/>
      <c r="AD51" s="23">
        <v>68</v>
      </c>
      <c r="AF51" s="23">
        <v>68</v>
      </c>
      <c r="AG51" s="23">
        <v>11</v>
      </c>
      <c r="AH51" s="23">
        <v>68</v>
      </c>
      <c r="AI51" s="23">
        <v>22</v>
      </c>
      <c r="AJ51" s="23">
        <v>68</v>
      </c>
      <c r="AL51" s="23">
        <v>68</v>
      </c>
      <c r="AM51" s="23">
        <v>22</v>
      </c>
      <c r="AN51" s="23">
        <v>68</v>
      </c>
      <c r="AO51" s="23">
        <v>24</v>
      </c>
      <c r="AP51" s="23">
        <v>68</v>
      </c>
      <c r="AR51" s="23">
        <v>68</v>
      </c>
      <c r="AT51" s="23">
        <v>68</v>
      </c>
      <c r="AU51" s="23">
        <v>29</v>
      </c>
      <c r="AV51" s="23">
        <v>68</v>
      </c>
      <c r="AX51" s="23">
        <v>68</v>
      </c>
      <c r="AZ51" s="23">
        <v>68</v>
      </c>
      <c r="BB51" s="23">
        <v>68</v>
      </c>
      <c r="BC51" s="23">
        <v>36</v>
      </c>
      <c r="BD51" s="23">
        <v>68</v>
      </c>
      <c r="BF51" s="23">
        <v>68</v>
      </c>
      <c r="BH51" s="23">
        <v>68</v>
      </c>
      <c r="BI51" s="23">
        <v>24</v>
      </c>
      <c r="BJ51" s="23">
        <v>68</v>
      </c>
      <c r="BP51" s="23">
        <v>68</v>
      </c>
      <c r="BQ51" s="23" t="s">
        <v>94</v>
      </c>
      <c r="BR51" s="23">
        <v>68</v>
      </c>
      <c r="BS51" s="23" t="s">
        <v>94</v>
      </c>
      <c r="BT51" s="23">
        <v>68</v>
      </c>
      <c r="BU51" s="23" t="s">
        <v>94</v>
      </c>
      <c r="BV51" s="23">
        <v>68</v>
      </c>
      <c r="BW51" s="23" t="s">
        <v>95</v>
      </c>
      <c r="BX51" s="23">
        <v>68</v>
      </c>
      <c r="BY51" s="23" t="s">
        <v>95</v>
      </c>
      <c r="BZ51" s="23">
        <v>68</v>
      </c>
      <c r="CA51" s="23" t="s">
        <v>95</v>
      </c>
      <c r="CB51" s="23">
        <v>68</v>
      </c>
      <c r="CC51" s="23" t="s">
        <v>95</v>
      </c>
      <c r="CD51" s="23">
        <v>68</v>
      </c>
      <c r="CE51" s="23" t="s">
        <v>95</v>
      </c>
      <c r="CF51" s="23">
        <v>68</v>
      </c>
      <c r="CG51" s="23" t="s">
        <v>95</v>
      </c>
      <c r="CH51" s="23">
        <v>68</v>
      </c>
      <c r="CI51" s="23" t="s">
        <v>95</v>
      </c>
      <c r="CJ51" s="23">
        <v>68</v>
      </c>
      <c r="CK51" s="23" t="s">
        <v>95</v>
      </c>
      <c r="CL51" s="23">
        <v>68</v>
      </c>
      <c r="CM51" s="23" t="s">
        <v>95</v>
      </c>
      <c r="CN51" s="23">
        <v>68</v>
      </c>
      <c r="CO51" s="23" t="s">
        <v>95</v>
      </c>
      <c r="CP51" s="23">
        <v>68</v>
      </c>
      <c r="CQ51" s="23" t="s">
        <v>95</v>
      </c>
      <c r="CR51" s="23">
        <v>68</v>
      </c>
      <c r="CS51" s="23" t="s">
        <v>95</v>
      </c>
      <c r="CT51" s="23">
        <v>68</v>
      </c>
      <c r="CU51" s="23" t="s">
        <v>95</v>
      </c>
      <c r="CV51" s="23">
        <v>68</v>
      </c>
      <c r="CW51" s="23" t="s">
        <v>95</v>
      </c>
    </row>
    <row r="52" spans="1:101" x14ac:dyDescent="0.2">
      <c r="A52" s="26" t="s">
        <v>52</v>
      </c>
      <c r="B52" s="24">
        <f>SUM(INGRESO!C52)</f>
        <v>0</v>
      </c>
      <c r="C52" s="24">
        <f>SUM(INGRESO!D52)</f>
        <v>0</v>
      </c>
      <c r="F52" s="24">
        <f>C52</f>
        <v>0</v>
      </c>
      <c r="G52" s="24"/>
      <c r="H52" s="24"/>
      <c r="I52" s="24"/>
      <c r="J52" s="24"/>
      <c r="K52" s="24"/>
      <c r="L52" s="24">
        <f>B52</f>
        <v>0</v>
      </c>
      <c r="M52" s="24"/>
      <c r="N52" s="24"/>
      <c r="AD52" s="23">
        <v>69</v>
      </c>
      <c r="AF52" s="23">
        <v>69</v>
      </c>
      <c r="AH52" s="23">
        <v>69</v>
      </c>
      <c r="AJ52" s="23">
        <v>69</v>
      </c>
      <c r="AL52" s="23">
        <v>69</v>
      </c>
      <c r="AN52" s="23">
        <v>69</v>
      </c>
      <c r="AP52" s="23">
        <v>69</v>
      </c>
      <c r="AQ52" s="23">
        <v>29</v>
      </c>
      <c r="AR52" s="23">
        <v>69</v>
      </c>
      <c r="AS52" s="23">
        <v>27</v>
      </c>
      <c r="AT52" s="23">
        <v>69</v>
      </c>
      <c r="AV52" s="23">
        <v>69</v>
      </c>
      <c r="AW52" s="23">
        <v>27</v>
      </c>
      <c r="AX52" s="23">
        <v>69</v>
      </c>
      <c r="AZ52" s="23">
        <v>69</v>
      </c>
      <c r="BA52" s="23">
        <v>32</v>
      </c>
      <c r="BB52" s="23">
        <v>69</v>
      </c>
      <c r="BC52" s="23">
        <v>37</v>
      </c>
      <c r="BD52" s="23">
        <v>69</v>
      </c>
      <c r="BE52" s="23">
        <v>32</v>
      </c>
      <c r="BF52" s="23">
        <v>69</v>
      </c>
      <c r="BG52" s="23">
        <v>35</v>
      </c>
      <c r="BH52" s="23">
        <v>69</v>
      </c>
      <c r="BJ52" s="23">
        <v>69</v>
      </c>
      <c r="BP52" s="23">
        <v>69</v>
      </c>
      <c r="BQ52" s="23" t="s">
        <v>94</v>
      </c>
      <c r="BR52" s="23">
        <v>69</v>
      </c>
      <c r="BS52" s="23" t="s">
        <v>94</v>
      </c>
      <c r="BT52" s="23">
        <v>69</v>
      </c>
      <c r="BU52" s="23" t="s">
        <v>94</v>
      </c>
      <c r="BV52" s="23">
        <v>69</v>
      </c>
      <c r="BW52" s="23" t="s">
        <v>95</v>
      </c>
      <c r="BX52" s="23">
        <v>69</v>
      </c>
      <c r="BY52" s="23" t="s">
        <v>95</v>
      </c>
      <c r="BZ52" s="23">
        <v>69</v>
      </c>
      <c r="CA52" s="23" t="s">
        <v>95</v>
      </c>
      <c r="CB52" s="23">
        <v>69</v>
      </c>
      <c r="CC52" s="23" t="s">
        <v>95</v>
      </c>
      <c r="CD52" s="23">
        <v>69</v>
      </c>
      <c r="CE52" s="23" t="s">
        <v>95</v>
      </c>
      <c r="CF52" s="23">
        <v>69</v>
      </c>
      <c r="CG52" s="23" t="s">
        <v>95</v>
      </c>
      <c r="CH52" s="23">
        <v>69</v>
      </c>
      <c r="CI52" s="23" t="s">
        <v>95</v>
      </c>
      <c r="CJ52" s="23">
        <v>69</v>
      </c>
      <c r="CK52" s="23" t="s">
        <v>95</v>
      </c>
      <c r="CL52" s="23">
        <v>69</v>
      </c>
      <c r="CM52" s="23" t="s">
        <v>95</v>
      </c>
      <c r="CN52" s="23">
        <v>69</v>
      </c>
      <c r="CO52" s="23" t="s">
        <v>95</v>
      </c>
      <c r="CP52" s="23">
        <v>69</v>
      </c>
      <c r="CQ52" s="23" t="s">
        <v>95</v>
      </c>
      <c r="CR52" s="23">
        <v>69</v>
      </c>
      <c r="CS52" s="23" t="s">
        <v>95</v>
      </c>
      <c r="CT52" s="23">
        <v>69</v>
      </c>
      <c r="CU52" s="23" t="s">
        <v>95</v>
      </c>
      <c r="CV52" s="23">
        <v>69</v>
      </c>
      <c r="CW52" s="23" t="s">
        <v>95</v>
      </c>
    </row>
    <row r="53" spans="1:101" x14ac:dyDescent="0.2">
      <c r="A53" s="26" t="s">
        <v>53</v>
      </c>
      <c r="B53" s="24">
        <f>SUM(INGRESO!C53)</f>
        <v>0</v>
      </c>
      <c r="C53" s="24">
        <f>SUM(INGRESO!D53)</f>
        <v>0</v>
      </c>
      <c r="G53" s="24"/>
      <c r="H53" s="24"/>
      <c r="I53" s="24"/>
      <c r="J53" s="24">
        <f>B53</f>
        <v>0</v>
      </c>
      <c r="K53" s="24"/>
      <c r="L53" s="24"/>
      <c r="M53" s="24"/>
      <c r="N53" s="24"/>
      <c r="AD53" s="23">
        <v>70</v>
      </c>
      <c r="AE53" s="23">
        <v>10</v>
      </c>
      <c r="AF53" s="23">
        <v>70</v>
      </c>
      <c r="AG53" s="23">
        <v>12</v>
      </c>
      <c r="AH53" s="23">
        <v>70</v>
      </c>
      <c r="AI53" s="23">
        <v>23</v>
      </c>
      <c r="AJ53" s="23">
        <v>70</v>
      </c>
      <c r="AK53" s="23">
        <v>19</v>
      </c>
      <c r="AL53" s="23">
        <v>70</v>
      </c>
      <c r="AM53" s="23">
        <v>23</v>
      </c>
      <c r="AN53" s="23">
        <v>70</v>
      </c>
      <c r="AO53" s="23">
        <v>25</v>
      </c>
      <c r="AP53" s="23">
        <v>70</v>
      </c>
      <c r="AR53" s="23">
        <v>70</v>
      </c>
      <c r="AT53" s="23">
        <v>70</v>
      </c>
      <c r="AU53" s="23">
        <v>30</v>
      </c>
      <c r="AV53" s="23">
        <v>70</v>
      </c>
      <c r="AX53" s="23">
        <v>70</v>
      </c>
      <c r="AY53" s="23">
        <v>15</v>
      </c>
      <c r="AZ53" s="23">
        <v>70</v>
      </c>
      <c r="BB53" s="23">
        <v>70</v>
      </c>
      <c r="BD53" s="23">
        <v>70</v>
      </c>
      <c r="BF53" s="23">
        <v>70</v>
      </c>
      <c r="BH53" s="23">
        <v>70</v>
      </c>
      <c r="BI53" s="23">
        <v>25</v>
      </c>
      <c r="BJ53" s="23">
        <v>70</v>
      </c>
      <c r="BP53" s="23">
        <v>70</v>
      </c>
      <c r="BQ53" s="23" t="s">
        <v>94</v>
      </c>
      <c r="BR53" s="23">
        <v>70</v>
      </c>
      <c r="BS53" s="23" t="s">
        <v>94</v>
      </c>
      <c r="BT53" s="23">
        <v>70</v>
      </c>
      <c r="BU53" s="23" t="s">
        <v>94</v>
      </c>
      <c r="BV53" s="23">
        <v>70</v>
      </c>
      <c r="BW53" s="23" t="s">
        <v>95</v>
      </c>
      <c r="BX53" s="23">
        <v>70</v>
      </c>
      <c r="BY53" s="23" t="s">
        <v>95</v>
      </c>
      <c r="BZ53" s="23">
        <v>70</v>
      </c>
      <c r="CA53" s="23" t="s">
        <v>95</v>
      </c>
      <c r="CB53" s="23">
        <v>70</v>
      </c>
      <c r="CC53" s="23" t="s">
        <v>95</v>
      </c>
      <c r="CD53" s="23">
        <v>70</v>
      </c>
      <c r="CE53" s="23" t="s">
        <v>95</v>
      </c>
      <c r="CF53" s="23">
        <v>70</v>
      </c>
      <c r="CG53" s="23" t="s">
        <v>95</v>
      </c>
      <c r="CH53" s="23">
        <v>70</v>
      </c>
      <c r="CI53" s="23" t="s">
        <v>95</v>
      </c>
      <c r="CJ53" s="23">
        <v>70</v>
      </c>
      <c r="CK53" s="23" t="s">
        <v>95</v>
      </c>
      <c r="CL53" s="23">
        <v>70</v>
      </c>
      <c r="CM53" s="23" t="s">
        <v>95</v>
      </c>
      <c r="CN53" s="23">
        <v>70</v>
      </c>
      <c r="CO53" s="23" t="s">
        <v>95</v>
      </c>
      <c r="CP53" s="23">
        <v>70</v>
      </c>
      <c r="CQ53" s="23" t="s">
        <v>95</v>
      </c>
      <c r="CR53" s="23">
        <v>70</v>
      </c>
      <c r="CS53" s="23" t="s">
        <v>95</v>
      </c>
      <c r="CT53" s="23">
        <v>70</v>
      </c>
      <c r="CU53" s="23" t="s">
        <v>95</v>
      </c>
      <c r="CV53" s="23">
        <v>70</v>
      </c>
      <c r="CW53" s="23" t="s">
        <v>95</v>
      </c>
    </row>
    <row r="54" spans="1:101" x14ac:dyDescent="0.2">
      <c r="A54" s="26" t="s">
        <v>54</v>
      </c>
      <c r="B54" s="24">
        <f>SUM(INGRESO!C54)</f>
        <v>0</v>
      </c>
      <c r="C54" s="24">
        <f>SUM(INGRESO!D54)</f>
        <v>0</v>
      </c>
      <c r="D54" s="24">
        <f>C54</f>
        <v>0</v>
      </c>
      <c r="G54" s="24"/>
      <c r="H54" s="24"/>
      <c r="I54" s="24"/>
      <c r="J54" s="24"/>
      <c r="K54" s="24"/>
      <c r="L54" s="24"/>
      <c r="M54" s="24"/>
      <c r="N54" s="24"/>
      <c r="AD54" s="23">
        <v>71</v>
      </c>
      <c r="AF54" s="23">
        <v>71</v>
      </c>
      <c r="AH54" s="23">
        <v>71</v>
      </c>
      <c r="AJ54" s="23">
        <v>71</v>
      </c>
      <c r="AL54" s="23">
        <v>71</v>
      </c>
      <c r="AN54" s="23">
        <v>71</v>
      </c>
      <c r="AP54" s="23">
        <v>71</v>
      </c>
      <c r="AQ54" s="23">
        <v>30</v>
      </c>
      <c r="AR54" s="23">
        <v>71</v>
      </c>
      <c r="AS54" s="23">
        <v>28</v>
      </c>
      <c r="AT54" s="23">
        <v>71</v>
      </c>
      <c r="AV54" s="23">
        <v>71</v>
      </c>
      <c r="AW54" s="23">
        <v>28</v>
      </c>
      <c r="AX54" s="23">
        <v>71</v>
      </c>
      <c r="AZ54" s="23">
        <v>71</v>
      </c>
      <c r="BA54" s="23">
        <v>33</v>
      </c>
      <c r="BB54" s="23">
        <v>71</v>
      </c>
      <c r="BC54" s="23">
        <v>38</v>
      </c>
      <c r="BD54" s="23">
        <v>71</v>
      </c>
      <c r="BE54" s="23">
        <v>33</v>
      </c>
      <c r="BF54" s="23">
        <v>71</v>
      </c>
      <c r="BG54" s="23">
        <v>36</v>
      </c>
      <c r="BH54" s="23">
        <v>71</v>
      </c>
      <c r="BJ54" s="23">
        <v>71</v>
      </c>
      <c r="BP54" s="23">
        <v>71</v>
      </c>
      <c r="BQ54" s="23" t="s">
        <v>96</v>
      </c>
      <c r="BR54" s="23">
        <v>71</v>
      </c>
      <c r="BS54" s="23" t="s">
        <v>96</v>
      </c>
      <c r="BT54" s="23">
        <v>71</v>
      </c>
      <c r="BU54" s="23" t="s">
        <v>96</v>
      </c>
      <c r="BV54" s="23">
        <v>71</v>
      </c>
      <c r="BW54" s="23" t="s">
        <v>96</v>
      </c>
      <c r="BX54" s="23">
        <v>71</v>
      </c>
      <c r="BY54" s="23" t="s">
        <v>96</v>
      </c>
      <c r="BZ54" s="23">
        <v>71</v>
      </c>
      <c r="CA54" s="23" t="s">
        <v>96</v>
      </c>
      <c r="CB54" s="23">
        <v>71</v>
      </c>
      <c r="CC54" s="23" t="s">
        <v>96</v>
      </c>
      <c r="CD54" s="23">
        <v>71</v>
      </c>
      <c r="CE54" s="23" t="s">
        <v>96</v>
      </c>
      <c r="CF54" s="23">
        <v>71</v>
      </c>
      <c r="CG54" s="23" t="s">
        <v>96</v>
      </c>
      <c r="CH54" s="23">
        <v>71</v>
      </c>
      <c r="CI54" s="23" t="s">
        <v>96</v>
      </c>
      <c r="CJ54" s="23">
        <v>71</v>
      </c>
      <c r="CK54" s="23" t="s">
        <v>96</v>
      </c>
      <c r="CL54" s="23">
        <v>71</v>
      </c>
      <c r="CM54" s="23" t="s">
        <v>96</v>
      </c>
      <c r="CN54" s="23">
        <v>71</v>
      </c>
      <c r="CO54" s="23" t="s">
        <v>96</v>
      </c>
      <c r="CP54" s="23">
        <v>71</v>
      </c>
      <c r="CQ54" s="23" t="s">
        <v>96</v>
      </c>
      <c r="CR54" s="23">
        <v>71</v>
      </c>
      <c r="CS54" s="23" t="s">
        <v>96</v>
      </c>
      <c r="CT54" s="23">
        <v>71</v>
      </c>
      <c r="CU54" s="23" t="s">
        <v>96</v>
      </c>
      <c r="CV54" s="23">
        <v>71</v>
      </c>
      <c r="CW54" s="23" t="s">
        <v>96</v>
      </c>
    </row>
    <row r="55" spans="1:101" x14ac:dyDescent="0.2">
      <c r="A55" s="26" t="s">
        <v>55</v>
      </c>
      <c r="B55" s="24">
        <f>SUM(INGRESO!C55)</f>
        <v>0</v>
      </c>
      <c r="C55" s="24">
        <f>SUM(INGRESO!D55)</f>
        <v>0</v>
      </c>
      <c r="G55" s="24"/>
      <c r="H55" s="24"/>
      <c r="I55" s="24"/>
      <c r="J55" s="24"/>
      <c r="K55" s="24"/>
      <c r="L55" s="24"/>
      <c r="M55" s="24"/>
      <c r="N55" s="24">
        <f>B55</f>
        <v>0</v>
      </c>
      <c r="AD55" s="23">
        <v>72</v>
      </c>
      <c r="AF55" s="23">
        <v>72</v>
      </c>
      <c r="AH55" s="23">
        <v>72</v>
      </c>
      <c r="AI55" s="23">
        <v>24</v>
      </c>
      <c r="AJ55" s="23">
        <v>72</v>
      </c>
      <c r="AK55" s="23">
        <v>20</v>
      </c>
      <c r="AL55" s="23">
        <v>72</v>
      </c>
      <c r="AM55" s="23">
        <v>24</v>
      </c>
      <c r="AN55" s="23">
        <v>72</v>
      </c>
      <c r="AO55" s="23">
        <v>26</v>
      </c>
      <c r="AP55" s="23">
        <v>72</v>
      </c>
      <c r="AR55" s="23">
        <v>72</v>
      </c>
      <c r="AT55" s="23">
        <v>72</v>
      </c>
      <c r="AU55" s="23">
        <v>31</v>
      </c>
      <c r="AV55" s="23">
        <v>72</v>
      </c>
      <c r="AX55" s="23">
        <v>72</v>
      </c>
      <c r="AZ55" s="23">
        <v>72</v>
      </c>
      <c r="BB55" s="23">
        <v>72</v>
      </c>
      <c r="BD55" s="23">
        <v>72</v>
      </c>
      <c r="BF55" s="23">
        <v>72</v>
      </c>
      <c r="BG55" s="23">
        <v>37</v>
      </c>
      <c r="BH55" s="23">
        <v>72</v>
      </c>
      <c r="BJ55" s="23">
        <v>72</v>
      </c>
      <c r="BP55" s="23">
        <v>72</v>
      </c>
      <c r="BQ55" s="23" t="s">
        <v>96</v>
      </c>
      <c r="BR55" s="23">
        <v>72</v>
      </c>
      <c r="BS55" s="23" t="s">
        <v>96</v>
      </c>
      <c r="BT55" s="23">
        <v>72</v>
      </c>
      <c r="BU55" s="23" t="s">
        <v>96</v>
      </c>
      <c r="BV55" s="23">
        <v>72</v>
      </c>
      <c r="BW55" s="23" t="s">
        <v>96</v>
      </c>
      <c r="BX55" s="23">
        <v>72</v>
      </c>
      <c r="BY55" s="23" t="s">
        <v>96</v>
      </c>
      <c r="BZ55" s="23">
        <v>72</v>
      </c>
      <c r="CA55" s="23" t="s">
        <v>96</v>
      </c>
      <c r="CB55" s="23">
        <v>72</v>
      </c>
      <c r="CC55" s="23" t="s">
        <v>96</v>
      </c>
      <c r="CD55" s="23">
        <v>72</v>
      </c>
      <c r="CE55" s="23" t="s">
        <v>96</v>
      </c>
      <c r="CF55" s="23">
        <v>72</v>
      </c>
      <c r="CG55" s="23" t="s">
        <v>96</v>
      </c>
      <c r="CH55" s="23">
        <v>72</v>
      </c>
      <c r="CI55" s="23" t="s">
        <v>96</v>
      </c>
      <c r="CJ55" s="23">
        <v>72</v>
      </c>
      <c r="CK55" s="23" t="s">
        <v>96</v>
      </c>
      <c r="CL55" s="23">
        <v>72</v>
      </c>
      <c r="CM55" s="23" t="s">
        <v>96</v>
      </c>
      <c r="CN55" s="23">
        <v>72</v>
      </c>
      <c r="CO55" s="23" t="s">
        <v>96</v>
      </c>
      <c r="CP55" s="23">
        <v>72</v>
      </c>
      <c r="CQ55" s="23" t="s">
        <v>96</v>
      </c>
      <c r="CR55" s="23">
        <v>72</v>
      </c>
      <c r="CS55" s="23" t="s">
        <v>96</v>
      </c>
      <c r="CT55" s="23">
        <v>72</v>
      </c>
      <c r="CU55" s="23" t="s">
        <v>96</v>
      </c>
      <c r="CV55" s="23">
        <v>72</v>
      </c>
      <c r="CW55" s="23" t="s">
        <v>96</v>
      </c>
    </row>
    <row r="56" spans="1:101" x14ac:dyDescent="0.2">
      <c r="A56" s="26" t="s">
        <v>56</v>
      </c>
      <c r="B56" s="24">
        <f>SUM(INGRESO!C56)</f>
        <v>0</v>
      </c>
      <c r="C56" s="24">
        <f>SUM(INGRESO!D56)</f>
        <v>0</v>
      </c>
      <c r="G56" s="24">
        <f>B56</f>
        <v>0</v>
      </c>
      <c r="H56" s="24"/>
      <c r="I56" s="24">
        <f>B56</f>
        <v>0</v>
      </c>
      <c r="J56" s="24"/>
      <c r="K56" s="24"/>
      <c r="L56" s="24"/>
      <c r="M56" s="24"/>
      <c r="N56" s="24"/>
      <c r="AD56" s="23">
        <v>73</v>
      </c>
      <c r="AE56" s="23">
        <v>11</v>
      </c>
      <c r="AF56" s="23">
        <v>73</v>
      </c>
      <c r="AG56" s="23">
        <v>13</v>
      </c>
      <c r="AH56" s="23">
        <v>73</v>
      </c>
      <c r="AJ56" s="23">
        <v>73</v>
      </c>
      <c r="AL56" s="23">
        <v>73</v>
      </c>
      <c r="AN56" s="23">
        <v>73</v>
      </c>
      <c r="AP56" s="23">
        <v>73</v>
      </c>
      <c r="AQ56" s="23">
        <v>31</v>
      </c>
      <c r="AR56" s="23">
        <v>73</v>
      </c>
      <c r="AS56" s="23">
        <v>29</v>
      </c>
      <c r="AT56" s="23">
        <v>73</v>
      </c>
      <c r="AU56" s="23">
        <v>32</v>
      </c>
      <c r="AV56" s="23">
        <v>73</v>
      </c>
      <c r="AX56" s="23">
        <v>73</v>
      </c>
      <c r="AY56" s="23">
        <v>16</v>
      </c>
      <c r="AZ56" s="23">
        <v>73</v>
      </c>
      <c r="BA56" s="23">
        <v>34</v>
      </c>
      <c r="BB56" s="23">
        <v>73</v>
      </c>
      <c r="BC56" s="23">
        <v>39</v>
      </c>
      <c r="BD56" s="23">
        <v>73</v>
      </c>
      <c r="BE56" s="23">
        <v>34</v>
      </c>
      <c r="BF56" s="23">
        <v>73</v>
      </c>
      <c r="BH56" s="23">
        <v>73</v>
      </c>
      <c r="BI56" s="23">
        <v>26</v>
      </c>
      <c r="BJ56" s="23">
        <v>73</v>
      </c>
      <c r="BP56" s="23">
        <v>73</v>
      </c>
      <c r="BQ56" s="23" t="s">
        <v>96</v>
      </c>
      <c r="BR56" s="23">
        <v>73</v>
      </c>
      <c r="BS56" s="23" t="s">
        <v>96</v>
      </c>
      <c r="BT56" s="23">
        <v>73</v>
      </c>
      <c r="BU56" s="23" t="s">
        <v>96</v>
      </c>
      <c r="BV56" s="23">
        <v>73</v>
      </c>
      <c r="BW56" s="23" t="s">
        <v>96</v>
      </c>
      <c r="BX56" s="23">
        <v>73</v>
      </c>
      <c r="BY56" s="23" t="s">
        <v>96</v>
      </c>
      <c r="BZ56" s="23">
        <v>73</v>
      </c>
      <c r="CA56" s="23" t="s">
        <v>96</v>
      </c>
      <c r="CB56" s="23">
        <v>73</v>
      </c>
      <c r="CC56" s="23" t="s">
        <v>96</v>
      </c>
      <c r="CD56" s="23">
        <v>73</v>
      </c>
      <c r="CE56" s="23" t="s">
        <v>96</v>
      </c>
      <c r="CF56" s="23">
        <v>73</v>
      </c>
      <c r="CG56" s="23" t="s">
        <v>96</v>
      </c>
      <c r="CH56" s="23">
        <v>73</v>
      </c>
      <c r="CI56" s="23" t="s">
        <v>96</v>
      </c>
      <c r="CJ56" s="23">
        <v>73</v>
      </c>
      <c r="CK56" s="23" t="s">
        <v>96</v>
      </c>
      <c r="CL56" s="23">
        <v>73</v>
      </c>
      <c r="CM56" s="23" t="s">
        <v>96</v>
      </c>
      <c r="CN56" s="23">
        <v>73</v>
      </c>
      <c r="CO56" s="23" t="s">
        <v>96</v>
      </c>
      <c r="CP56" s="23">
        <v>73</v>
      </c>
      <c r="CQ56" s="23" t="s">
        <v>96</v>
      </c>
      <c r="CR56" s="23">
        <v>73</v>
      </c>
      <c r="CS56" s="23" t="s">
        <v>96</v>
      </c>
      <c r="CT56" s="23">
        <v>73</v>
      </c>
      <c r="CU56" s="23" t="s">
        <v>96</v>
      </c>
      <c r="CV56" s="23">
        <v>73</v>
      </c>
      <c r="CW56" s="23" t="s">
        <v>96</v>
      </c>
    </row>
    <row r="57" spans="1:101" x14ac:dyDescent="0.2">
      <c r="A57" s="26" t="s">
        <v>57</v>
      </c>
      <c r="B57" s="24">
        <f>SUM(INGRESO!C57)</f>
        <v>0</v>
      </c>
      <c r="C57" s="24">
        <f>SUM(INGRESO!D57)</f>
        <v>0</v>
      </c>
      <c r="F57" s="24">
        <f>C57</f>
        <v>0</v>
      </c>
      <c r="G57" s="24"/>
      <c r="H57" s="24"/>
      <c r="I57" s="24">
        <f>C57</f>
        <v>0</v>
      </c>
      <c r="J57" s="24"/>
      <c r="K57" s="24"/>
      <c r="L57" s="24"/>
      <c r="M57" s="24"/>
      <c r="N57" s="24"/>
      <c r="AD57" s="23">
        <v>74</v>
      </c>
      <c r="AF57" s="23">
        <v>74</v>
      </c>
      <c r="AH57" s="23">
        <v>74</v>
      </c>
      <c r="AI57" s="23">
        <v>25</v>
      </c>
      <c r="AJ57" s="23">
        <v>74</v>
      </c>
      <c r="AL57" s="23">
        <v>74</v>
      </c>
      <c r="AM57" s="23">
        <v>25</v>
      </c>
      <c r="AN57" s="23">
        <v>74</v>
      </c>
      <c r="AP57" s="23">
        <v>74</v>
      </c>
      <c r="AR57" s="23">
        <v>74</v>
      </c>
      <c r="AT57" s="23">
        <v>74</v>
      </c>
      <c r="AV57" s="23">
        <v>74</v>
      </c>
      <c r="AW57" s="23">
        <v>29</v>
      </c>
      <c r="AX57" s="23">
        <v>74</v>
      </c>
      <c r="AZ57" s="23">
        <v>74</v>
      </c>
      <c r="BB57" s="23">
        <v>74</v>
      </c>
      <c r="BC57" s="23">
        <v>40</v>
      </c>
      <c r="BD57" s="23">
        <v>74</v>
      </c>
      <c r="BE57" s="23">
        <v>35</v>
      </c>
      <c r="BF57" s="23">
        <v>74</v>
      </c>
      <c r="BG57" s="23">
        <v>38</v>
      </c>
      <c r="BH57" s="23">
        <v>74</v>
      </c>
      <c r="BJ57" s="23">
        <v>74</v>
      </c>
      <c r="BP57" s="23">
        <v>74</v>
      </c>
      <c r="BQ57" s="23" t="s">
        <v>96</v>
      </c>
      <c r="BR57" s="23">
        <v>74</v>
      </c>
      <c r="BS57" s="23" t="s">
        <v>96</v>
      </c>
      <c r="BT57" s="23">
        <v>74</v>
      </c>
      <c r="BU57" s="23" t="s">
        <v>96</v>
      </c>
      <c r="BV57" s="23">
        <v>74</v>
      </c>
      <c r="BW57" s="23" t="s">
        <v>96</v>
      </c>
      <c r="BX57" s="23">
        <v>74</v>
      </c>
      <c r="BY57" s="23" t="s">
        <v>96</v>
      </c>
      <c r="BZ57" s="23">
        <v>74</v>
      </c>
      <c r="CA57" s="23" t="s">
        <v>96</v>
      </c>
      <c r="CB57" s="23">
        <v>74</v>
      </c>
      <c r="CC57" s="23" t="s">
        <v>96</v>
      </c>
      <c r="CD57" s="23">
        <v>74</v>
      </c>
      <c r="CE57" s="23" t="s">
        <v>96</v>
      </c>
      <c r="CF57" s="23">
        <v>74</v>
      </c>
      <c r="CG57" s="23" t="s">
        <v>96</v>
      </c>
      <c r="CH57" s="23">
        <v>74</v>
      </c>
      <c r="CI57" s="23" t="s">
        <v>96</v>
      </c>
      <c r="CJ57" s="23">
        <v>74</v>
      </c>
      <c r="CK57" s="23" t="s">
        <v>96</v>
      </c>
      <c r="CL57" s="23">
        <v>74</v>
      </c>
      <c r="CM57" s="23" t="s">
        <v>96</v>
      </c>
      <c r="CN57" s="23">
        <v>74</v>
      </c>
      <c r="CO57" s="23" t="s">
        <v>96</v>
      </c>
      <c r="CP57" s="23">
        <v>74</v>
      </c>
      <c r="CQ57" s="23" t="s">
        <v>96</v>
      </c>
      <c r="CR57" s="23">
        <v>74</v>
      </c>
      <c r="CS57" s="23" t="s">
        <v>96</v>
      </c>
      <c r="CT57" s="23">
        <v>74</v>
      </c>
      <c r="CU57" s="23" t="s">
        <v>96</v>
      </c>
      <c r="CV57" s="23">
        <v>74</v>
      </c>
      <c r="CW57" s="23" t="s">
        <v>96</v>
      </c>
    </row>
    <row r="58" spans="1:101" x14ac:dyDescent="0.2">
      <c r="A58" s="26" t="s">
        <v>58</v>
      </c>
      <c r="B58" s="24">
        <f>SUM(INGRESO!C58)</f>
        <v>0</v>
      </c>
      <c r="C58" s="24">
        <f>SUM(INGRESO!D58)</f>
        <v>0</v>
      </c>
      <c r="G58" s="24"/>
      <c r="H58" s="24"/>
      <c r="I58" s="24">
        <f>+B58</f>
        <v>0</v>
      </c>
      <c r="J58" s="24"/>
      <c r="K58" s="24"/>
      <c r="L58" s="24">
        <f>B58</f>
        <v>0</v>
      </c>
      <c r="M58" s="24">
        <f>B58</f>
        <v>0</v>
      </c>
      <c r="N58" s="24">
        <f>B58</f>
        <v>0</v>
      </c>
      <c r="AD58" s="23">
        <v>75</v>
      </c>
      <c r="AF58" s="23">
        <v>75</v>
      </c>
      <c r="AH58" s="23">
        <v>75</v>
      </c>
      <c r="AI58" s="23">
        <v>26</v>
      </c>
      <c r="AJ58" s="23">
        <v>75</v>
      </c>
      <c r="AK58" s="23">
        <v>21</v>
      </c>
      <c r="AL58" s="23">
        <v>75</v>
      </c>
      <c r="AN58" s="23">
        <v>75</v>
      </c>
      <c r="AO58" s="23">
        <v>27</v>
      </c>
      <c r="AP58" s="23">
        <v>75</v>
      </c>
      <c r="AQ58" s="23">
        <v>32</v>
      </c>
      <c r="AR58" s="23">
        <v>75</v>
      </c>
      <c r="AS58" s="23">
        <v>30</v>
      </c>
      <c r="AT58" s="23">
        <v>75</v>
      </c>
      <c r="AU58" s="23">
        <v>33</v>
      </c>
      <c r="AV58" s="23">
        <v>75</v>
      </c>
      <c r="AX58" s="23">
        <v>75</v>
      </c>
      <c r="AZ58" s="23">
        <v>75</v>
      </c>
      <c r="BA58" s="23">
        <v>35</v>
      </c>
      <c r="BB58" s="23">
        <v>75</v>
      </c>
      <c r="BD58" s="23">
        <v>75</v>
      </c>
      <c r="BF58" s="23">
        <v>75</v>
      </c>
      <c r="BG58" s="23">
        <v>39</v>
      </c>
      <c r="BH58" s="23">
        <v>75</v>
      </c>
      <c r="BI58" s="23">
        <v>27</v>
      </c>
      <c r="BJ58" s="23">
        <v>75</v>
      </c>
      <c r="BP58" s="23">
        <v>75</v>
      </c>
      <c r="BQ58" s="23" t="s">
        <v>96</v>
      </c>
      <c r="BR58" s="23">
        <v>75</v>
      </c>
      <c r="BS58" s="23" t="s">
        <v>96</v>
      </c>
      <c r="BT58" s="23">
        <v>75</v>
      </c>
      <c r="BU58" s="23" t="s">
        <v>96</v>
      </c>
      <c r="BV58" s="23">
        <v>75</v>
      </c>
      <c r="BW58" s="23" t="s">
        <v>96</v>
      </c>
      <c r="BX58" s="23">
        <v>75</v>
      </c>
      <c r="BY58" s="23" t="s">
        <v>96</v>
      </c>
      <c r="BZ58" s="23">
        <v>75</v>
      </c>
      <c r="CA58" s="23" t="s">
        <v>96</v>
      </c>
      <c r="CB58" s="23">
        <v>75</v>
      </c>
      <c r="CC58" s="23" t="s">
        <v>96</v>
      </c>
      <c r="CD58" s="23">
        <v>75</v>
      </c>
      <c r="CE58" s="23" t="s">
        <v>96</v>
      </c>
      <c r="CF58" s="23">
        <v>75</v>
      </c>
      <c r="CG58" s="23" t="s">
        <v>96</v>
      </c>
      <c r="CH58" s="23">
        <v>75</v>
      </c>
      <c r="CI58" s="23" t="s">
        <v>96</v>
      </c>
      <c r="CJ58" s="23">
        <v>75</v>
      </c>
      <c r="CK58" s="23" t="s">
        <v>96</v>
      </c>
      <c r="CL58" s="23">
        <v>75</v>
      </c>
      <c r="CM58" s="23" t="s">
        <v>96</v>
      </c>
      <c r="CN58" s="23">
        <v>75</v>
      </c>
      <c r="CO58" s="23" t="s">
        <v>96</v>
      </c>
      <c r="CP58" s="23">
        <v>75</v>
      </c>
      <c r="CQ58" s="23" t="s">
        <v>96</v>
      </c>
      <c r="CR58" s="23">
        <v>75</v>
      </c>
      <c r="CS58" s="23" t="s">
        <v>96</v>
      </c>
      <c r="CT58" s="23">
        <v>75</v>
      </c>
      <c r="CU58" s="23" t="s">
        <v>96</v>
      </c>
      <c r="CV58" s="23">
        <v>75</v>
      </c>
      <c r="CW58" s="23" t="s">
        <v>96</v>
      </c>
    </row>
    <row r="59" spans="1:101" x14ac:dyDescent="0.2">
      <c r="A59" s="26" t="s">
        <v>59</v>
      </c>
      <c r="B59" s="24">
        <f>SUM(INGRESO!C59)</f>
        <v>0</v>
      </c>
      <c r="C59" s="24">
        <f>SUM(INGRESO!D59)</f>
        <v>0</v>
      </c>
      <c r="E59" s="24">
        <f>B59</f>
        <v>0</v>
      </c>
      <c r="G59" s="24"/>
      <c r="H59" s="24"/>
      <c r="I59" s="24"/>
      <c r="J59" s="24">
        <f>B59</f>
        <v>0</v>
      </c>
      <c r="K59" s="24"/>
      <c r="L59" s="24"/>
      <c r="M59" s="24"/>
      <c r="N59" s="24"/>
      <c r="AD59" s="23">
        <v>76</v>
      </c>
      <c r="AE59" s="23">
        <v>12</v>
      </c>
      <c r="AF59" s="23">
        <v>76</v>
      </c>
      <c r="AG59" s="23">
        <v>14</v>
      </c>
      <c r="AH59" s="23">
        <v>76</v>
      </c>
      <c r="AJ59" s="23">
        <v>76</v>
      </c>
      <c r="AL59" s="23">
        <v>76</v>
      </c>
      <c r="AM59" s="23">
        <v>26</v>
      </c>
      <c r="AN59" s="23">
        <v>76</v>
      </c>
      <c r="AP59" s="23">
        <v>76</v>
      </c>
      <c r="AQ59" s="23">
        <v>33</v>
      </c>
      <c r="AR59" s="23">
        <v>76</v>
      </c>
      <c r="AS59" s="23">
        <v>31</v>
      </c>
      <c r="AT59" s="23">
        <v>76</v>
      </c>
      <c r="AV59" s="23">
        <v>76</v>
      </c>
      <c r="AW59" s="23">
        <v>30</v>
      </c>
      <c r="AX59" s="23">
        <v>76</v>
      </c>
      <c r="AY59" s="23">
        <v>17</v>
      </c>
      <c r="AZ59" s="23">
        <v>76</v>
      </c>
      <c r="BB59" s="23">
        <v>76</v>
      </c>
      <c r="BC59" s="23">
        <v>41</v>
      </c>
      <c r="BD59" s="23">
        <v>76</v>
      </c>
      <c r="BE59" s="23">
        <v>36</v>
      </c>
      <c r="BF59" s="23">
        <v>76</v>
      </c>
      <c r="BH59" s="23">
        <v>76</v>
      </c>
      <c r="BJ59" s="23">
        <v>76</v>
      </c>
      <c r="BP59" s="23">
        <v>76</v>
      </c>
      <c r="BQ59" s="23" t="s">
        <v>96</v>
      </c>
      <c r="BR59" s="23">
        <v>76</v>
      </c>
      <c r="BS59" s="23" t="s">
        <v>96</v>
      </c>
      <c r="BT59" s="23">
        <v>76</v>
      </c>
      <c r="BU59" s="23" t="s">
        <v>96</v>
      </c>
      <c r="BV59" s="23">
        <v>76</v>
      </c>
      <c r="BW59" s="23" t="s">
        <v>96</v>
      </c>
      <c r="BX59" s="23">
        <v>76</v>
      </c>
      <c r="BY59" s="23" t="s">
        <v>96</v>
      </c>
      <c r="BZ59" s="23">
        <v>76</v>
      </c>
      <c r="CA59" s="23" t="s">
        <v>96</v>
      </c>
      <c r="CB59" s="23">
        <v>76</v>
      </c>
      <c r="CC59" s="23" t="s">
        <v>96</v>
      </c>
      <c r="CD59" s="23">
        <v>76</v>
      </c>
      <c r="CE59" s="23" t="s">
        <v>96</v>
      </c>
      <c r="CF59" s="23">
        <v>76</v>
      </c>
      <c r="CG59" s="23" t="s">
        <v>96</v>
      </c>
      <c r="CH59" s="23">
        <v>76</v>
      </c>
      <c r="CI59" s="23" t="s">
        <v>96</v>
      </c>
      <c r="CJ59" s="23">
        <v>76</v>
      </c>
      <c r="CK59" s="23" t="s">
        <v>96</v>
      </c>
      <c r="CL59" s="23">
        <v>76</v>
      </c>
      <c r="CM59" s="23" t="s">
        <v>96</v>
      </c>
      <c r="CN59" s="23">
        <v>76</v>
      </c>
      <c r="CO59" s="23" t="s">
        <v>96</v>
      </c>
      <c r="CP59" s="23">
        <v>76</v>
      </c>
      <c r="CQ59" s="23" t="s">
        <v>96</v>
      </c>
      <c r="CR59" s="23">
        <v>76</v>
      </c>
      <c r="CS59" s="23" t="s">
        <v>96</v>
      </c>
      <c r="CT59" s="23">
        <v>76</v>
      </c>
      <c r="CU59" s="23" t="s">
        <v>96</v>
      </c>
      <c r="CV59" s="23">
        <v>76</v>
      </c>
      <c r="CW59" s="23" t="s">
        <v>96</v>
      </c>
    </row>
    <row r="60" spans="1:101" x14ac:dyDescent="0.2">
      <c r="A60" s="26" t="s">
        <v>60</v>
      </c>
      <c r="B60" s="24">
        <f>SUM(INGRESO!C60)</f>
        <v>0</v>
      </c>
      <c r="C60" s="24">
        <f>SUM(INGRESO!D60)</f>
        <v>0</v>
      </c>
      <c r="E60" s="24">
        <f>C60</f>
        <v>0</v>
      </c>
      <c r="G60" s="24"/>
      <c r="H60" s="24"/>
      <c r="I60" s="24"/>
      <c r="J60" s="24"/>
      <c r="K60" s="24"/>
      <c r="L60" s="24"/>
      <c r="M60" s="24"/>
      <c r="N60" s="24"/>
      <c r="AD60" s="23">
        <v>77</v>
      </c>
      <c r="AF60" s="23">
        <v>77</v>
      </c>
      <c r="AH60" s="23">
        <v>77</v>
      </c>
      <c r="AI60" s="23">
        <v>27</v>
      </c>
      <c r="AJ60" s="23">
        <v>77</v>
      </c>
      <c r="AK60" s="23">
        <v>22</v>
      </c>
      <c r="AL60" s="23">
        <v>77</v>
      </c>
      <c r="AN60" s="23">
        <v>77</v>
      </c>
      <c r="AO60" s="23">
        <v>28</v>
      </c>
      <c r="AP60" s="23">
        <v>77</v>
      </c>
      <c r="AR60" s="23">
        <v>77</v>
      </c>
      <c r="AT60" s="23">
        <v>77</v>
      </c>
      <c r="AU60" s="23">
        <v>34</v>
      </c>
      <c r="AV60" s="23">
        <v>77</v>
      </c>
      <c r="AX60" s="23">
        <v>77</v>
      </c>
      <c r="AZ60" s="23">
        <v>77</v>
      </c>
      <c r="BA60" s="23">
        <v>36</v>
      </c>
      <c r="BB60" s="23">
        <v>77</v>
      </c>
      <c r="BD60" s="23">
        <v>77</v>
      </c>
      <c r="BF60" s="23">
        <v>77</v>
      </c>
      <c r="BG60" s="23">
        <v>40</v>
      </c>
      <c r="BH60" s="23">
        <v>77</v>
      </c>
      <c r="BJ60" s="23">
        <v>77</v>
      </c>
      <c r="BP60" s="23">
        <v>77</v>
      </c>
      <c r="BQ60" s="23" t="s">
        <v>96</v>
      </c>
      <c r="BR60" s="23">
        <v>77</v>
      </c>
      <c r="BS60" s="23" t="s">
        <v>96</v>
      </c>
      <c r="BT60" s="23">
        <v>77</v>
      </c>
      <c r="BU60" s="23" t="s">
        <v>96</v>
      </c>
      <c r="BV60" s="23">
        <v>77</v>
      </c>
      <c r="BW60" s="23" t="s">
        <v>96</v>
      </c>
      <c r="BX60" s="23">
        <v>77</v>
      </c>
      <c r="BY60" s="23" t="s">
        <v>96</v>
      </c>
      <c r="BZ60" s="23">
        <v>77</v>
      </c>
      <c r="CA60" s="23" t="s">
        <v>96</v>
      </c>
      <c r="CB60" s="23">
        <v>77</v>
      </c>
      <c r="CC60" s="23" t="s">
        <v>96</v>
      </c>
      <c r="CD60" s="23">
        <v>77</v>
      </c>
      <c r="CE60" s="23" t="s">
        <v>96</v>
      </c>
      <c r="CF60" s="23">
        <v>77</v>
      </c>
      <c r="CG60" s="23" t="s">
        <v>96</v>
      </c>
      <c r="CH60" s="23">
        <v>77</v>
      </c>
      <c r="CI60" s="23" t="s">
        <v>96</v>
      </c>
      <c r="CJ60" s="23">
        <v>77</v>
      </c>
      <c r="CK60" s="23" t="s">
        <v>96</v>
      </c>
      <c r="CL60" s="23">
        <v>77</v>
      </c>
      <c r="CM60" s="23" t="s">
        <v>96</v>
      </c>
      <c r="CN60" s="23">
        <v>77</v>
      </c>
      <c r="CO60" s="23" t="s">
        <v>96</v>
      </c>
      <c r="CP60" s="23">
        <v>77</v>
      </c>
      <c r="CQ60" s="23" t="s">
        <v>96</v>
      </c>
      <c r="CR60" s="23">
        <v>77</v>
      </c>
      <c r="CS60" s="23" t="s">
        <v>96</v>
      </c>
      <c r="CT60" s="23">
        <v>77</v>
      </c>
      <c r="CU60" s="23" t="s">
        <v>96</v>
      </c>
      <c r="CV60" s="23">
        <v>77</v>
      </c>
      <c r="CW60" s="23" t="s">
        <v>96</v>
      </c>
    </row>
    <row r="61" spans="1:101" x14ac:dyDescent="0.2">
      <c r="A61" s="26" t="s">
        <v>61</v>
      </c>
      <c r="B61" s="24">
        <f>SUM(INGRESO!C61)</f>
        <v>0</v>
      </c>
      <c r="C61" s="24">
        <f>SUM(INGRESO!D61)</f>
        <v>0</v>
      </c>
      <c r="G61" s="24"/>
      <c r="H61" s="24">
        <f>B61</f>
        <v>0</v>
      </c>
      <c r="I61" s="24"/>
      <c r="J61" s="24"/>
      <c r="K61" s="24"/>
      <c r="L61" s="24"/>
      <c r="M61" s="24"/>
      <c r="N61" s="24">
        <f>C61</f>
        <v>0</v>
      </c>
      <c r="AD61" s="23">
        <v>78</v>
      </c>
      <c r="AF61" s="23">
        <v>78</v>
      </c>
      <c r="AG61" s="23">
        <v>15</v>
      </c>
      <c r="AH61" s="23">
        <v>78</v>
      </c>
      <c r="AJ61" s="23">
        <v>78</v>
      </c>
      <c r="AL61" s="23">
        <v>78</v>
      </c>
      <c r="AM61" s="23">
        <v>27</v>
      </c>
      <c r="AN61" s="23">
        <v>78</v>
      </c>
      <c r="AP61" s="23">
        <v>78</v>
      </c>
      <c r="AQ61" s="23">
        <v>34</v>
      </c>
      <c r="AR61" s="23">
        <v>78</v>
      </c>
      <c r="AS61" s="23">
        <v>32</v>
      </c>
      <c r="AT61" s="23">
        <v>78</v>
      </c>
      <c r="AV61" s="23">
        <v>78</v>
      </c>
      <c r="AX61" s="23">
        <v>78</v>
      </c>
      <c r="AZ61" s="23">
        <v>78</v>
      </c>
      <c r="BB61" s="23">
        <v>78</v>
      </c>
      <c r="BC61" s="23">
        <v>42</v>
      </c>
      <c r="BD61" s="23">
        <v>78</v>
      </c>
      <c r="BE61" s="23">
        <v>37</v>
      </c>
      <c r="BF61" s="23">
        <v>78</v>
      </c>
      <c r="BG61" s="23">
        <v>41</v>
      </c>
      <c r="BH61" s="23">
        <v>78</v>
      </c>
      <c r="BI61" s="23">
        <v>28</v>
      </c>
      <c r="BJ61" s="23">
        <v>78</v>
      </c>
      <c r="BP61" s="23">
        <v>78</v>
      </c>
      <c r="BQ61" s="23" t="s">
        <v>96</v>
      </c>
      <c r="BR61" s="23">
        <v>78</v>
      </c>
      <c r="BS61" s="23" t="s">
        <v>96</v>
      </c>
      <c r="BT61" s="23">
        <v>78</v>
      </c>
      <c r="BU61" s="23" t="s">
        <v>96</v>
      </c>
      <c r="BV61" s="23">
        <v>78</v>
      </c>
      <c r="BW61" s="23" t="s">
        <v>96</v>
      </c>
      <c r="BX61" s="23">
        <v>78</v>
      </c>
      <c r="BY61" s="23" t="s">
        <v>96</v>
      </c>
      <c r="BZ61" s="23">
        <v>78</v>
      </c>
      <c r="CA61" s="23" t="s">
        <v>96</v>
      </c>
      <c r="CB61" s="23">
        <v>78</v>
      </c>
      <c r="CC61" s="23" t="s">
        <v>96</v>
      </c>
      <c r="CD61" s="23">
        <v>78</v>
      </c>
      <c r="CE61" s="23" t="s">
        <v>96</v>
      </c>
      <c r="CF61" s="23">
        <v>78</v>
      </c>
      <c r="CG61" s="23" t="s">
        <v>96</v>
      </c>
      <c r="CH61" s="23">
        <v>78</v>
      </c>
      <c r="CI61" s="23" t="s">
        <v>96</v>
      </c>
      <c r="CJ61" s="23">
        <v>78</v>
      </c>
      <c r="CK61" s="23" t="s">
        <v>96</v>
      </c>
      <c r="CL61" s="23">
        <v>78</v>
      </c>
      <c r="CM61" s="23" t="s">
        <v>96</v>
      </c>
      <c r="CN61" s="23">
        <v>78</v>
      </c>
      <c r="CO61" s="23" t="s">
        <v>96</v>
      </c>
      <c r="CP61" s="23">
        <v>78</v>
      </c>
      <c r="CQ61" s="23" t="s">
        <v>96</v>
      </c>
      <c r="CR61" s="23">
        <v>78</v>
      </c>
      <c r="CS61" s="23" t="s">
        <v>96</v>
      </c>
      <c r="CT61" s="23">
        <v>78</v>
      </c>
      <c r="CU61" s="23" t="s">
        <v>96</v>
      </c>
      <c r="CV61" s="23">
        <v>78</v>
      </c>
      <c r="CW61" s="23" t="s">
        <v>96</v>
      </c>
    </row>
    <row r="62" spans="1:101" x14ac:dyDescent="0.2">
      <c r="A62" s="26" t="s">
        <v>62</v>
      </c>
      <c r="B62" s="24">
        <f>SUM(INGRESO!C62)</f>
        <v>0</v>
      </c>
      <c r="C62" s="24">
        <f>SUM(INGRESO!D62)</f>
        <v>0</v>
      </c>
      <c r="E62" s="24">
        <f>C62</f>
        <v>0</v>
      </c>
      <c r="F62" s="24">
        <f>C62</f>
        <v>0</v>
      </c>
      <c r="G62" s="24"/>
      <c r="H62" s="24">
        <f>C62</f>
        <v>0</v>
      </c>
      <c r="I62" s="24"/>
      <c r="J62" s="24"/>
      <c r="K62" s="24"/>
      <c r="L62" s="24"/>
      <c r="M62" s="24"/>
      <c r="N62" s="24"/>
      <c r="AD62" s="23">
        <v>79</v>
      </c>
      <c r="AF62" s="23">
        <v>79</v>
      </c>
      <c r="AH62" s="23">
        <v>79</v>
      </c>
      <c r="AI62" s="23">
        <v>28</v>
      </c>
      <c r="AJ62" s="23">
        <v>79</v>
      </c>
      <c r="AL62" s="23">
        <v>79</v>
      </c>
      <c r="AN62" s="23">
        <v>79</v>
      </c>
      <c r="AP62" s="23">
        <v>79</v>
      </c>
      <c r="AR62" s="23">
        <v>79</v>
      </c>
      <c r="AT62" s="23">
        <v>79</v>
      </c>
      <c r="AU62" s="23">
        <v>35</v>
      </c>
      <c r="AV62" s="23">
        <v>79</v>
      </c>
      <c r="AW62" s="23">
        <v>31</v>
      </c>
      <c r="AX62" s="23">
        <v>79</v>
      </c>
      <c r="AY62" s="23">
        <v>18</v>
      </c>
      <c r="AZ62" s="23">
        <v>79</v>
      </c>
      <c r="BA62" s="23">
        <v>37</v>
      </c>
      <c r="BB62" s="23">
        <v>79</v>
      </c>
      <c r="BC62" s="23">
        <v>43</v>
      </c>
      <c r="BD62" s="23">
        <v>79</v>
      </c>
      <c r="BF62" s="23">
        <v>79</v>
      </c>
      <c r="BH62" s="23">
        <v>79</v>
      </c>
      <c r="BJ62" s="23">
        <v>79</v>
      </c>
      <c r="BP62" s="23">
        <v>79</v>
      </c>
      <c r="BQ62" s="23" t="s">
        <v>96</v>
      </c>
      <c r="BR62" s="23">
        <v>79</v>
      </c>
      <c r="BS62" s="23" t="s">
        <v>96</v>
      </c>
      <c r="BT62" s="23">
        <v>79</v>
      </c>
      <c r="BU62" s="23" t="s">
        <v>96</v>
      </c>
      <c r="BV62" s="23">
        <v>79</v>
      </c>
      <c r="BW62" s="23" t="s">
        <v>96</v>
      </c>
      <c r="BX62" s="23">
        <v>79</v>
      </c>
      <c r="BY62" s="23" t="s">
        <v>96</v>
      </c>
      <c r="BZ62" s="23">
        <v>79</v>
      </c>
      <c r="CA62" s="23" t="s">
        <v>96</v>
      </c>
      <c r="CB62" s="23">
        <v>79</v>
      </c>
      <c r="CC62" s="23" t="s">
        <v>96</v>
      </c>
      <c r="CD62" s="23">
        <v>79</v>
      </c>
      <c r="CE62" s="23" t="s">
        <v>96</v>
      </c>
      <c r="CF62" s="23">
        <v>79</v>
      </c>
      <c r="CG62" s="23" t="s">
        <v>96</v>
      </c>
      <c r="CH62" s="23">
        <v>79</v>
      </c>
      <c r="CI62" s="23" t="s">
        <v>96</v>
      </c>
      <c r="CJ62" s="23">
        <v>79</v>
      </c>
      <c r="CK62" s="23" t="s">
        <v>96</v>
      </c>
      <c r="CL62" s="23">
        <v>79</v>
      </c>
      <c r="CM62" s="23" t="s">
        <v>96</v>
      </c>
      <c r="CN62" s="23">
        <v>79</v>
      </c>
      <c r="CO62" s="23" t="s">
        <v>96</v>
      </c>
      <c r="CP62" s="23">
        <v>79</v>
      </c>
      <c r="CQ62" s="23" t="s">
        <v>96</v>
      </c>
      <c r="CR62" s="23">
        <v>79</v>
      </c>
      <c r="CS62" s="23" t="s">
        <v>96</v>
      </c>
      <c r="CT62" s="23">
        <v>79</v>
      </c>
      <c r="CU62" s="23" t="s">
        <v>96</v>
      </c>
      <c r="CV62" s="23">
        <v>79</v>
      </c>
      <c r="CW62" s="23" t="s">
        <v>96</v>
      </c>
    </row>
    <row r="63" spans="1:101" x14ac:dyDescent="0.2">
      <c r="A63" s="26" t="s">
        <v>63</v>
      </c>
      <c r="B63" s="24">
        <f>SUM(INGRESO!C63)</f>
        <v>0</v>
      </c>
      <c r="C63" s="24">
        <f>SUM(INGRESO!D63)</f>
        <v>0</v>
      </c>
      <c r="G63" s="24">
        <f>C63</f>
        <v>0</v>
      </c>
      <c r="H63" s="24"/>
      <c r="I63" s="24">
        <f>C63</f>
        <v>0</v>
      </c>
      <c r="J63" s="24"/>
      <c r="K63" s="24"/>
      <c r="L63" s="24"/>
      <c r="M63" s="24"/>
      <c r="N63" s="24"/>
      <c r="AD63" s="23">
        <v>80</v>
      </c>
      <c r="AE63" s="23">
        <v>13</v>
      </c>
      <c r="AF63" s="23">
        <v>80</v>
      </c>
      <c r="AG63" s="23">
        <v>16</v>
      </c>
      <c r="AH63" s="23">
        <v>80</v>
      </c>
      <c r="AJ63" s="23">
        <v>80</v>
      </c>
      <c r="AK63" s="23">
        <v>23</v>
      </c>
      <c r="AL63" s="23">
        <v>80</v>
      </c>
      <c r="AM63" s="23">
        <v>28</v>
      </c>
      <c r="AN63" s="23">
        <v>80</v>
      </c>
      <c r="AO63" s="23">
        <v>29</v>
      </c>
      <c r="AP63" s="23">
        <v>80</v>
      </c>
      <c r="AQ63" s="23">
        <v>35</v>
      </c>
      <c r="AR63" s="23">
        <v>80</v>
      </c>
      <c r="AS63" s="23">
        <v>33</v>
      </c>
      <c r="AT63" s="23">
        <v>80</v>
      </c>
      <c r="AU63" s="23">
        <v>36</v>
      </c>
      <c r="AV63" s="23">
        <v>80</v>
      </c>
      <c r="AX63" s="23">
        <v>80</v>
      </c>
      <c r="AZ63" s="23">
        <v>80</v>
      </c>
      <c r="BB63" s="23">
        <v>80</v>
      </c>
      <c r="BD63" s="23">
        <v>80</v>
      </c>
      <c r="BE63" s="23">
        <v>38</v>
      </c>
      <c r="BF63" s="23">
        <v>80</v>
      </c>
      <c r="BG63" s="23">
        <v>42</v>
      </c>
      <c r="BH63" s="23">
        <v>80</v>
      </c>
      <c r="BJ63" s="23">
        <v>80</v>
      </c>
      <c r="BP63" s="23">
        <v>80</v>
      </c>
      <c r="BQ63" s="23" t="s">
        <v>96</v>
      </c>
      <c r="BR63" s="23">
        <v>80</v>
      </c>
      <c r="BS63" s="23" t="s">
        <v>96</v>
      </c>
      <c r="BT63" s="23">
        <v>80</v>
      </c>
      <c r="BU63" s="23" t="s">
        <v>96</v>
      </c>
      <c r="BV63" s="23">
        <v>80</v>
      </c>
      <c r="BW63" s="23" t="s">
        <v>96</v>
      </c>
      <c r="BX63" s="23">
        <v>80</v>
      </c>
      <c r="BY63" s="23" t="s">
        <v>96</v>
      </c>
      <c r="BZ63" s="23">
        <v>80</v>
      </c>
      <c r="CA63" s="23" t="s">
        <v>96</v>
      </c>
      <c r="CB63" s="23">
        <v>80</v>
      </c>
      <c r="CC63" s="23" t="s">
        <v>96</v>
      </c>
      <c r="CD63" s="23">
        <v>80</v>
      </c>
      <c r="CE63" s="23" t="s">
        <v>96</v>
      </c>
      <c r="CF63" s="23">
        <v>80</v>
      </c>
      <c r="CG63" s="23" t="s">
        <v>96</v>
      </c>
      <c r="CH63" s="23">
        <v>80</v>
      </c>
      <c r="CI63" s="23" t="s">
        <v>96</v>
      </c>
      <c r="CJ63" s="23">
        <v>80</v>
      </c>
      <c r="CK63" s="23" t="s">
        <v>96</v>
      </c>
      <c r="CL63" s="23">
        <v>80</v>
      </c>
      <c r="CM63" s="23" t="s">
        <v>96</v>
      </c>
      <c r="CN63" s="23">
        <v>80</v>
      </c>
      <c r="CO63" s="23" t="s">
        <v>96</v>
      </c>
      <c r="CP63" s="23">
        <v>80</v>
      </c>
      <c r="CQ63" s="23" t="s">
        <v>96</v>
      </c>
      <c r="CR63" s="23">
        <v>80</v>
      </c>
      <c r="CS63" s="23" t="s">
        <v>96</v>
      </c>
      <c r="CT63" s="23">
        <v>80</v>
      </c>
      <c r="CU63" s="23" t="s">
        <v>96</v>
      </c>
      <c r="CV63" s="23">
        <v>80</v>
      </c>
      <c r="CW63" s="23" t="s">
        <v>96</v>
      </c>
    </row>
    <row r="64" spans="1:101" x14ac:dyDescent="0.2">
      <c r="A64" s="26" t="s">
        <v>64</v>
      </c>
      <c r="B64" s="24">
        <f>SUM(INGRESO!C64)</f>
        <v>0</v>
      </c>
      <c r="C64" s="24">
        <f>SUM(INGRESO!D64)</f>
        <v>0</v>
      </c>
      <c r="G64" s="24">
        <f>B64</f>
        <v>0</v>
      </c>
      <c r="H64" s="24"/>
      <c r="I64" s="24"/>
      <c r="J64" s="24"/>
      <c r="K64" s="24">
        <f>B64</f>
        <v>0</v>
      </c>
      <c r="L64" s="24"/>
      <c r="M64" s="24">
        <f>B64</f>
        <v>0</v>
      </c>
      <c r="N64" s="24"/>
      <c r="AD64" s="23">
        <v>81</v>
      </c>
      <c r="AF64" s="23">
        <v>81</v>
      </c>
      <c r="AH64" s="23">
        <v>81</v>
      </c>
      <c r="AI64" s="23">
        <v>29</v>
      </c>
      <c r="AJ64" s="23">
        <v>81</v>
      </c>
      <c r="AL64" s="23">
        <v>81</v>
      </c>
      <c r="AN64" s="23">
        <v>81</v>
      </c>
      <c r="AP64" s="23">
        <v>81</v>
      </c>
      <c r="AR64" s="23">
        <v>81</v>
      </c>
      <c r="AT64" s="23">
        <v>81</v>
      </c>
      <c r="AV64" s="23">
        <v>81</v>
      </c>
      <c r="AW64" s="23">
        <v>32</v>
      </c>
      <c r="AX64" s="23">
        <v>81</v>
      </c>
      <c r="AZ64" s="23">
        <v>81</v>
      </c>
      <c r="BA64" s="23">
        <v>38</v>
      </c>
      <c r="BB64" s="23">
        <v>81</v>
      </c>
      <c r="BC64" s="23">
        <v>44</v>
      </c>
      <c r="BD64" s="23">
        <v>81</v>
      </c>
      <c r="BF64" s="23">
        <v>81</v>
      </c>
      <c r="BG64" s="23">
        <v>43</v>
      </c>
      <c r="BH64" s="23">
        <v>81</v>
      </c>
      <c r="BI64" s="23">
        <v>29</v>
      </c>
      <c r="BJ64" s="23">
        <v>81</v>
      </c>
      <c r="BP64" s="23">
        <v>81</v>
      </c>
      <c r="BQ64" s="23" t="s">
        <v>96</v>
      </c>
      <c r="BR64" s="23">
        <v>81</v>
      </c>
      <c r="BS64" s="23" t="s">
        <v>96</v>
      </c>
      <c r="BT64" s="23">
        <v>81</v>
      </c>
      <c r="BU64" s="23" t="s">
        <v>96</v>
      </c>
      <c r="BV64" s="23">
        <v>81</v>
      </c>
      <c r="BW64" s="23" t="s">
        <v>96</v>
      </c>
      <c r="BX64" s="23">
        <v>81</v>
      </c>
      <c r="BY64" s="23" t="s">
        <v>96</v>
      </c>
      <c r="BZ64" s="23">
        <v>81</v>
      </c>
      <c r="CA64" s="23" t="s">
        <v>96</v>
      </c>
      <c r="CB64" s="23">
        <v>81</v>
      </c>
      <c r="CC64" s="23" t="s">
        <v>96</v>
      </c>
      <c r="CD64" s="23">
        <v>81</v>
      </c>
      <c r="CE64" s="23" t="s">
        <v>96</v>
      </c>
      <c r="CF64" s="23">
        <v>81</v>
      </c>
      <c r="CG64" s="23" t="s">
        <v>96</v>
      </c>
      <c r="CH64" s="23">
        <v>81</v>
      </c>
      <c r="CI64" s="23" t="s">
        <v>96</v>
      </c>
      <c r="CJ64" s="23">
        <v>81</v>
      </c>
      <c r="CK64" s="23" t="s">
        <v>96</v>
      </c>
      <c r="CL64" s="23">
        <v>81</v>
      </c>
      <c r="CM64" s="23" t="s">
        <v>96</v>
      </c>
      <c r="CN64" s="23">
        <v>81</v>
      </c>
      <c r="CO64" s="23" t="s">
        <v>96</v>
      </c>
      <c r="CP64" s="23">
        <v>81</v>
      </c>
      <c r="CQ64" s="23" t="s">
        <v>96</v>
      </c>
      <c r="CR64" s="23">
        <v>81</v>
      </c>
      <c r="CS64" s="23" t="s">
        <v>96</v>
      </c>
      <c r="CT64" s="23">
        <v>81</v>
      </c>
      <c r="CU64" s="23" t="s">
        <v>96</v>
      </c>
      <c r="CV64" s="23">
        <v>81</v>
      </c>
      <c r="CW64" s="23" t="s">
        <v>96</v>
      </c>
    </row>
    <row r="65" spans="1:101" x14ac:dyDescent="0.2">
      <c r="A65" s="26" t="s">
        <v>65</v>
      </c>
      <c r="B65" s="24">
        <f>SUM(INGRESO!C65)</f>
        <v>0</v>
      </c>
      <c r="C65" s="24">
        <f>SUM(INGRESO!D65)</f>
        <v>0</v>
      </c>
      <c r="E65" s="24">
        <f>B65</f>
        <v>0</v>
      </c>
      <c r="G65" s="24"/>
      <c r="H65" s="24"/>
      <c r="I65" s="24"/>
      <c r="J65" s="24"/>
      <c r="K65" s="24">
        <f>B65</f>
        <v>0</v>
      </c>
      <c r="L65" s="24"/>
      <c r="M65" s="24">
        <f>B65</f>
        <v>0</v>
      </c>
      <c r="N65" s="24"/>
      <c r="AD65" s="23">
        <v>82</v>
      </c>
      <c r="AF65" s="23">
        <v>82</v>
      </c>
      <c r="AH65" s="23">
        <v>82</v>
      </c>
      <c r="AJ65" s="23">
        <v>82</v>
      </c>
      <c r="AK65" s="23">
        <v>24</v>
      </c>
      <c r="AL65" s="23">
        <v>82</v>
      </c>
      <c r="AM65" s="23">
        <v>29</v>
      </c>
      <c r="AN65" s="23">
        <v>82</v>
      </c>
      <c r="AO65" s="23">
        <v>30</v>
      </c>
      <c r="AP65" s="23">
        <v>82</v>
      </c>
      <c r="AQ65" s="23">
        <v>36</v>
      </c>
      <c r="AR65" s="23">
        <v>82</v>
      </c>
      <c r="AS65" s="23">
        <v>34</v>
      </c>
      <c r="AT65" s="23">
        <v>82</v>
      </c>
      <c r="AU65" s="23">
        <v>37</v>
      </c>
      <c r="AV65" s="23">
        <v>82</v>
      </c>
      <c r="AX65" s="23">
        <v>82</v>
      </c>
      <c r="AY65" s="23">
        <v>19</v>
      </c>
      <c r="AZ65" s="23">
        <v>82</v>
      </c>
      <c r="BB65" s="23">
        <v>82</v>
      </c>
      <c r="BD65" s="23">
        <v>82</v>
      </c>
      <c r="BE65" s="23">
        <v>39</v>
      </c>
      <c r="BF65" s="23">
        <v>82</v>
      </c>
      <c r="BH65" s="23">
        <v>82</v>
      </c>
      <c r="BJ65" s="23">
        <v>82</v>
      </c>
      <c r="BP65" s="23">
        <v>82</v>
      </c>
      <c r="BQ65" s="23" t="s">
        <v>96</v>
      </c>
      <c r="BR65" s="23">
        <v>82</v>
      </c>
      <c r="BS65" s="23" t="s">
        <v>96</v>
      </c>
      <c r="BT65" s="23">
        <v>82</v>
      </c>
      <c r="BU65" s="23" t="s">
        <v>96</v>
      </c>
      <c r="BV65" s="23">
        <v>82</v>
      </c>
      <c r="BW65" s="23" t="s">
        <v>96</v>
      </c>
      <c r="BX65" s="23">
        <v>82</v>
      </c>
      <c r="BY65" s="23" t="s">
        <v>96</v>
      </c>
      <c r="BZ65" s="23">
        <v>82</v>
      </c>
      <c r="CA65" s="23" t="s">
        <v>96</v>
      </c>
      <c r="CB65" s="23">
        <v>82</v>
      </c>
      <c r="CC65" s="23" t="s">
        <v>96</v>
      </c>
      <c r="CD65" s="23">
        <v>82</v>
      </c>
      <c r="CE65" s="23" t="s">
        <v>96</v>
      </c>
      <c r="CF65" s="23">
        <v>82</v>
      </c>
      <c r="CG65" s="23" t="s">
        <v>96</v>
      </c>
      <c r="CH65" s="23">
        <v>82</v>
      </c>
      <c r="CI65" s="23" t="s">
        <v>96</v>
      </c>
      <c r="CJ65" s="23">
        <v>82</v>
      </c>
      <c r="CK65" s="23" t="s">
        <v>96</v>
      </c>
      <c r="CL65" s="23">
        <v>82</v>
      </c>
      <c r="CM65" s="23" t="s">
        <v>96</v>
      </c>
      <c r="CN65" s="23">
        <v>82</v>
      </c>
      <c r="CO65" s="23" t="s">
        <v>96</v>
      </c>
      <c r="CP65" s="23">
        <v>82</v>
      </c>
      <c r="CQ65" s="23" t="s">
        <v>96</v>
      </c>
      <c r="CR65" s="23">
        <v>82</v>
      </c>
      <c r="CS65" s="23" t="s">
        <v>96</v>
      </c>
      <c r="CT65" s="23">
        <v>82</v>
      </c>
      <c r="CU65" s="23" t="s">
        <v>96</v>
      </c>
      <c r="CV65" s="23">
        <v>82</v>
      </c>
      <c r="CW65" s="23" t="s">
        <v>96</v>
      </c>
    </row>
    <row r="66" spans="1:101" x14ac:dyDescent="0.2">
      <c r="A66" s="26" t="s">
        <v>66</v>
      </c>
      <c r="B66" s="24">
        <f>SUM(INGRESO!C66)</f>
        <v>0</v>
      </c>
      <c r="C66" s="24">
        <f>SUM(INGRESO!D66)</f>
        <v>0</v>
      </c>
      <c r="F66" s="24">
        <f>C66</f>
        <v>0</v>
      </c>
      <c r="G66" s="24"/>
      <c r="H66" s="24">
        <f>C66</f>
        <v>0</v>
      </c>
      <c r="I66" s="24"/>
      <c r="J66" s="24">
        <f>C66</f>
        <v>0</v>
      </c>
      <c r="K66" s="24"/>
      <c r="L66" s="24"/>
      <c r="M66" s="24"/>
      <c r="N66" s="24"/>
      <c r="AD66" s="23">
        <v>83</v>
      </c>
      <c r="AF66" s="23">
        <v>83</v>
      </c>
      <c r="AH66" s="23">
        <v>83</v>
      </c>
      <c r="AI66" s="23">
        <v>30</v>
      </c>
      <c r="AJ66" s="23">
        <v>83</v>
      </c>
      <c r="AL66" s="23">
        <v>83</v>
      </c>
      <c r="AN66" s="23">
        <v>83</v>
      </c>
      <c r="AP66" s="23">
        <v>83</v>
      </c>
      <c r="AR66" s="23">
        <v>83</v>
      </c>
      <c r="AT66" s="23">
        <v>83</v>
      </c>
      <c r="AV66" s="23">
        <v>83</v>
      </c>
      <c r="AW66" s="23">
        <v>33</v>
      </c>
      <c r="AX66" s="23">
        <v>83</v>
      </c>
      <c r="AZ66" s="23">
        <v>83</v>
      </c>
      <c r="BA66" s="23">
        <v>39</v>
      </c>
      <c r="BB66" s="23">
        <v>83</v>
      </c>
      <c r="BC66" s="23">
        <v>45</v>
      </c>
      <c r="BD66" s="23">
        <v>83</v>
      </c>
      <c r="BF66" s="23">
        <v>83</v>
      </c>
      <c r="BG66" s="23">
        <v>44</v>
      </c>
      <c r="BH66" s="23">
        <v>83</v>
      </c>
      <c r="BI66" s="23">
        <v>30</v>
      </c>
      <c r="BJ66" s="23">
        <v>83</v>
      </c>
      <c r="BP66" s="23">
        <v>83</v>
      </c>
      <c r="BQ66" s="23" t="s">
        <v>96</v>
      </c>
      <c r="BR66" s="23">
        <v>83</v>
      </c>
      <c r="BS66" s="23" t="s">
        <v>96</v>
      </c>
      <c r="BT66" s="23">
        <v>83</v>
      </c>
      <c r="BU66" s="23" t="s">
        <v>96</v>
      </c>
      <c r="BV66" s="23">
        <v>83</v>
      </c>
      <c r="BW66" s="23" t="s">
        <v>96</v>
      </c>
      <c r="BX66" s="23">
        <v>83</v>
      </c>
      <c r="BY66" s="23" t="s">
        <v>96</v>
      </c>
      <c r="BZ66" s="23">
        <v>83</v>
      </c>
      <c r="CA66" s="23" t="s">
        <v>96</v>
      </c>
      <c r="CB66" s="23">
        <v>83</v>
      </c>
      <c r="CC66" s="23" t="s">
        <v>96</v>
      </c>
      <c r="CD66" s="23">
        <v>83</v>
      </c>
      <c r="CE66" s="23" t="s">
        <v>96</v>
      </c>
      <c r="CF66" s="23">
        <v>83</v>
      </c>
      <c r="CG66" s="23" t="s">
        <v>96</v>
      </c>
      <c r="CH66" s="23">
        <v>83</v>
      </c>
      <c r="CI66" s="23" t="s">
        <v>96</v>
      </c>
      <c r="CJ66" s="23">
        <v>83</v>
      </c>
      <c r="CK66" s="23" t="s">
        <v>96</v>
      </c>
      <c r="CL66" s="23">
        <v>83</v>
      </c>
      <c r="CM66" s="23" t="s">
        <v>96</v>
      </c>
      <c r="CN66" s="23">
        <v>83</v>
      </c>
      <c r="CO66" s="23" t="s">
        <v>96</v>
      </c>
      <c r="CP66" s="23">
        <v>83</v>
      </c>
      <c r="CQ66" s="23" t="s">
        <v>96</v>
      </c>
      <c r="CR66" s="23">
        <v>83</v>
      </c>
      <c r="CS66" s="23" t="s">
        <v>96</v>
      </c>
      <c r="CT66" s="23">
        <v>83</v>
      </c>
      <c r="CU66" s="23" t="s">
        <v>96</v>
      </c>
      <c r="CV66" s="23">
        <v>83</v>
      </c>
      <c r="CW66" s="23" t="s">
        <v>96</v>
      </c>
    </row>
    <row r="67" spans="1:101" x14ac:dyDescent="0.2">
      <c r="A67" s="26" t="s">
        <v>67</v>
      </c>
      <c r="B67" s="24">
        <f>SUM(INGRESO!C67)</f>
        <v>0</v>
      </c>
      <c r="C67" s="24">
        <f>SUM(INGRESO!D67)</f>
        <v>0</v>
      </c>
      <c r="G67" s="24"/>
      <c r="H67" s="24"/>
      <c r="I67" s="24"/>
      <c r="J67" s="24"/>
      <c r="K67" s="24">
        <f>B67</f>
        <v>0</v>
      </c>
      <c r="L67" s="24">
        <f>B67</f>
        <v>0</v>
      </c>
      <c r="M67" s="24">
        <f>B67</f>
        <v>0</v>
      </c>
      <c r="N67" s="24"/>
      <c r="AD67" s="23">
        <v>84</v>
      </c>
      <c r="AF67" s="23">
        <v>84</v>
      </c>
      <c r="AH67" s="23">
        <v>84</v>
      </c>
      <c r="AJ67" s="23">
        <v>84</v>
      </c>
      <c r="AL67" s="23">
        <v>84</v>
      </c>
      <c r="AN67" s="23">
        <v>84</v>
      </c>
      <c r="AO67" s="23">
        <v>31</v>
      </c>
      <c r="AP67" s="23">
        <v>84</v>
      </c>
      <c r="AQ67" s="23">
        <v>37</v>
      </c>
      <c r="AR67" s="23">
        <v>84</v>
      </c>
      <c r="AS67" s="23">
        <v>35</v>
      </c>
      <c r="AT67" s="23">
        <v>84</v>
      </c>
      <c r="AU67" s="23">
        <v>38</v>
      </c>
      <c r="AV67" s="23">
        <v>84</v>
      </c>
      <c r="AX67" s="23">
        <v>84</v>
      </c>
      <c r="AZ67" s="23">
        <v>84</v>
      </c>
      <c r="BB67" s="23">
        <v>84</v>
      </c>
      <c r="BC67" s="23">
        <v>46</v>
      </c>
      <c r="BD67" s="23">
        <v>84</v>
      </c>
      <c r="BE67" s="23">
        <v>40</v>
      </c>
      <c r="BF67" s="23">
        <v>84</v>
      </c>
      <c r="BG67" s="23">
        <v>45</v>
      </c>
      <c r="BH67" s="23">
        <v>84</v>
      </c>
      <c r="BJ67" s="23">
        <v>84</v>
      </c>
      <c r="BP67" s="23">
        <v>84</v>
      </c>
      <c r="BQ67" s="23" t="s">
        <v>96</v>
      </c>
      <c r="BR67" s="23">
        <v>84</v>
      </c>
      <c r="BS67" s="23" t="s">
        <v>96</v>
      </c>
      <c r="BT67" s="23">
        <v>84</v>
      </c>
      <c r="BU67" s="23" t="s">
        <v>96</v>
      </c>
      <c r="BV67" s="23">
        <v>84</v>
      </c>
      <c r="BW67" s="23" t="s">
        <v>96</v>
      </c>
      <c r="BX67" s="23">
        <v>84</v>
      </c>
      <c r="BY67" s="23" t="s">
        <v>96</v>
      </c>
      <c r="BZ67" s="23">
        <v>84</v>
      </c>
      <c r="CA67" s="23" t="s">
        <v>96</v>
      </c>
      <c r="CB67" s="23">
        <v>84</v>
      </c>
      <c r="CC67" s="23" t="s">
        <v>96</v>
      </c>
      <c r="CD67" s="23">
        <v>84</v>
      </c>
      <c r="CE67" s="23" t="s">
        <v>96</v>
      </c>
      <c r="CF67" s="23">
        <v>84</v>
      </c>
      <c r="CG67" s="23" t="s">
        <v>96</v>
      </c>
      <c r="CH67" s="23">
        <v>84</v>
      </c>
      <c r="CI67" s="23" t="s">
        <v>96</v>
      </c>
      <c r="CJ67" s="23">
        <v>84</v>
      </c>
      <c r="CK67" s="23" t="s">
        <v>96</v>
      </c>
      <c r="CL67" s="23">
        <v>84</v>
      </c>
      <c r="CM67" s="23" t="s">
        <v>96</v>
      </c>
      <c r="CN67" s="23">
        <v>84</v>
      </c>
      <c r="CO67" s="23" t="s">
        <v>96</v>
      </c>
      <c r="CP67" s="23">
        <v>84</v>
      </c>
      <c r="CQ67" s="23" t="s">
        <v>96</v>
      </c>
      <c r="CR67" s="23">
        <v>84</v>
      </c>
      <c r="CS67" s="23" t="s">
        <v>96</v>
      </c>
      <c r="CT67" s="23">
        <v>84</v>
      </c>
      <c r="CU67" s="23" t="s">
        <v>96</v>
      </c>
      <c r="CV67" s="23">
        <v>84</v>
      </c>
      <c r="CW67" s="23" t="s">
        <v>96</v>
      </c>
    </row>
    <row r="68" spans="1:101" x14ac:dyDescent="0.2">
      <c r="A68" s="26" t="s">
        <v>68</v>
      </c>
      <c r="B68" s="24">
        <f>SUM(INGRESO!C68)</f>
        <v>0</v>
      </c>
      <c r="C68" s="24">
        <f>SUM(INGRESO!D68)</f>
        <v>0</v>
      </c>
      <c r="F68" s="24">
        <f>C68</f>
        <v>0</v>
      </c>
      <c r="G68" s="24"/>
      <c r="H68" s="24"/>
      <c r="I68" s="24"/>
      <c r="J68" s="24"/>
      <c r="K68" s="24">
        <f>C68</f>
        <v>0</v>
      </c>
      <c r="L68" s="24"/>
      <c r="M68" s="24"/>
      <c r="N68" s="24"/>
      <c r="AD68" s="23">
        <v>85</v>
      </c>
      <c r="AF68" s="23">
        <v>85</v>
      </c>
      <c r="AH68" s="23">
        <v>85</v>
      </c>
      <c r="AJ68" s="23">
        <v>85</v>
      </c>
      <c r="AK68" s="23">
        <v>25</v>
      </c>
      <c r="AL68" s="23">
        <v>85</v>
      </c>
      <c r="AM68" s="23">
        <v>30</v>
      </c>
      <c r="AN68" s="23">
        <v>85</v>
      </c>
      <c r="AP68" s="23">
        <v>85</v>
      </c>
      <c r="AR68" s="23">
        <v>85</v>
      </c>
      <c r="AT68" s="23">
        <v>85</v>
      </c>
      <c r="AV68" s="23">
        <v>85</v>
      </c>
      <c r="AX68" s="23">
        <v>85</v>
      </c>
      <c r="AY68" s="23">
        <v>20</v>
      </c>
      <c r="AZ68" s="23">
        <v>85</v>
      </c>
      <c r="BA68" s="23">
        <v>40</v>
      </c>
      <c r="BB68" s="23">
        <v>85</v>
      </c>
      <c r="BD68" s="23">
        <v>85</v>
      </c>
      <c r="BF68" s="23">
        <v>85</v>
      </c>
      <c r="BH68" s="23">
        <v>85</v>
      </c>
      <c r="BJ68" s="23">
        <v>85</v>
      </c>
      <c r="BP68" s="23">
        <v>85</v>
      </c>
      <c r="BQ68" s="23" t="s">
        <v>96</v>
      </c>
      <c r="BR68" s="23">
        <v>85</v>
      </c>
      <c r="BS68" s="23" t="s">
        <v>96</v>
      </c>
      <c r="BT68" s="23">
        <v>85</v>
      </c>
      <c r="BU68" s="23" t="s">
        <v>96</v>
      </c>
      <c r="BV68" s="23">
        <v>85</v>
      </c>
      <c r="BW68" s="23" t="s">
        <v>96</v>
      </c>
      <c r="BX68" s="23">
        <v>85</v>
      </c>
      <c r="BY68" s="23" t="s">
        <v>96</v>
      </c>
      <c r="BZ68" s="23">
        <v>85</v>
      </c>
      <c r="CA68" s="23" t="s">
        <v>96</v>
      </c>
      <c r="CB68" s="23">
        <v>85</v>
      </c>
      <c r="CC68" s="23" t="s">
        <v>96</v>
      </c>
      <c r="CD68" s="23">
        <v>85</v>
      </c>
      <c r="CE68" s="23" t="s">
        <v>96</v>
      </c>
      <c r="CF68" s="23">
        <v>85</v>
      </c>
      <c r="CG68" s="23" t="s">
        <v>96</v>
      </c>
      <c r="CH68" s="23">
        <v>85</v>
      </c>
      <c r="CI68" s="23" t="s">
        <v>96</v>
      </c>
      <c r="CJ68" s="23">
        <v>85</v>
      </c>
      <c r="CK68" s="23" t="s">
        <v>96</v>
      </c>
      <c r="CL68" s="23">
        <v>85</v>
      </c>
      <c r="CM68" s="23" t="s">
        <v>96</v>
      </c>
      <c r="CN68" s="23">
        <v>85</v>
      </c>
      <c r="CO68" s="23" t="s">
        <v>96</v>
      </c>
      <c r="CP68" s="23">
        <v>85</v>
      </c>
      <c r="CQ68" s="23" t="s">
        <v>96</v>
      </c>
      <c r="CR68" s="23">
        <v>85</v>
      </c>
      <c r="CS68" s="23" t="s">
        <v>96</v>
      </c>
      <c r="CT68" s="23">
        <v>85</v>
      </c>
      <c r="CU68" s="23" t="s">
        <v>96</v>
      </c>
      <c r="CV68" s="23">
        <v>85</v>
      </c>
      <c r="CW68" s="23" t="s">
        <v>96</v>
      </c>
    </row>
    <row r="69" spans="1:101" x14ac:dyDescent="0.2">
      <c r="A69" s="26" t="s">
        <v>69</v>
      </c>
      <c r="B69" s="24">
        <f>SUM(INGRESO!C69)</f>
        <v>0</v>
      </c>
      <c r="C69" s="24">
        <f>SUM(INGRESO!D69)</f>
        <v>0</v>
      </c>
      <c r="G69" s="24"/>
      <c r="H69" s="24"/>
      <c r="I69" s="24"/>
      <c r="J69" s="24"/>
      <c r="K69" s="24">
        <f>B69</f>
        <v>0</v>
      </c>
      <c r="L69" s="24">
        <f>B69</f>
        <v>0</v>
      </c>
      <c r="M69" s="24"/>
      <c r="N69" s="24"/>
      <c r="AD69" s="23">
        <v>86</v>
      </c>
      <c r="AF69" s="23">
        <v>86</v>
      </c>
      <c r="AH69" s="23">
        <v>86</v>
      </c>
      <c r="AJ69" s="23">
        <v>86</v>
      </c>
      <c r="AL69" s="23">
        <v>86</v>
      </c>
      <c r="AN69" s="23">
        <v>86</v>
      </c>
      <c r="AP69" s="23">
        <v>86</v>
      </c>
      <c r="AQ69" s="23">
        <v>38</v>
      </c>
      <c r="AR69" s="23">
        <v>86</v>
      </c>
      <c r="AS69" s="23">
        <v>36</v>
      </c>
      <c r="AT69" s="23">
        <v>86</v>
      </c>
      <c r="AU69" s="23">
        <v>39</v>
      </c>
      <c r="AV69" s="23">
        <v>86</v>
      </c>
      <c r="AW69" s="23">
        <v>34</v>
      </c>
      <c r="AX69" s="23">
        <v>86</v>
      </c>
      <c r="AZ69" s="23">
        <v>86</v>
      </c>
      <c r="BB69" s="23">
        <v>86</v>
      </c>
      <c r="BC69" s="23">
        <v>47</v>
      </c>
      <c r="BD69" s="23">
        <v>86</v>
      </c>
      <c r="BE69" s="23">
        <v>41</v>
      </c>
      <c r="BF69" s="23">
        <v>86</v>
      </c>
      <c r="BG69" s="23">
        <v>46</v>
      </c>
      <c r="BH69" s="23">
        <v>86</v>
      </c>
      <c r="BI69" s="23">
        <v>31</v>
      </c>
      <c r="BJ69" s="23">
        <v>86</v>
      </c>
      <c r="BP69" s="23">
        <v>86</v>
      </c>
      <c r="BQ69" s="23" t="s">
        <v>96</v>
      </c>
      <c r="BR69" s="23">
        <v>86</v>
      </c>
      <c r="BS69" s="23" t="s">
        <v>96</v>
      </c>
      <c r="BT69" s="23">
        <v>86</v>
      </c>
      <c r="BU69" s="23" t="s">
        <v>96</v>
      </c>
      <c r="BV69" s="23">
        <v>86</v>
      </c>
      <c r="BW69" s="23" t="s">
        <v>96</v>
      </c>
      <c r="BX69" s="23">
        <v>86</v>
      </c>
      <c r="BY69" s="23" t="s">
        <v>96</v>
      </c>
      <c r="BZ69" s="23">
        <v>86</v>
      </c>
      <c r="CA69" s="23" t="s">
        <v>96</v>
      </c>
      <c r="CB69" s="23">
        <v>86</v>
      </c>
      <c r="CC69" s="23" t="s">
        <v>96</v>
      </c>
      <c r="CD69" s="23">
        <v>86</v>
      </c>
      <c r="CE69" s="23" t="s">
        <v>96</v>
      </c>
      <c r="CF69" s="23">
        <v>86</v>
      </c>
      <c r="CG69" s="23" t="s">
        <v>96</v>
      </c>
      <c r="CH69" s="23">
        <v>86</v>
      </c>
      <c r="CI69" s="23" t="s">
        <v>96</v>
      </c>
      <c r="CJ69" s="23">
        <v>86</v>
      </c>
      <c r="CK69" s="23" t="s">
        <v>96</v>
      </c>
      <c r="CL69" s="23">
        <v>86</v>
      </c>
      <c r="CM69" s="23" t="s">
        <v>96</v>
      </c>
      <c r="CN69" s="23">
        <v>86</v>
      </c>
      <c r="CO69" s="23" t="s">
        <v>96</v>
      </c>
      <c r="CP69" s="23">
        <v>86</v>
      </c>
      <c r="CQ69" s="23" t="s">
        <v>96</v>
      </c>
      <c r="CR69" s="23">
        <v>86</v>
      </c>
      <c r="CS69" s="23" t="s">
        <v>96</v>
      </c>
      <c r="CT69" s="23">
        <v>86</v>
      </c>
      <c r="CU69" s="23" t="s">
        <v>96</v>
      </c>
      <c r="CV69" s="23">
        <v>86</v>
      </c>
      <c r="CW69" s="23" t="s">
        <v>96</v>
      </c>
    </row>
    <row r="70" spans="1:101" x14ac:dyDescent="0.2">
      <c r="A70" s="26" t="s">
        <v>70</v>
      </c>
      <c r="B70" s="24">
        <f>SUM(INGRESO!C70)</f>
        <v>0</v>
      </c>
      <c r="C70" s="24">
        <f>SUM(INGRESO!D70)</f>
        <v>0</v>
      </c>
      <c r="F70" s="24">
        <f>C70</f>
        <v>0</v>
      </c>
      <c r="G70" s="24"/>
      <c r="H70" s="24"/>
      <c r="I70" s="24"/>
      <c r="J70" s="24"/>
      <c r="K70" s="24"/>
      <c r="L70" s="24"/>
      <c r="M70" s="24"/>
      <c r="N70" s="24"/>
      <c r="AD70" s="23">
        <v>87</v>
      </c>
      <c r="AF70" s="23">
        <v>87</v>
      </c>
      <c r="AH70" s="23">
        <v>87</v>
      </c>
      <c r="AJ70" s="23">
        <v>87</v>
      </c>
      <c r="AL70" s="23">
        <v>87</v>
      </c>
      <c r="AM70" s="23">
        <v>31</v>
      </c>
      <c r="AN70" s="23">
        <v>87</v>
      </c>
      <c r="AO70" s="23">
        <v>32</v>
      </c>
      <c r="AP70" s="23">
        <v>87</v>
      </c>
      <c r="AR70" s="23">
        <v>87</v>
      </c>
      <c r="AS70" s="23">
        <v>37</v>
      </c>
      <c r="AT70" s="23">
        <v>87</v>
      </c>
      <c r="AU70" s="23">
        <v>40</v>
      </c>
      <c r="AV70" s="23">
        <v>87</v>
      </c>
      <c r="AX70" s="23">
        <v>87</v>
      </c>
      <c r="AZ70" s="23">
        <v>87</v>
      </c>
      <c r="BA70" s="23">
        <v>41</v>
      </c>
      <c r="BB70" s="23">
        <v>87</v>
      </c>
      <c r="BD70" s="23">
        <v>87</v>
      </c>
      <c r="BF70" s="23">
        <v>87</v>
      </c>
      <c r="BG70" s="23">
        <v>47</v>
      </c>
      <c r="BH70" s="23">
        <v>87</v>
      </c>
      <c r="BJ70" s="23">
        <v>87</v>
      </c>
      <c r="BP70" s="23">
        <v>87</v>
      </c>
      <c r="BQ70" s="23" t="s">
        <v>96</v>
      </c>
      <c r="BR70" s="23">
        <v>87</v>
      </c>
      <c r="BS70" s="23" t="s">
        <v>96</v>
      </c>
      <c r="BT70" s="23">
        <v>87</v>
      </c>
      <c r="BU70" s="23" t="s">
        <v>96</v>
      </c>
      <c r="BV70" s="23">
        <v>87</v>
      </c>
      <c r="BW70" s="23" t="s">
        <v>96</v>
      </c>
      <c r="BX70" s="23">
        <v>87</v>
      </c>
      <c r="BY70" s="23" t="s">
        <v>96</v>
      </c>
      <c r="BZ70" s="23">
        <v>87</v>
      </c>
      <c r="CA70" s="23" t="s">
        <v>96</v>
      </c>
      <c r="CB70" s="23">
        <v>87</v>
      </c>
      <c r="CC70" s="23" t="s">
        <v>96</v>
      </c>
      <c r="CD70" s="23">
        <v>87</v>
      </c>
      <c r="CE70" s="23" t="s">
        <v>96</v>
      </c>
      <c r="CF70" s="23">
        <v>87</v>
      </c>
      <c r="CG70" s="23" t="s">
        <v>96</v>
      </c>
      <c r="CH70" s="23">
        <v>87</v>
      </c>
      <c r="CI70" s="23" t="s">
        <v>96</v>
      </c>
      <c r="CJ70" s="23">
        <v>87</v>
      </c>
      <c r="CK70" s="23" t="s">
        <v>96</v>
      </c>
      <c r="CL70" s="23">
        <v>87</v>
      </c>
      <c r="CM70" s="23" t="s">
        <v>96</v>
      </c>
      <c r="CN70" s="23">
        <v>87</v>
      </c>
      <c r="CO70" s="23" t="s">
        <v>96</v>
      </c>
      <c r="CP70" s="23">
        <v>87</v>
      </c>
      <c r="CQ70" s="23" t="s">
        <v>96</v>
      </c>
      <c r="CR70" s="23">
        <v>87</v>
      </c>
      <c r="CS70" s="23" t="s">
        <v>96</v>
      </c>
      <c r="CT70" s="23">
        <v>87</v>
      </c>
      <c r="CU70" s="23" t="s">
        <v>96</v>
      </c>
      <c r="CV70" s="23">
        <v>87</v>
      </c>
      <c r="CW70" s="23" t="s">
        <v>96</v>
      </c>
    </row>
    <row r="71" spans="1:101" x14ac:dyDescent="0.2">
      <c r="A71" s="26" t="s">
        <v>71</v>
      </c>
      <c r="B71" s="24">
        <f>SUM(INGRESO!C71)</f>
        <v>0</v>
      </c>
      <c r="C71" s="24">
        <f>SUM(INGRESO!D71)</f>
        <v>0</v>
      </c>
      <c r="F71" s="24">
        <f>C71</f>
        <v>0</v>
      </c>
      <c r="G71" s="24"/>
      <c r="H71" s="24"/>
      <c r="I71" s="24"/>
      <c r="J71" s="24"/>
      <c r="K71" s="24"/>
      <c r="L71" s="24"/>
      <c r="M71" s="24"/>
      <c r="N71" s="24"/>
      <c r="AD71" s="23">
        <v>88</v>
      </c>
      <c r="AF71" s="23">
        <v>88</v>
      </c>
      <c r="AH71" s="23">
        <v>88</v>
      </c>
      <c r="AJ71" s="23">
        <v>88</v>
      </c>
      <c r="AK71" s="23">
        <v>26</v>
      </c>
      <c r="AL71" s="23">
        <v>88</v>
      </c>
      <c r="AN71" s="23">
        <v>88</v>
      </c>
      <c r="AP71" s="23">
        <v>88</v>
      </c>
      <c r="AQ71" s="23">
        <v>39</v>
      </c>
      <c r="AR71" s="23">
        <v>88</v>
      </c>
      <c r="AT71" s="23">
        <v>88</v>
      </c>
      <c r="AV71" s="23">
        <v>88</v>
      </c>
      <c r="AW71" s="23">
        <v>35</v>
      </c>
      <c r="AX71" s="23">
        <v>88</v>
      </c>
      <c r="AY71" s="23">
        <v>21</v>
      </c>
      <c r="AZ71" s="23">
        <v>88</v>
      </c>
      <c r="BB71" s="23">
        <v>88</v>
      </c>
      <c r="BC71" s="23">
        <v>48</v>
      </c>
      <c r="BD71" s="23">
        <v>88</v>
      </c>
      <c r="BE71" s="23">
        <v>42</v>
      </c>
      <c r="BF71" s="23">
        <v>88</v>
      </c>
      <c r="BH71" s="23">
        <v>88</v>
      </c>
      <c r="BI71" s="23">
        <v>32</v>
      </c>
      <c r="BJ71" s="23">
        <v>88</v>
      </c>
      <c r="BP71" s="23">
        <v>88</v>
      </c>
      <c r="BQ71" s="23" t="s">
        <v>96</v>
      </c>
      <c r="BR71" s="23">
        <v>88</v>
      </c>
      <c r="BS71" s="23" t="s">
        <v>96</v>
      </c>
      <c r="BT71" s="23">
        <v>88</v>
      </c>
      <c r="BU71" s="23" t="s">
        <v>96</v>
      </c>
      <c r="BV71" s="23">
        <v>88</v>
      </c>
      <c r="BW71" s="23" t="s">
        <v>96</v>
      </c>
      <c r="BX71" s="23">
        <v>88</v>
      </c>
      <c r="BY71" s="23" t="s">
        <v>96</v>
      </c>
      <c r="BZ71" s="23">
        <v>88</v>
      </c>
      <c r="CA71" s="23" t="s">
        <v>96</v>
      </c>
      <c r="CB71" s="23">
        <v>88</v>
      </c>
      <c r="CC71" s="23" t="s">
        <v>96</v>
      </c>
      <c r="CD71" s="23">
        <v>88</v>
      </c>
      <c r="CE71" s="23" t="s">
        <v>96</v>
      </c>
      <c r="CF71" s="23">
        <v>88</v>
      </c>
      <c r="CG71" s="23" t="s">
        <v>96</v>
      </c>
      <c r="CH71" s="23">
        <v>88</v>
      </c>
      <c r="CI71" s="23" t="s">
        <v>96</v>
      </c>
      <c r="CJ71" s="23">
        <v>88</v>
      </c>
      <c r="CK71" s="23" t="s">
        <v>96</v>
      </c>
      <c r="CL71" s="23">
        <v>88</v>
      </c>
      <c r="CM71" s="23" t="s">
        <v>96</v>
      </c>
      <c r="CN71" s="23">
        <v>88</v>
      </c>
      <c r="CO71" s="23" t="s">
        <v>96</v>
      </c>
      <c r="CP71" s="23">
        <v>88</v>
      </c>
      <c r="CQ71" s="23" t="s">
        <v>96</v>
      </c>
      <c r="CR71" s="23">
        <v>88</v>
      </c>
      <c r="CS71" s="23" t="s">
        <v>96</v>
      </c>
      <c r="CT71" s="23">
        <v>88</v>
      </c>
      <c r="CU71" s="23" t="s">
        <v>96</v>
      </c>
      <c r="CV71" s="23">
        <v>88</v>
      </c>
      <c r="CW71" s="23" t="s">
        <v>96</v>
      </c>
    </row>
    <row r="72" spans="1:101" x14ac:dyDescent="0.2">
      <c r="A72" s="26" t="s">
        <v>72</v>
      </c>
      <c r="B72" s="24">
        <f>SUM(INGRESO!C72)</f>
        <v>0</v>
      </c>
      <c r="C72" s="24">
        <f>SUM(INGRESO!D72)</f>
        <v>0</v>
      </c>
      <c r="E72" s="24">
        <f>B72</f>
        <v>0</v>
      </c>
      <c r="G72" s="24"/>
      <c r="H72" s="24"/>
      <c r="I72" s="24"/>
      <c r="J72" s="24">
        <f>B72</f>
        <v>0</v>
      </c>
      <c r="K72" s="24"/>
      <c r="L72" s="24"/>
      <c r="M72" s="24"/>
      <c r="N72" s="24"/>
      <c r="AD72" s="23">
        <v>89</v>
      </c>
      <c r="AF72" s="23">
        <v>89</v>
      </c>
      <c r="AH72" s="23">
        <v>89</v>
      </c>
      <c r="AJ72" s="23">
        <v>89</v>
      </c>
      <c r="AL72" s="23">
        <v>89</v>
      </c>
      <c r="AM72" s="23">
        <v>32</v>
      </c>
      <c r="AN72" s="23">
        <v>89</v>
      </c>
      <c r="AO72" s="23">
        <v>35</v>
      </c>
      <c r="AP72" s="23">
        <v>89</v>
      </c>
      <c r="AR72" s="23">
        <v>89</v>
      </c>
      <c r="AS72" s="23">
        <v>38</v>
      </c>
      <c r="AT72" s="23">
        <v>89</v>
      </c>
      <c r="AU72" s="23">
        <v>41</v>
      </c>
      <c r="AV72" s="23">
        <v>89</v>
      </c>
      <c r="AX72" s="23">
        <v>89</v>
      </c>
      <c r="AZ72" s="23">
        <v>89</v>
      </c>
      <c r="BA72" s="23">
        <v>42</v>
      </c>
      <c r="BB72" s="23">
        <v>89</v>
      </c>
      <c r="BC72" s="23">
        <v>49</v>
      </c>
      <c r="BD72" s="23">
        <v>89</v>
      </c>
      <c r="BF72" s="23">
        <v>89</v>
      </c>
      <c r="BG72" s="23">
        <v>48</v>
      </c>
      <c r="BH72" s="23">
        <v>89</v>
      </c>
      <c r="BJ72" s="23">
        <v>89</v>
      </c>
      <c r="BP72" s="23">
        <v>89</v>
      </c>
      <c r="BQ72" s="23" t="s">
        <v>96</v>
      </c>
      <c r="BR72" s="23">
        <v>89</v>
      </c>
      <c r="BS72" s="23" t="s">
        <v>96</v>
      </c>
      <c r="BT72" s="23">
        <v>89</v>
      </c>
      <c r="BU72" s="23" t="s">
        <v>96</v>
      </c>
      <c r="BV72" s="23">
        <v>89</v>
      </c>
      <c r="BW72" s="23" t="s">
        <v>96</v>
      </c>
      <c r="BX72" s="23">
        <v>89</v>
      </c>
      <c r="BY72" s="23" t="s">
        <v>96</v>
      </c>
      <c r="BZ72" s="23">
        <v>89</v>
      </c>
      <c r="CA72" s="23" t="s">
        <v>96</v>
      </c>
      <c r="CB72" s="23">
        <v>89</v>
      </c>
      <c r="CC72" s="23" t="s">
        <v>96</v>
      </c>
      <c r="CD72" s="23">
        <v>89</v>
      </c>
      <c r="CE72" s="23" t="s">
        <v>96</v>
      </c>
      <c r="CF72" s="23">
        <v>89</v>
      </c>
      <c r="CG72" s="23" t="s">
        <v>96</v>
      </c>
      <c r="CH72" s="23">
        <v>89</v>
      </c>
      <c r="CI72" s="23" t="s">
        <v>96</v>
      </c>
      <c r="CJ72" s="23">
        <v>89</v>
      </c>
      <c r="CK72" s="23" t="s">
        <v>96</v>
      </c>
      <c r="CL72" s="23">
        <v>89</v>
      </c>
      <c r="CM72" s="23" t="s">
        <v>96</v>
      </c>
      <c r="CN72" s="23">
        <v>89</v>
      </c>
      <c r="CO72" s="23" t="s">
        <v>96</v>
      </c>
      <c r="CP72" s="23">
        <v>89</v>
      </c>
      <c r="CQ72" s="23" t="s">
        <v>96</v>
      </c>
      <c r="CR72" s="23">
        <v>89</v>
      </c>
      <c r="CS72" s="23" t="s">
        <v>96</v>
      </c>
      <c r="CT72" s="23">
        <v>89</v>
      </c>
      <c r="CU72" s="23" t="s">
        <v>96</v>
      </c>
      <c r="CV72" s="23">
        <v>89</v>
      </c>
      <c r="CW72" s="23" t="s">
        <v>96</v>
      </c>
    </row>
    <row r="73" spans="1:101" x14ac:dyDescent="0.2">
      <c r="A73" s="26" t="s">
        <v>73</v>
      </c>
      <c r="B73" s="24">
        <f>SUM(INGRESO!C73)</f>
        <v>0</v>
      </c>
      <c r="C73" s="24">
        <f>SUM(INGRESO!D73)</f>
        <v>0</v>
      </c>
      <c r="G73" s="24"/>
      <c r="H73" s="24"/>
      <c r="I73" s="24"/>
      <c r="J73" s="24"/>
      <c r="K73" s="24"/>
      <c r="L73" s="24"/>
      <c r="M73" s="24"/>
      <c r="N73" s="24"/>
      <c r="AD73" s="23">
        <v>90</v>
      </c>
      <c r="AF73" s="23">
        <v>90</v>
      </c>
      <c r="AH73" s="23">
        <v>90</v>
      </c>
      <c r="AJ73" s="23">
        <v>90</v>
      </c>
      <c r="AK73" s="23">
        <v>27</v>
      </c>
      <c r="AL73" s="23">
        <v>90</v>
      </c>
      <c r="AN73" s="23">
        <v>90</v>
      </c>
      <c r="AP73" s="23">
        <v>90</v>
      </c>
      <c r="AQ73" s="23">
        <v>40</v>
      </c>
      <c r="AR73" s="23">
        <v>90</v>
      </c>
      <c r="AT73" s="23">
        <v>90</v>
      </c>
      <c r="AV73" s="23">
        <v>90</v>
      </c>
      <c r="AW73" s="23">
        <v>36</v>
      </c>
      <c r="AX73" s="23">
        <v>90</v>
      </c>
      <c r="AZ73" s="23">
        <v>90</v>
      </c>
      <c r="BB73" s="23">
        <v>90</v>
      </c>
      <c r="BD73" s="23">
        <v>90</v>
      </c>
      <c r="BE73" s="23">
        <v>43</v>
      </c>
      <c r="BF73" s="23">
        <v>90</v>
      </c>
      <c r="BH73" s="23">
        <v>90</v>
      </c>
      <c r="BJ73" s="23">
        <v>90</v>
      </c>
      <c r="BP73" s="23">
        <v>90</v>
      </c>
      <c r="BQ73" s="23" t="s">
        <v>96</v>
      </c>
      <c r="BR73" s="23">
        <v>90</v>
      </c>
      <c r="BS73" s="23" t="s">
        <v>96</v>
      </c>
      <c r="BT73" s="23">
        <v>90</v>
      </c>
      <c r="BU73" s="23" t="s">
        <v>96</v>
      </c>
      <c r="BV73" s="23">
        <v>90</v>
      </c>
      <c r="BW73" s="23" t="s">
        <v>96</v>
      </c>
      <c r="BX73" s="23">
        <v>90</v>
      </c>
      <c r="BY73" s="23" t="s">
        <v>96</v>
      </c>
      <c r="BZ73" s="23">
        <v>90</v>
      </c>
      <c r="CA73" s="23" t="s">
        <v>96</v>
      </c>
      <c r="CB73" s="23">
        <v>90</v>
      </c>
      <c r="CC73" s="23" t="s">
        <v>96</v>
      </c>
      <c r="CD73" s="23">
        <v>90</v>
      </c>
      <c r="CE73" s="23" t="s">
        <v>96</v>
      </c>
      <c r="CF73" s="23">
        <v>90</v>
      </c>
      <c r="CG73" s="23" t="s">
        <v>96</v>
      </c>
      <c r="CH73" s="23">
        <v>90</v>
      </c>
      <c r="CI73" s="23" t="s">
        <v>96</v>
      </c>
      <c r="CJ73" s="23">
        <v>90</v>
      </c>
      <c r="CK73" s="23" t="s">
        <v>96</v>
      </c>
      <c r="CL73" s="23">
        <v>90</v>
      </c>
      <c r="CM73" s="23" t="s">
        <v>96</v>
      </c>
      <c r="CN73" s="23">
        <v>90</v>
      </c>
      <c r="CO73" s="23" t="s">
        <v>96</v>
      </c>
      <c r="CP73" s="23">
        <v>90</v>
      </c>
      <c r="CQ73" s="23" t="s">
        <v>96</v>
      </c>
      <c r="CR73" s="23">
        <v>90</v>
      </c>
      <c r="CS73" s="23" t="s">
        <v>96</v>
      </c>
      <c r="CT73" s="23">
        <v>90</v>
      </c>
      <c r="CU73" s="23" t="s">
        <v>96</v>
      </c>
      <c r="CV73" s="23">
        <v>90</v>
      </c>
      <c r="CW73" s="23" t="s">
        <v>96</v>
      </c>
    </row>
    <row r="74" spans="1:101" x14ac:dyDescent="0.2">
      <c r="A74" s="26" t="s">
        <v>74</v>
      </c>
      <c r="B74" s="24">
        <f>SUM(INGRESO!C74)</f>
        <v>0</v>
      </c>
      <c r="C74" s="24">
        <f>SUM(INGRESO!D74)</f>
        <v>0</v>
      </c>
      <c r="G74" s="24"/>
      <c r="H74" s="24"/>
      <c r="I74" s="24"/>
      <c r="J74" s="24"/>
      <c r="K74" s="24"/>
      <c r="L74" s="24"/>
      <c r="M74" s="24"/>
      <c r="N74" s="24"/>
      <c r="AD74" s="23">
        <v>91</v>
      </c>
      <c r="AF74" s="23">
        <v>91</v>
      </c>
      <c r="AH74" s="23">
        <v>91</v>
      </c>
      <c r="AJ74" s="23">
        <v>91</v>
      </c>
      <c r="AL74" s="23">
        <v>91</v>
      </c>
      <c r="AM74" s="23">
        <v>33</v>
      </c>
      <c r="AN74" s="23">
        <v>91</v>
      </c>
      <c r="AP74" s="23">
        <v>91</v>
      </c>
      <c r="AR74" s="23">
        <v>91</v>
      </c>
      <c r="AS74" s="23">
        <v>39</v>
      </c>
      <c r="AT74" s="23">
        <v>91</v>
      </c>
      <c r="AU74" s="23">
        <v>42</v>
      </c>
      <c r="AV74" s="23">
        <v>91</v>
      </c>
      <c r="AX74" s="23">
        <v>91</v>
      </c>
      <c r="AY74" s="23">
        <v>22</v>
      </c>
      <c r="AZ74" s="23">
        <v>91</v>
      </c>
      <c r="BA74" s="23">
        <v>43</v>
      </c>
      <c r="BB74" s="23">
        <v>91</v>
      </c>
      <c r="BC74" s="23">
        <v>50</v>
      </c>
      <c r="BD74" s="23">
        <v>91</v>
      </c>
      <c r="BF74" s="23">
        <v>91</v>
      </c>
      <c r="BG74" s="23">
        <v>49</v>
      </c>
      <c r="BH74" s="23">
        <v>91</v>
      </c>
      <c r="BI74" s="23">
        <v>33</v>
      </c>
      <c r="BJ74" s="23">
        <v>91</v>
      </c>
      <c r="BP74" s="23">
        <v>91</v>
      </c>
      <c r="BQ74" s="23" t="s">
        <v>96</v>
      </c>
      <c r="BR74" s="23">
        <v>91</v>
      </c>
      <c r="BS74" s="23" t="s">
        <v>96</v>
      </c>
      <c r="BT74" s="23">
        <v>91</v>
      </c>
      <c r="BU74" s="23" t="s">
        <v>96</v>
      </c>
      <c r="BV74" s="23">
        <v>91</v>
      </c>
      <c r="BW74" s="23" t="s">
        <v>96</v>
      </c>
      <c r="BX74" s="23">
        <v>91</v>
      </c>
      <c r="BY74" s="23" t="s">
        <v>96</v>
      </c>
      <c r="BZ74" s="23">
        <v>91</v>
      </c>
      <c r="CA74" s="23" t="s">
        <v>96</v>
      </c>
      <c r="CB74" s="23">
        <v>91</v>
      </c>
      <c r="CC74" s="23" t="s">
        <v>96</v>
      </c>
      <c r="CD74" s="23">
        <v>91</v>
      </c>
      <c r="CE74" s="23" t="s">
        <v>96</v>
      </c>
      <c r="CF74" s="23">
        <v>91</v>
      </c>
      <c r="CG74" s="23" t="s">
        <v>96</v>
      </c>
      <c r="CH74" s="23">
        <v>91</v>
      </c>
      <c r="CI74" s="23" t="s">
        <v>96</v>
      </c>
      <c r="CJ74" s="23">
        <v>91</v>
      </c>
      <c r="CK74" s="23" t="s">
        <v>96</v>
      </c>
      <c r="CL74" s="23">
        <v>91</v>
      </c>
      <c r="CM74" s="23" t="s">
        <v>96</v>
      </c>
      <c r="CN74" s="23">
        <v>91</v>
      </c>
      <c r="CO74" s="23" t="s">
        <v>96</v>
      </c>
      <c r="CP74" s="23">
        <v>91</v>
      </c>
      <c r="CQ74" s="23" t="s">
        <v>96</v>
      </c>
      <c r="CR74" s="23">
        <v>91</v>
      </c>
      <c r="CS74" s="23" t="s">
        <v>96</v>
      </c>
      <c r="CT74" s="23">
        <v>91</v>
      </c>
      <c r="CU74" s="23" t="s">
        <v>96</v>
      </c>
      <c r="CV74" s="23">
        <v>91</v>
      </c>
      <c r="CW74" s="23" t="s">
        <v>96</v>
      </c>
    </row>
    <row r="75" spans="1:101" x14ac:dyDescent="0.2">
      <c r="A75" s="26" t="s">
        <v>75</v>
      </c>
      <c r="B75" s="24">
        <f>SUM(INGRESO!C75)</f>
        <v>0</v>
      </c>
      <c r="C75" s="24">
        <f>SUM(INGRESO!D75)</f>
        <v>0</v>
      </c>
      <c r="G75" s="24"/>
      <c r="H75" s="24"/>
      <c r="I75" s="24"/>
      <c r="J75" s="24"/>
      <c r="K75" s="24"/>
      <c r="L75" s="24"/>
      <c r="M75" s="24"/>
      <c r="N75" s="24"/>
      <c r="AD75" s="23">
        <v>92</v>
      </c>
      <c r="AF75" s="23">
        <v>92</v>
      </c>
      <c r="AH75" s="23">
        <v>92</v>
      </c>
      <c r="AJ75" s="23">
        <v>92</v>
      </c>
      <c r="AL75" s="23">
        <v>92</v>
      </c>
      <c r="AN75" s="23">
        <v>92</v>
      </c>
      <c r="AO75" s="23">
        <v>34</v>
      </c>
      <c r="AP75" s="23">
        <v>92</v>
      </c>
      <c r="AQ75" s="23">
        <v>41</v>
      </c>
      <c r="AR75" s="23">
        <v>92</v>
      </c>
      <c r="AT75" s="23">
        <v>92</v>
      </c>
      <c r="AV75" s="23">
        <v>92</v>
      </c>
      <c r="AX75" s="23">
        <v>92</v>
      </c>
      <c r="AZ75" s="23">
        <v>92</v>
      </c>
      <c r="BB75" s="23">
        <v>92</v>
      </c>
      <c r="BD75" s="23">
        <v>92</v>
      </c>
      <c r="BE75" s="23">
        <v>44</v>
      </c>
      <c r="BF75" s="23">
        <v>92</v>
      </c>
      <c r="BG75" s="23">
        <v>50</v>
      </c>
      <c r="BH75" s="23">
        <v>92</v>
      </c>
      <c r="BJ75" s="23">
        <v>92</v>
      </c>
      <c r="BP75" s="23">
        <v>92</v>
      </c>
      <c r="BQ75" s="23" t="s">
        <v>96</v>
      </c>
      <c r="BR75" s="23">
        <v>92</v>
      </c>
      <c r="BS75" s="23" t="s">
        <v>96</v>
      </c>
      <c r="BT75" s="23">
        <v>92</v>
      </c>
      <c r="BU75" s="23" t="s">
        <v>96</v>
      </c>
      <c r="BV75" s="23">
        <v>92</v>
      </c>
      <c r="BW75" s="23" t="s">
        <v>96</v>
      </c>
      <c r="BX75" s="23">
        <v>92</v>
      </c>
      <c r="BY75" s="23" t="s">
        <v>96</v>
      </c>
      <c r="BZ75" s="23">
        <v>92</v>
      </c>
      <c r="CA75" s="23" t="s">
        <v>96</v>
      </c>
      <c r="CB75" s="23">
        <v>92</v>
      </c>
      <c r="CC75" s="23" t="s">
        <v>96</v>
      </c>
      <c r="CD75" s="23">
        <v>92</v>
      </c>
      <c r="CE75" s="23" t="s">
        <v>96</v>
      </c>
      <c r="CF75" s="23">
        <v>92</v>
      </c>
      <c r="CG75" s="23" t="s">
        <v>96</v>
      </c>
      <c r="CH75" s="23">
        <v>92</v>
      </c>
      <c r="CI75" s="23" t="s">
        <v>96</v>
      </c>
      <c r="CJ75" s="23">
        <v>92</v>
      </c>
      <c r="CK75" s="23" t="s">
        <v>96</v>
      </c>
      <c r="CL75" s="23">
        <v>92</v>
      </c>
      <c r="CM75" s="23" t="s">
        <v>96</v>
      </c>
      <c r="CN75" s="23">
        <v>92</v>
      </c>
      <c r="CO75" s="23" t="s">
        <v>96</v>
      </c>
      <c r="CP75" s="23">
        <v>92</v>
      </c>
      <c r="CQ75" s="23" t="s">
        <v>96</v>
      </c>
      <c r="CR75" s="23">
        <v>92</v>
      </c>
      <c r="CS75" s="23" t="s">
        <v>96</v>
      </c>
      <c r="CT75" s="23">
        <v>92</v>
      </c>
      <c r="CU75" s="23" t="s">
        <v>96</v>
      </c>
      <c r="CV75" s="23">
        <v>92</v>
      </c>
      <c r="CW75" s="23" t="s">
        <v>96</v>
      </c>
    </row>
    <row r="76" spans="1:101" x14ac:dyDescent="0.2">
      <c r="A76" s="26" t="s">
        <v>76</v>
      </c>
      <c r="B76" s="24">
        <f>SUM(INGRESO!C76)</f>
        <v>0</v>
      </c>
      <c r="C76" s="24">
        <f>SUM(INGRESO!D76)</f>
        <v>0</v>
      </c>
      <c r="G76" s="24"/>
      <c r="H76" s="24"/>
      <c r="I76" s="24"/>
      <c r="J76" s="24"/>
      <c r="K76" s="24"/>
      <c r="L76" s="24"/>
      <c r="M76" s="24"/>
      <c r="N76" s="24"/>
      <c r="AD76" s="23">
        <v>93</v>
      </c>
      <c r="AF76" s="23">
        <v>93</v>
      </c>
      <c r="AH76" s="23">
        <v>93</v>
      </c>
      <c r="AJ76" s="23">
        <v>93</v>
      </c>
      <c r="AK76" s="23">
        <v>28</v>
      </c>
      <c r="AL76" s="23">
        <v>93</v>
      </c>
      <c r="AM76" s="23">
        <v>34</v>
      </c>
      <c r="AN76" s="23">
        <v>93</v>
      </c>
      <c r="AP76" s="23">
        <v>93</v>
      </c>
      <c r="AR76" s="23">
        <v>93</v>
      </c>
      <c r="AS76" s="23">
        <v>40</v>
      </c>
      <c r="AT76" s="23">
        <v>93</v>
      </c>
      <c r="AU76" s="23">
        <v>43</v>
      </c>
      <c r="AV76" s="23">
        <v>93</v>
      </c>
      <c r="AW76" s="23">
        <v>37</v>
      </c>
      <c r="AX76" s="23">
        <v>93</v>
      </c>
      <c r="AZ76" s="23">
        <v>93</v>
      </c>
      <c r="BA76" s="23">
        <v>44</v>
      </c>
      <c r="BB76" s="23">
        <v>93</v>
      </c>
      <c r="BC76" s="23">
        <v>51</v>
      </c>
      <c r="BD76" s="23">
        <v>93</v>
      </c>
      <c r="BF76" s="23">
        <v>93</v>
      </c>
      <c r="BH76" s="23">
        <v>93</v>
      </c>
      <c r="BI76" s="23">
        <v>34</v>
      </c>
      <c r="BJ76" s="23">
        <v>93</v>
      </c>
      <c r="BP76" s="23">
        <v>93</v>
      </c>
      <c r="BQ76" s="23" t="s">
        <v>96</v>
      </c>
      <c r="BR76" s="23">
        <v>93</v>
      </c>
      <c r="BS76" s="23" t="s">
        <v>96</v>
      </c>
      <c r="BT76" s="23">
        <v>93</v>
      </c>
      <c r="BU76" s="23" t="s">
        <v>96</v>
      </c>
      <c r="BV76" s="23">
        <v>93</v>
      </c>
      <c r="BW76" s="23" t="s">
        <v>96</v>
      </c>
      <c r="BX76" s="23">
        <v>93</v>
      </c>
      <c r="BY76" s="23" t="s">
        <v>96</v>
      </c>
      <c r="BZ76" s="23">
        <v>93</v>
      </c>
      <c r="CA76" s="23" t="s">
        <v>96</v>
      </c>
      <c r="CB76" s="23">
        <v>93</v>
      </c>
      <c r="CC76" s="23" t="s">
        <v>96</v>
      </c>
      <c r="CD76" s="23">
        <v>93</v>
      </c>
      <c r="CE76" s="23" t="s">
        <v>96</v>
      </c>
      <c r="CF76" s="23">
        <v>93</v>
      </c>
      <c r="CG76" s="23" t="s">
        <v>96</v>
      </c>
      <c r="CH76" s="23">
        <v>93</v>
      </c>
      <c r="CI76" s="23" t="s">
        <v>96</v>
      </c>
      <c r="CJ76" s="23">
        <v>93</v>
      </c>
      <c r="CK76" s="23" t="s">
        <v>96</v>
      </c>
      <c r="CL76" s="23">
        <v>93</v>
      </c>
      <c r="CM76" s="23" t="s">
        <v>96</v>
      </c>
      <c r="CN76" s="23">
        <v>93</v>
      </c>
      <c r="CO76" s="23" t="s">
        <v>96</v>
      </c>
      <c r="CP76" s="23">
        <v>93</v>
      </c>
      <c r="CQ76" s="23" t="s">
        <v>96</v>
      </c>
      <c r="CR76" s="23">
        <v>93</v>
      </c>
      <c r="CS76" s="23" t="s">
        <v>96</v>
      </c>
      <c r="CT76" s="23">
        <v>93</v>
      </c>
      <c r="CU76" s="23" t="s">
        <v>96</v>
      </c>
      <c r="CV76" s="23">
        <v>93</v>
      </c>
      <c r="CW76" s="23" t="s">
        <v>96</v>
      </c>
    </row>
    <row r="77" spans="1:101" x14ac:dyDescent="0.2">
      <c r="A77" s="26" t="s">
        <v>77</v>
      </c>
      <c r="B77" s="24" t="e">
        <f>SUM(INGRESO!#REF!)</f>
        <v>#REF!</v>
      </c>
      <c r="C77" s="24">
        <f>SUM(INGRESO!C79)</f>
        <v>0</v>
      </c>
      <c r="G77" s="24"/>
      <c r="H77" s="24"/>
      <c r="I77" s="24"/>
      <c r="J77" s="24"/>
      <c r="K77" s="24"/>
      <c r="L77" s="24"/>
      <c r="M77" s="24"/>
      <c r="N77" s="24"/>
      <c r="AD77" s="23">
        <v>94</v>
      </c>
      <c r="AF77" s="23">
        <v>94</v>
      </c>
      <c r="AH77" s="23">
        <v>94</v>
      </c>
      <c r="AJ77" s="23">
        <v>94</v>
      </c>
      <c r="AL77" s="23">
        <v>94</v>
      </c>
      <c r="AN77" s="23">
        <v>94</v>
      </c>
      <c r="AO77" s="23">
        <v>35</v>
      </c>
      <c r="AP77" s="23">
        <v>94</v>
      </c>
      <c r="AQ77" s="23">
        <v>42</v>
      </c>
      <c r="AR77" s="23">
        <v>94</v>
      </c>
      <c r="AT77" s="23">
        <v>94</v>
      </c>
      <c r="AU77" s="23">
        <v>44</v>
      </c>
      <c r="AV77" s="23">
        <v>94</v>
      </c>
      <c r="AX77" s="23">
        <v>94</v>
      </c>
      <c r="AY77" s="23">
        <v>23</v>
      </c>
      <c r="AZ77" s="23">
        <v>94</v>
      </c>
      <c r="BB77" s="23">
        <v>94</v>
      </c>
      <c r="BC77" s="23">
        <v>52</v>
      </c>
      <c r="BD77" s="23">
        <v>94</v>
      </c>
      <c r="BE77" s="23">
        <v>45</v>
      </c>
      <c r="BF77" s="23">
        <v>94</v>
      </c>
      <c r="BG77" s="23">
        <v>51</v>
      </c>
      <c r="BH77" s="23">
        <v>94</v>
      </c>
      <c r="BJ77" s="23">
        <v>94</v>
      </c>
      <c r="BP77" s="23">
        <v>94</v>
      </c>
      <c r="BQ77" s="23" t="s">
        <v>96</v>
      </c>
      <c r="BR77" s="23">
        <v>94</v>
      </c>
      <c r="BS77" s="23" t="s">
        <v>96</v>
      </c>
      <c r="BT77" s="23">
        <v>94</v>
      </c>
      <c r="BU77" s="23" t="s">
        <v>96</v>
      </c>
      <c r="BV77" s="23">
        <v>94</v>
      </c>
      <c r="BW77" s="23" t="s">
        <v>96</v>
      </c>
      <c r="BX77" s="23">
        <v>94</v>
      </c>
      <c r="BY77" s="23" t="s">
        <v>96</v>
      </c>
      <c r="BZ77" s="23">
        <v>94</v>
      </c>
      <c r="CA77" s="23" t="s">
        <v>96</v>
      </c>
      <c r="CB77" s="23">
        <v>94</v>
      </c>
      <c r="CC77" s="23" t="s">
        <v>96</v>
      </c>
      <c r="CD77" s="23">
        <v>94</v>
      </c>
      <c r="CE77" s="23" t="s">
        <v>96</v>
      </c>
      <c r="CF77" s="23">
        <v>94</v>
      </c>
      <c r="CG77" s="23" t="s">
        <v>96</v>
      </c>
      <c r="CH77" s="23">
        <v>94</v>
      </c>
      <c r="CI77" s="23" t="s">
        <v>96</v>
      </c>
      <c r="CJ77" s="23">
        <v>94</v>
      </c>
      <c r="CK77" s="23" t="s">
        <v>96</v>
      </c>
      <c r="CL77" s="23">
        <v>94</v>
      </c>
      <c r="CM77" s="23" t="s">
        <v>96</v>
      </c>
      <c r="CN77" s="23">
        <v>94</v>
      </c>
      <c r="CO77" s="23" t="s">
        <v>96</v>
      </c>
      <c r="CP77" s="23">
        <v>94</v>
      </c>
      <c r="CQ77" s="23" t="s">
        <v>96</v>
      </c>
      <c r="CR77" s="23">
        <v>94</v>
      </c>
      <c r="CS77" s="23" t="s">
        <v>96</v>
      </c>
      <c r="CT77" s="23">
        <v>94</v>
      </c>
      <c r="CU77" s="23" t="s">
        <v>96</v>
      </c>
      <c r="CV77" s="23">
        <v>94</v>
      </c>
      <c r="CW77" s="23" t="s">
        <v>96</v>
      </c>
    </row>
    <row r="78" spans="1:101" x14ac:dyDescent="0.2">
      <c r="A78" s="26"/>
      <c r="G78" s="24"/>
      <c r="H78" s="24"/>
      <c r="I78" s="24"/>
      <c r="J78" s="24"/>
      <c r="K78" s="24"/>
      <c r="L78" s="24"/>
      <c r="M78" s="24"/>
      <c r="N78" s="24"/>
      <c r="BQ78" s="23" t="s">
        <v>96</v>
      </c>
      <c r="BS78" s="23" t="s">
        <v>96</v>
      </c>
      <c r="BU78" s="23" t="s">
        <v>96</v>
      </c>
      <c r="BW78" s="23" t="s">
        <v>96</v>
      </c>
      <c r="BY78" s="23" t="s">
        <v>96</v>
      </c>
      <c r="CA78" s="23" t="s">
        <v>96</v>
      </c>
      <c r="CC78" s="23" t="s">
        <v>96</v>
      </c>
      <c r="CE78" s="23" t="s">
        <v>96</v>
      </c>
      <c r="CG78" s="23" t="s">
        <v>96</v>
      </c>
      <c r="CI78" s="23" t="s">
        <v>96</v>
      </c>
      <c r="CK78" s="23" t="s">
        <v>96</v>
      </c>
      <c r="CM78" s="23" t="s">
        <v>96</v>
      </c>
      <c r="CO78" s="23" t="s">
        <v>96</v>
      </c>
      <c r="CQ78" s="23" t="s">
        <v>96</v>
      </c>
      <c r="CS78" s="23" t="s">
        <v>96</v>
      </c>
      <c r="CU78" s="23" t="s">
        <v>96</v>
      </c>
      <c r="CW78" s="23" t="s">
        <v>96</v>
      </c>
    </row>
    <row r="79" spans="1:101" x14ac:dyDescent="0.2">
      <c r="A79" s="27" t="s">
        <v>97</v>
      </c>
      <c r="B79" s="28"/>
      <c r="C79" s="28"/>
      <c r="D79" s="28" t="s">
        <v>80</v>
      </c>
      <c r="E79" s="28" t="s">
        <v>81</v>
      </c>
      <c r="F79" s="28" t="s">
        <v>82</v>
      </c>
      <c r="G79" s="28">
        <v>1</v>
      </c>
      <c r="H79" s="28">
        <v>2</v>
      </c>
      <c r="I79" s="28">
        <v>3</v>
      </c>
      <c r="J79" s="28">
        <v>4</v>
      </c>
      <c r="K79" s="28">
        <v>6</v>
      </c>
      <c r="L79" s="28">
        <v>7</v>
      </c>
      <c r="M79" s="28">
        <v>8</v>
      </c>
      <c r="N79" s="29">
        <v>9</v>
      </c>
      <c r="AD79" s="23">
        <v>95</v>
      </c>
      <c r="AF79" s="23">
        <v>95</v>
      </c>
      <c r="AH79" s="23">
        <v>95</v>
      </c>
      <c r="AJ79" s="23">
        <v>95</v>
      </c>
      <c r="AK79" s="23">
        <v>29</v>
      </c>
      <c r="AL79" s="23">
        <v>95</v>
      </c>
      <c r="AM79" s="23">
        <v>35</v>
      </c>
      <c r="AN79" s="23">
        <v>95</v>
      </c>
      <c r="AP79" s="23">
        <v>95</v>
      </c>
      <c r="AR79" s="23">
        <v>95</v>
      </c>
      <c r="AS79" s="23">
        <v>41</v>
      </c>
      <c r="AT79" s="23">
        <v>95</v>
      </c>
      <c r="AV79" s="23">
        <v>95</v>
      </c>
      <c r="AW79" s="23">
        <v>38</v>
      </c>
      <c r="AX79" s="23">
        <v>95</v>
      </c>
      <c r="AZ79" s="23">
        <v>95</v>
      </c>
      <c r="BA79" s="23">
        <v>45</v>
      </c>
      <c r="BB79" s="23">
        <v>95</v>
      </c>
      <c r="BD79" s="23">
        <v>95</v>
      </c>
      <c r="BF79" s="23">
        <v>95</v>
      </c>
      <c r="BG79" s="23">
        <v>52</v>
      </c>
      <c r="BH79" s="23">
        <v>95</v>
      </c>
      <c r="BJ79" s="23">
        <v>95</v>
      </c>
      <c r="BP79" s="23">
        <v>95</v>
      </c>
      <c r="BQ79" s="23" t="s">
        <v>96</v>
      </c>
      <c r="BR79" s="23">
        <v>95</v>
      </c>
      <c r="BS79" s="23" t="s">
        <v>96</v>
      </c>
      <c r="BT79" s="23">
        <v>95</v>
      </c>
      <c r="BU79" s="23" t="s">
        <v>96</v>
      </c>
      <c r="BV79" s="23">
        <v>95</v>
      </c>
      <c r="BW79" s="23" t="s">
        <v>96</v>
      </c>
      <c r="BX79" s="23">
        <v>95</v>
      </c>
      <c r="BY79" s="23" t="s">
        <v>96</v>
      </c>
      <c r="BZ79" s="23">
        <v>95</v>
      </c>
      <c r="CA79" s="23" t="s">
        <v>96</v>
      </c>
      <c r="CB79" s="23">
        <v>95</v>
      </c>
      <c r="CC79" s="23" t="s">
        <v>96</v>
      </c>
      <c r="CD79" s="23">
        <v>95</v>
      </c>
      <c r="CE79" s="23" t="s">
        <v>96</v>
      </c>
      <c r="CF79" s="23">
        <v>95</v>
      </c>
      <c r="CG79" s="23" t="s">
        <v>96</v>
      </c>
      <c r="CH79" s="23">
        <v>95</v>
      </c>
      <c r="CI79" s="23" t="s">
        <v>96</v>
      </c>
      <c r="CJ79" s="23">
        <v>95</v>
      </c>
      <c r="CK79" s="23" t="s">
        <v>96</v>
      </c>
      <c r="CL79" s="23">
        <v>95</v>
      </c>
      <c r="CM79" s="23" t="s">
        <v>96</v>
      </c>
      <c r="CN79" s="23">
        <v>95</v>
      </c>
      <c r="CO79" s="23" t="s">
        <v>96</v>
      </c>
      <c r="CP79" s="23">
        <v>95</v>
      </c>
      <c r="CQ79" s="23" t="s">
        <v>96</v>
      </c>
      <c r="CR79" s="23">
        <v>95</v>
      </c>
      <c r="CS79" s="23" t="s">
        <v>96</v>
      </c>
      <c r="CT79" s="23">
        <v>95</v>
      </c>
      <c r="CU79" s="23" t="s">
        <v>96</v>
      </c>
      <c r="CV79" s="23">
        <v>95</v>
      </c>
      <c r="CW79" s="23" t="s">
        <v>96</v>
      </c>
    </row>
    <row r="80" spans="1:101" x14ac:dyDescent="0.2">
      <c r="A80" s="30" t="s">
        <v>98</v>
      </c>
      <c r="B80" s="31"/>
      <c r="C80" s="32"/>
      <c r="D80" s="32">
        <f t="shared" ref="D80:N80" si="0">SUM(D2:D77)</f>
        <v>0</v>
      </c>
      <c r="E80" s="32">
        <f>SUM(E2:E78)</f>
        <v>0</v>
      </c>
      <c r="F80" s="32">
        <f t="shared" si="0"/>
        <v>0</v>
      </c>
      <c r="G80" s="32">
        <f t="shared" si="0"/>
        <v>0</v>
      </c>
      <c r="H80" s="32">
        <f t="shared" si="0"/>
        <v>0</v>
      </c>
      <c r="I80" s="32">
        <f t="shared" si="0"/>
        <v>0</v>
      </c>
      <c r="J80" s="32">
        <f t="shared" si="0"/>
        <v>0</v>
      </c>
      <c r="K80" s="32">
        <f t="shared" si="0"/>
        <v>0</v>
      </c>
      <c r="L80" s="32">
        <f t="shared" si="0"/>
        <v>0</v>
      </c>
      <c r="M80" s="32">
        <f t="shared" si="0"/>
        <v>0</v>
      </c>
      <c r="N80" s="33">
        <f t="shared" si="0"/>
        <v>0</v>
      </c>
      <c r="AD80" s="23">
        <v>96</v>
      </c>
      <c r="AF80" s="23">
        <v>96</v>
      </c>
      <c r="AH80" s="23">
        <v>96</v>
      </c>
      <c r="AJ80" s="23">
        <v>96</v>
      </c>
      <c r="AL80" s="23">
        <v>96</v>
      </c>
      <c r="AN80" s="23">
        <v>96</v>
      </c>
      <c r="AO80" s="23">
        <v>36</v>
      </c>
      <c r="AP80" s="23">
        <v>96</v>
      </c>
      <c r="AQ80" s="23">
        <v>43</v>
      </c>
      <c r="AR80" s="23">
        <v>96</v>
      </c>
      <c r="AS80" s="23">
        <v>42</v>
      </c>
      <c r="AT80" s="23">
        <v>96</v>
      </c>
      <c r="AU80" s="23">
        <v>41</v>
      </c>
      <c r="AV80" s="23">
        <v>96</v>
      </c>
      <c r="AX80" s="23">
        <v>96</v>
      </c>
      <c r="AZ80" s="23">
        <v>96</v>
      </c>
      <c r="BB80" s="23">
        <v>96</v>
      </c>
      <c r="BC80" s="23">
        <v>53</v>
      </c>
      <c r="BD80" s="23">
        <v>96</v>
      </c>
      <c r="BE80" s="23">
        <v>46</v>
      </c>
      <c r="BF80" s="23">
        <v>96</v>
      </c>
      <c r="BH80" s="23">
        <v>96</v>
      </c>
      <c r="BI80" s="23">
        <v>35</v>
      </c>
      <c r="BJ80" s="23">
        <v>96</v>
      </c>
      <c r="BP80" s="23">
        <v>96</v>
      </c>
      <c r="BQ80" s="23" t="s">
        <v>96</v>
      </c>
      <c r="BR80" s="23">
        <v>96</v>
      </c>
      <c r="BS80" s="23" t="s">
        <v>96</v>
      </c>
      <c r="BT80" s="23">
        <v>96</v>
      </c>
      <c r="BU80" s="23" t="s">
        <v>96</v>
      </c>
      <c r="BV80" s="23">
        <v>96</v>
      </c>
      <c r="BW80" s="23" t="s">
        <v>96</v>
      </c>
      <c r="BX80" s="23">
        <v>96</v>
      </c>
      <c r="BY80" s="23" t="s">
        <v>96</v>
      </c>
      <c r="BZ80" s="23">
        <v>96</v>
      </c>
      <c r="CA80" s="23" t="s">
        <v>96</v>
      </c>
      <c r="CB80" s="23">
        <v>96</v>
      </c>
      <c r="CC80" s="23" t="s">
        <v>96</v>
      </c>
      <c r="CD80" s="23">
        <v>96</v>
      </c>
      <c r="CE80" s="23" t="s">
        <v>96</v>
      </c>
      <c r="CF80" s="23">
        <v>96</v>
      </c>
      <c r="CG80" s="23" t="s">
        <v>96</v>
      </c>
      <c r="CH80" s="23">
        <v>96</v>
      </c>
      <c r="CI80" s="23" t="s">
        <v>96</v>
      </c>
      <c r="CJ80" s="23">
        <v>96</v>
      </c>
      <c r="CK80" s="23" t="s">
        <v>96</v>
      </c>
      <c r="CL80" s="23">
        <v>96</v>
      </c>
      <c r="CM80" s="23" t="s">
        <v>96</v>
      </c>
      <c r="CN80" s="23">
        <v>96</v>
      </c>
      <c r="CO80" s="23" t="s">
        <v>96</v>
      </c>
      <c r="CP80" s="23">
        <v>96</v>
      </c>
      <c r="CQ80" s="23" t="s">
        <v>96</v>
      </c>
      <c r="CR80" s="23">
        <v>96</v>
      </c>
      <c r="CS80" s="23" t="s">
        <v>96</v>
      </c>
      <c r="CT80" s="23">
        <v>96</v>
      </c>
      <c r="CU80" s="23" t="s">
        <v>96</v>
      </c>
      <c r="CV80" s="23">
        <v>96</v>
      </c>
      <c r="CW80" s="23" t="s">
        <v>96</v>
      </c>
    </row>
    <row r="81" spans="1:101" x14ac:dyDescent="0.2">
      <c r="A81" s="30" t="s">
        <v>99</v>
      </c>
      <c r="B81" s="31"/>
      <c r="C81" s="32"/>
      <c r="D81" s="32">
        <f>LOOKUP(D80,C90:D95)</f>
        <v>2</v>
      </c>
      <c r="E81" s="32">
        <f>LOOKUP(E80,E90:F105)</f>
        <v>2</v>
      </c>
      <c r="F81" s="32">
        <f>LOOKUP(F80,G90:H106)</f>
        <v>4</v>
      </c>
      <c r="G81" s="32">
        <f>LOOKUP(G80,I90:J106)</f>
        <v>2</v>
      </c>
      <c r="H81" s="32">
        <f>LOOKUP(H80,K90:L106)</f>
        <v>13</v>
      </c>
      <c r="I81" s="32">
        <f>LOOKUP(I80,M90:N106)</f>
        <v>10</v>
      </c>
      <c r="J81" s="32">
        <f>LOOKUP(J80,O90:P106)</f>
        <v>9</v>
      </c>
      <c r="K81" s="32">
        <f>LOOKUP(K80,Q90:R106)</f>
        <v>5</v>
      </c>
      <c r="L81" s="32">
        <f>LOOKUP(L80,S90:T106)</f>
        <v>2</v>
      </c>
      <c r="M81" s="32">
        <f>LOOKUP(M80,U90:V106)</f>
        <v>2</v>
      </c>
      <c r="N81" s="33">
        <f>LOOKUP(N80,W90:X106)</f>
        <v>8</v>
      </c>
      <c r="AD81" s="23">
        <v>97</v>
      </c>
      <c r="AF81" s="23">
        <v>97</v>
      </c>
      <c r="AH81" s="23">
        <v>97</v>
      </c>
      <c r="AJ81" s="23">
        <v>97</v>
      </c>
      <c r="AL81" s="23">
        <v>97</v>
      </c>
      <c r="AM81" s="23">
        <v>36</v>
      </c>
      <c r="AN81" s="23">
        <v>97</v>
      </c>
      <c r="AP81" s="23">
        <v>97</v>
      </c>
      <c r="AR81" s="23">
        <v>97</v>
      </c>
      <c r="AT81" s="23">
        <v>97</v>
      </c>
      <c r="AV81" s="23">
        <v>97</v>
      </c>
      <c r="AW81" s="23">
        <v>39</v>
      </c>
      <c r="AX81" s="23">
        <v>97</v>
      </c>
      <c r="AY81" s="23">
        <v>24</v>
      </c>
      <c r="AZ81" s="23">
        <v>97</v>
      </c>
      <c r="BA81" s="23">
        <v>46</v>
      </c>
      <c r="BB81" s="23">
        <v>97</v>
      </c>
      <c r="BD81" s="23">
        <v>97</v>
      </c>
      <c r="BE81" s="23">
        <v>47</v>
      </c>
      <c r="BF81" s="23">
        <v>97</v>
      </c>
      <c r="BG81" s="23">
        <v>53</v>
      </c>
      <c r="BH81" s="23">
        <v>97</v>
      </c>
      <c r="BJ81" s="23">
        <v>97</v>
      </c>
      <c r="BP81" s="23">
        <v>97</v>
      </c>
      <c r="BQ81" s="23" t="s">
        <v>96</v>
      </c>
      <c r="BR81" s="23">
        <v>97</v>
      </c>
      <c r="BS81" s="23" t="s">
        <v>96</v>
      </c>
      <c r="BT81" s="23">
        <v>97</v>
      </c>
      <c r="BU81" s="23" t="s">
        <v>96</v>
      </c>
      <c r="BV81" s="23">
        <v>97</v>
      </c>
      <c r="BW81" s="23" t="s">
        <v>96</v>
      </c>
      <c r="BX81" s="23">
        <v>97</v>
      </c>
      <c r="BY81" s="23" t="s">
        <v>96</v>
      </c>
      <c r="BZ81" s="23">
        <v>97</v>
      </c>
      <c r="CA81" s="23" t="s">
        <v>96</v>
      </c>
      <c r="CB81" s="23">
        <v>97</v>
      </c>
      <c r="CC81" s="23" t="s">
        <v>96</v>
      </c>
      <c r="CD81" s="23">
        <v>97</v>
      </c>
      <c r="CE81" s="23" t="s">
        <v>96</v>
      </c>
      <c r="CF81" s="23">
        <v>97</v>
      </c>
      <c r="CG81" s="23" t="s">
        <v>96</v>
      </c>
      <c r="CH81" s="23">
        <v>97</v>
      </c>
      <c r="CI81" s="23" t="s">
        <v>96</v>
      </c>
      <c r="CJ81" s="23">
        <v>97</v>
      </c>
      <c r="CK81" s="23" t="s">
        <v>96</v>
      </c>
      <c r="CL81" s="23">
        <v>97</v>
      </c>
      <c r="CM81" s="23" t="s">
        <v>96</v>
      </c>
      <c r="CN81" s="23">
        <v>97</v>
      </c>
      <c r="CO81" s="23" t="s">
        <v>96</v>
      </c>
      <c r="CP81" s="23">
        <v>97</v>
      </c>
      <c r="CQ81" s="23" t="s">
        <v>96</v>
      </c>
      <c r="CR81" s="23">
        <v>97</v>
      </c>
      <c r="CS81" s="23" t="s">
        <v>96</v>
      </c>
      <c r="CT81" s="23">
        <v>97</v>
      </c>
      <c r="CU81" s="23" t="s">
        <v>96</v>
      </c>
      <c r="CV81" s="23">
        <v>97</v>
      </c>
      <c r="CW81" s="23" t="s">
        <v>96</v>
      </c>
    </row>
    <row r="82" spans="1:101" x14ac:dyDescent="0.2">
      <c r="A82" s="30" t="s">
        <v>100</v>
      </c>
      <c r="B82" s="31"/>
      <c r="C82" s="32"/>
      <c r="D82" s="32"/>
      <c r="E82" s="32"/>
      <c r="F82" s="32"/>
      <c r="G82" s="32">
        <f>LOOKUP(F81,B116:C146)</f>
        <v>2</v>
      </c>
      <c r="H82" s="32"/>
      <c r="I82" s="32"/>
      <c r="J82" s="32">
        <f>LOOKUP(F81,D116:E146)</f>
        <v>2</v>
      </c>
      <c r="K82" s="32"/>
      <c r="L82" s="32">
        <f>LOOKUP(F81,B116:B146)</f>
        <v>4</v>
      </c>
      <c r="M82" s="32">
        <f>LOOKUP(F81,B116:B146)</f>
        <v>4</v>
      </c>
      <c r="N82" s="33">
        <f>LOOKUP(F81,F116:G146)</f>
        <v>1</v>
      </c>
      <c r="AD82" s="23">
        <v>98</v>
      </c>
      <c r="AF82" s="23">
        <v>98</v>
      </c>
      <c r="AH82" s="23">
        <v>98</v>
      </c>
      <c r="AJ82" s="23">
        <v>98</v>
      </c>
      <c r="AK82" s="23">
        <v>30</v>
      </c>
      <c r="AL82" s="23">
        <v>98</v>
      </c>
      <c r="AN82" s="23">
        <v>98</v>
      </c>
      <c r="AP82" s="23">
        <v>98</v>
      </c>
      <c r="AQ82" s="23">
        <v>44</v>
      </c>
      <c r="AR82" s="23">
        <v>98</v>
      </c>
      <c r="AS82" s="23">
        <v>43</v>
      </c>
      <c r="AT82" s="23">
        <v>98</v>
      </c>
      <c r="AU82" s="23">
        <v>46</v>
      </c>
      <c r="AV82" s="23">
        <v>98</v>
      </c>
      <c r="AX82" s="23">
        <v>98</v>
      </c>
      <c r="AZ82" s="23">
        <v>98</v>
      </c>
      <c r="BB82" s="23">
        <v>98</v>
      </c>
      <c r="BC82" s="23">
        <v>54</v>
      </c>
      <c r="BD82" s="23">
        <v>98</v>
      </c>
      <c r="BF82" s="23">
        <v>98</v>
      </c>
      <c r="BG82" s="23">
        <v>54</v>
      </c>
      <c r="BH82" s="23">
        <v>98</v>
      </c>
      <c r="BI82" s="23">
        <v>36</v>
      </c>
      <c r="BJ82" s="23">
        <v>98</v>
      </c>
      <c r="BP82" s="23">
        <v>98</v>
      </c>
      <c r="BQ82" s="23" t="s">
        <v>96</v>
      </c>
      <c r="BR82" s="23">
        <v>98</v>
      </c>
      <c r="BS82" s="23" t="s">
        <v>96</v>
      </c>
      <c r="BT82" s="23">
        <v>98</v>
      </c>
      <c r="BU82" s="23" t="s">
        <v>96</v>
      </c>
      <c r="BV82" s="23">
        <v>98</v>
      </c>
      <c r="BW82" s="23" t="s">
        <v>96</v>
      </c>
      <c r="BX82" s="23">
        <v>98</v>
      </c>
      <c r="BY82" s="23" t="s">
        <v>96</v>
      </c>
      <c r="BZ82" s="23">
        <v>98</v>
      </c>
      <c r="CA82" s="23" t="s">
        <v>96</v>
      </c>
      <c r="CB82" s="23">
        <v>98</v>
      </c>
      <c r="CC82" s="23" t="s">
        <v>96</v>
      </c>
      <c r="CD82" s="23">
        <v>98</v>
      </c>
      <c r="CE82" s="23" t="s">
        <v>96</v>
      </c>
      <c r="CF82" s="23">
        <v>98</v>
      </c>
      <c r="CG82" s="23" t="s">
        <v>96</v>
      </c>
      <c r="CH82" s="23">
        <v>98</v>
      </c>
      <c r="CI82" s="23" t="s">
        <v>96</v>
      </c>
      <c r="CJ82" s="23">
        <v>98</v>
      </c>
      <c r="CK82" s="23" t="s">
        <v>96</v>
      </c>
      <c r="CL82" s="23">
        <v>98</v>
      </c>
      <c r="CM82" s="23" t="s">
        <v>96</v>
      </c>
      <c r="CN82" s="23">
        <v>98</v>
      </c>
      <c r="CO82" s="23" t="s">
        <v>96</v>
      </c>
      <c r="CP82" s="23">
        <v>98</v>
      </c>
      <c r="CQ82" s="23" t="s">
        <v>96</v>
      </c>
      <c r="CR82" s="23">
        <v>98</v>
      </c>
      <c r="CS82" s="23" t="s">
        <v>96</v>
      </c>
      <c r="CT82" s="23">
        <v>98</v>
      </c>
      <c r="CU82" s="23" t="s">
        <v>96</v>
      </c>
      <c r="CV82" s="23">
        <v>98</v>
      </c>
      <c r="CW82" s="23" t="s">
        <v>96</v>
      </c>
    </row>
    <row r="83" spans="1:101" x14ac:dyDescent="0.2">
      <c r="A83" s="30" t="s">
        <v>101</v>
      </c>
      <c r="B83" s="31"/>
      <c r="C83" s="32"/>
      <c r="D83" s="32">
        <f>SUM(D81:D82)</f>
        <v>2</v>
      </c>
      <c r="E83" s="32">
        <f t="shared" ref="E83:N83" si="1">SUM(E81:E82)</f>
        <v>2</v>
      </c>
      <c r="F83" s="32">
        <f t="shared" si="1"/>
        <v>4</v>
      </c>
      <c r="G83" s="32">
        <f t="shared" si="1"/>
        <v>4</v>
      </c>
      <c r="H83" s="32">
        <f t="shared" si="1"/>
        <v>13</v>
      </c>
      <c r="I83" s="32">
        <f t="shared" si="1"/>
        <v>10</v>
      </c>
      <c r="J83" s="32">
        <f t="shared" si="1"/>
        <v>11</v>
      </c>
      <c r="K83" s="32">
        <f t="shared" si="1"/>
        <v>5</v>
      </c>
      <c r="L83" s="32">
        <f t="shared" si="1"/>
        <v>6</v>
      </c>
      <c r="M83" s="32">
        <f t="shared" si="1"/>
        <v>6</v>
      </c>
      <c r="N83" s="33">
        <f t="shared" si="1"/>
        <v>9</v>
      </c>
      <c r="AD83" s="23">
        <v>99</v>
      </c>
      <c r="AF83" s="23">
        <v>99</v>
      </c>
      <c r="AH83" s="23">
        <v>99</v>
      </c>
      <c r="AJ83" s="23">
        <v>99</v>
      </c>
      <c r="AL83" s="23">
        <v>99</v>
      </c>
      <c r="AM83" s="23">
        <v>37</v>
      </c>
      <c r="AN83" s="23">
        <v>99</v>
      </c>
      <c r="AO83" s="23">
        <v>37</v>
      </c>
      <c r="AP83" s="23">
        <v>99</v>
      </c>
      <c r="AR83" s="23">
        <v>99</v>
      </c>
      <c r="AT83" s="23">
        <v>99</v>
      </c>
      <c r="AV83" s="23">
        <v>99</v>
      </c>
      <c r="AX83" s="23">
        <v>99</v>
      </c>
      <c r="AZ83" s="23">
        <v>99</v>
      </c>
      <c r="BA83" s="23">
        <v>47</v>
      </c>
      <c r="BB83" s="23">
        <v>99</v>
      </c>
      <c r="BC83" s="23">
        <v>55</v>
      </c>
      <c r="BD83" s="23">
        <v>99</v>
      </c>
      <c r="BE83" s="23">
        <v>48</v>
      </c>
      <c r="BF83" s="23">
        <v>99</v>
      </c>
      <c r="BH83" s="23">
        <v>99</v>
      </c>
      <c r="BJ83" s="23">
        <v>99</v>
      </c>
      <c r="BP83" s="23">
        <v>99</v>
      </c>
      <c r="BQ83" s="23" t="s">
        <v>96</v>
      </c>
      <c r="BR83" s="23">
        <v>99</v>
      </c>
      <c r="BS83" s="23" t="s">
        <v>96</v>
      </c>
      <c r="BT83" s="23">
        <v>99</v>
      </c>
      <c r="BU83" s="23" t="s">
        <v>96</v>
      </c>
      <c r="BV83" s="23">
        <v>99</v>
      </c>
      <c r="BW83" s="23" t="s">
        <v>96</v>
      </c>
      <c r="BX83" s="23">
        <v>99</v>
      </c>
      <c r="BY83" s="23" t="s">
        <v>96</v>
      </c>
      <c r="BZ83" s="23">
        <v>99</v>
      </c>
      <c r="CA83" s="23" t="s">
        <v>96</v>
      </c>
      <c r="CB83" s="23">
        <v>99</v>
      </c>
      <c r="CC83" s="23" t="s">
        <v>96</v>
      </c>
      <c r="CD83" s="23">
        <v>99</v>
      </c>
      <c r="CE83" s="23" t="s">
        <v>96</v>
      </c>
      <c r="CF83" s="23">
        <v>99</v>
      </c>
      <c r="CG83" s="23" t="s">
        <v>96</v>
      </c>
      <c r="CH83" s="23">
        <v>99</v>
      </c>
      <c r="CI83" s="23" t="s">
        <v>96</v>
      </c>
      <c r="CJ83" s="23">
        <v>99</v>
      </c>
      <c r="CK83" s="23" t="s">
        <v>96</v>
      </c>
      <c r="CL83" s="23">
        <v>99</v>
      </c>
      <c r="CM83" s="23" t="s">
        <v>96</v>
      </c>
      <c r="CN83" s="23">
        <v>99</v>
      </c>
      <c r="CO83" s="23" t="s">
        <v>96</v>
      </c>
      <c r="CP83" s="23">
        <v>99</v>
      </c>
      <c r="CQ83" s="23" t="s">
        <v>96</v>
      </c>
      <c r="CR83" s="23">
        <v>99</v>
      </c>
      <c r="CS83" s="23" t="s">
        <v>96</v>
      </c>
      <c r="CT83" s="23">
        <v>99</v>
      </c>
      <c r="CU83" s="23" t="s">
        <v>96</v>
      </c>
      <c r="CV83" s="23">
        <v>99</v>
      </c>
      <c r="CW83" s="23" t="s">
        <v>96</v>
      </c>
    </row>
    <row r="84" spans="1:101" x14ac:dyDescent="0.2">
      <c r="A84" s="30" t="s">
        <v>102</v>
      </c>
      <c r="B84" s="31"/>
      <c r="C84" s="34">
        <v>0</v>
      </c>
      <c r="D84" s="32" t="e">
        <f>LOOKUP(D$83,AE3:AF123)</f>
        <v>#N/A</v>
      </c>
      <c r="E84" s="32" t="e">
        <f>LOOKUP(E$83,AG3:AH123)</f>
        <v>#N/A</v>
      </c>
      <c r="F84" s="32">
        <f>LOOKUP(F$83,AI3:AJ123)</f>
        <v>35</v>
      </c>
      <c r="G84" s="32">
        <f>LOOKUP(G$83,AK3:AL123)</f>
        <v>31</v>
      </c>
      <c r="H84" s="32">
        <f>LOOKUP(H$83,AO3:AP123)</f>
        <v>41</v>
      </c>
      <c r="I84" s="32">
        <f>LOOKUP(I$83,AS3:AT123)</f>
        <v>38</v>
      </c>
      <c r="J84" s="32">
        <f>LOOKUP(J$83,AW3:AX123)</f>
        <v>32</v>
      </c>
      <c r="K84" s="32">
        <f>LOOKUP(K$83,AY3:AZ123)</f>
        <v>41</v>
      </c>
      <c r="L84" s="32" t="e">
        <f>LOOKUP(L$83,BA3:BB123)</f>
        <v>#N/A</v>
      </c>
      <c r="M84" s="32" t="e">
        <f>LOOKUP(M$83,BE3:BF123)</f>
        <v>#N/A</v>
      </c>
      <c r="N84" s="33">
        <f>LOOKUP(N$83,BI3:BJ123)</f>
        <v>30</v>
      </c>
      <c r="AD84" s="23">
        <v>100</v>
      </c>
      <c r="AF84" s="23">
        <v>100</v>
      </c>
      <c r="AH84" s="23">
        <v>100</v>
      </c>
      <c r="AJ84" s="23">
        <v>100</v>
      </c>
      <c r="AK84" s="23">
        <v>31</v>
      </c>
      <c r="AL84" s="23">
        <v>100</v>
      </c>
      <c r="AN84" s="23">
        <v>100</v>
      </c>
      <c r="AP84" s="23">
        <v>100</v>
      </c>
      <c r="AQ84" s="23">
        <v>45</v>
      </c>
      <c r="AR84" s="23">
        <v>100</v>
      </c>
      <c r="AS84" s="23">
        <v>44</v>
      </c>
      <c r="AT84" s="23">
        <v>100</v>
      </c>
      <c r="AU84" s="23">
        <v>47</v>
      </c>
      <c r="AV84" s="23">
        <v>100</v>
      </c>
      <c r="AW84" s="23">
        <v>40</v>
      </c>
      <c r="AX84" s="23">
        <v>100</v>
      </c>
      <c r="AY84" s="23">
        <v>25</v>
      </c>
      <c r="AZ84" s="23">
        <v>100</v>
      </c>
      <c r="BB84" s="23">
        <v>100</v>
      </c>
      <c r="BD84" s="23">
        <v>100</v>
      </c>
      <c r="BF84" s="23">
        <v>100</v>
      </c>
      <c r="BG84" s="23">
        <v>55</v>
      </c>
      <c r="BH84" s="23">
        <v>100</v>
      </c>
      <c r="BJ84" s="23">
        <v>100</v>
      </c>
      <c r="BP84" s="23">
        <v>100</v>
      </c>
      <c r="BQ84" s="23" t="s">
        <v>96</v>
      </c>
      <c r="BR84" s="23">
        <v>100</v>
      </c>
      <c r="BS84" s="23" t="s">
        <v>96</v>
      </c>
      <c r="BT84" s="23">
        <v>100</v>
      </c>
      <c r="BU84" s="23" t="s">
        <v>96</v>
      </c>
      <c r="BV84" s="23">
        <v>100</v>
      </c>
      <c r="BW84" s="23" t="s">
        <v>96</v>
      </c>
      <c r="BX84" s="23">
        <v>100</v>
      </c>
      <c r="BY84" s="23" t="s">
        <v>96</v>
      </c>
      <c r="BZ84" s="23">
        <v>100</v>
      </c>
      <c r="CA84" s="23" t="s">
        <v>96</v>
      </c>
      <c r="CB84" s="23">
        <v>100</v>
      </c>
      <c r="CC84" s="23" t="s">
        <v>96</v>
      </c>
      <c r="CD84" s="23">
        <v>100</v>
      </c>
      <c r="CE84" s="23" t="s">
        <v>96</v>
      </c>
      <c r="CF84" s="23">
        <v>100</v>
      </c>
      <c r="CG84" s="23" t="s">
        <v>96</v>
      </c>
      <c r="CH84" s="23">
        <v>100</v>
      </c>
      <c r="CI84" s="23" t="s">
        <v>96</v>
      </c>
      <c r="CJ84" s="23">
        <v>100</v>
      </c>
      <c r="CK84" s="23" t="s">
        <v>96</v>
      </c>
      <c r="CL84" s="23">
        <v>100</v>
      </c>
      <c r="CM84" s="23" t="s">
        <v>96</v>
      </c>
      <c r="CN84" s="23">
        <v>100</v>
      </c>
      <c r="CO84" s="23" t="s">
        <v>96</v>
      </c>
      <c r="CP84" s="23">
        <v>100</v>
      </c>
      <c r="CQ84" s="23" t="s">
        <v>96</v>
      </c>
      <c r="CR84" s="23">
        <v>100</v>
      </c>
      <c r="CS84" s="23" t="s">
        <v>96</v>
      </c>
      <c r="CT84" s="23">
        <v>100</v>
      </c>
      <c r="CU84" s="23" t="s">
        <v>96</v>
      </c>
      <c r="CV84" s="23">
        <v>100</v>
      </c>
      <c r="CW84" s="23" t="s">
        <v>96</v>
      </c>
    </row>
    <row r="85" spans="1:101" x14ac:dyDescent="0.2">
      <c r="A85" s="35"/>
      <c r="B85" s="36"/>
      <c r="C85" s="37">
        <v>1</v>
      </c>
      <c r="D85" s="38" t="e">
        <f>LOOKUP(D$83,AE3:AF123)</f>
        <v>#N/A</v>
      </c>
      <c r="E85" s="38" t="e">
        <f>LOOKUP(E$83,AG3:AH123)</f>
        <v>#N/A</v>
      </c>
      <c r="F85" s="38">
        <f>LOOKUP(F$83,AI3:AJ123)</f>
        <v>35</v>
      </c>
      <c r="G85" s="38">
        <f>LOOKUP(G$83,AM3:AN123)</f>
        <v>31</v>
      </c>
      <c r="H85" s="38">
        <f>LOOKUP(H$83,AQ3:AR123)</f>
        <v>38</v>
      </c>
      <c r="I85" s="38">
        <f>LOOKUP(I$83,AU3:AV123)</f>
        <v>34</v>
      </c>
      <c r="J85" s="38">
        <f>LOOKUP(J$83,AW3:AX123)</f>
        <v>32</v>
      </c>
      <c r="K85" s="38">
        <f>LOOKUP(K$83,AY3:AZ123)</f>
        <v>41</v>
      </c>
      <c r="L85" s="38" t="e">
        <f>LOOKUP(L$83,BC3:BD123)</f>
        <v>#N/A</v>
      </c>
      <c r="M85" s="38">
        <f>LOOKUP(M$83,BG3:BH123)</f>
        <v>24</v>
      </c>
      <c r="N85" s="39">
        <f>LOOKUP(N$83,BI3:BJ123)</f>
        <v>30</v>
      </c>
      <c r="AD85" s="23">
        <v>101</v>
      </c>
      <c r="AF85" s="23">
        <v>101</v>
      </c>
      <c r="AH85" s="23">
        <v>101</v>
      </c>
      <c r="AJ85" s="23">
        <v>101</v>
      </c>
      <c r="AL85" s="23">
        <v>101</v>
      </c>
      <c r="AM85" s="23">
        <v>38</v>
      </c>
      <c r="AN85" s="23">
        <v>101</v>
      </c>
      <c r="AO85" s="23">
        <v>38</v>
      </c>
      <c r="AP85" s="23">
        <v>101</v>
      </c>
      <c r="AR85" s="23">
        <v>101</v>
      </c>
      <c r="AT85" s="23">
        <v>101</v>
      </c>
      <c r="AU85" s="23">
        <v>48</v>
      </c>
      <c r="AV85" s="23">
        <v>101</v>
      </c>
      <c r="AX85" s="23">
        <v>101</v>
      </c>
      <c r="AZ85" s="23">
        <v>101</v>
      </c>
      <c r="BA85" s="23">
        <v>48</v>
      </c>
      <c r="BB85" s="23">
        <v>101</v>
      </c>
      <c r="BC85" s="23">
        <v>56</v>
      </c>
      <c r="BD85" s="23">
        <v>101</v>
      </c>
      <c r="BE85" s="23">
        <v>49</v>
      </c>
      <c r="BF85" s="23">
        <v>101</v>
      </c>
      <c r="BG85" s="23">
        <v>56</v>
      </c>
      <c r="BH85" s="23">
        <v>101</v>
      </c>
      <c r="BI85" s="23">
        <v>37</v>
      </c>
      <c r="BJ85" s="23">
        <v>101</v>
      </c>
      <c r="BP85" s="23">
        <v>101</v>
      </c>
      <c r="BQ85" s="23" t="s">
        <v>96</v>
      </c>
      <c r="BR85" s="23">
        <v>101</v>
      </c>
      <c r="BS85" s="23" t="s">
        <v>96</v>
      </c>
      <c r="BT85" s="23">
        <v>101</v>
      </c>
      <c r="BU85" s="23" t="s">
        <v>96</v>
      </c>
      <c r="BV85" s="23">
        <v>101</v>
      </c>
      <c r="BW85" s="23" t="s">
        <v>96</v>
      </c>
      <c r="BX85" s="23">
        <v>101</v>
      </c>
      <c r="BY85" s="23" t="s">
        <v>96</v>
      </c>
      <c r="BZ85" s="23">
        <v>101</v>
      </c>
      <c r="CA85" s="23" t="s">
        <v>96</v>
      </c>
      <c r="CB85" s="23">
        <v>101</v>
      </c>
      <c r="CC85" s="23" t="s">
        <v>96</v>
      </c>
      <c r="CD85" s="23">
        <v>101</v>
      </c>
      <c r="CE85" s="23" t="s">
        <v>96</v>
      </c>
      <c r="CF85" s="23">
        <v>101</v>
      </c>
      <c r="CG85" s="23" t="s">
        <v>96</v>
      </c>
      <c r="CH85" s="23">
        <v>101</v>
      </c>
      <c r="CI85" s="23" t="s">
        <v>96</v>
      </c>
      <c r="CJ85" s="23">
        <v>101</v>
      </c>
      <c r="CK85" s="23" t="s">
        <v>96</v>
      </c>
      <c r="CL85" s="23">
        <v>101</v>
      </c>
      <c r="CM85" s="23" t="s">
        <v>96</v>
      </c>
      <c r="CN85" s="23">
        <v>101</v>
      </c>
      <c r="CO85" s="23" t="s">
        <v>96</v>
      </c>
      <c r="CP85" s="23">
        <v>101</v>
      </c>
      <c r="CQ85" s="23" t="s">
        <v>96</v>
      </c>
      <c r="CR85" s="23">
        <v>101</v>
      </c>
      <c r="CS85" s="23" t="s">
        <v>96</v>
      </c>
      <c r="CT85" s="23">
        <v>101</v>
      </c>
      <c r="CU85" s="23" t="s">
        <v>96</v>
      </c>
      <c r="CV85" s="23">
        <v>101</v>
      </c>
      <c r="CW85" s="23" t="s">
        <v>96</v>
      </c>
    </row>
    <row r="86" spans="1:101" x14ac:dyDescent="0.2">
      <c r="A86" s="40"/>
      <c r="B86" s="23"/>
      <c r="G86" s="24"/>
      <c r="H86" s="24"/>
      <c r="I86" s="24"/>
      <c r="J86" s="24"/>
      <c r="K86" s="24"/>
      <c r="L86" s="24"/>
      <c r="M86" s="24"/>
      <c r="N86" s="24"/>
      <c r="T86" s="23">
        <f>COUNTIF(D88:N88,D88)</f>
        <v>4</v>
      </c>
      <c r="AD86" s="23">
        <v>102</v>
      </c>
      <c r="AF86" s="23">
        <v>102</v>
      </c>
      <c r="AH86" s="23">
        <v>102</v>
      </c>
      <c r="AJ86" s="23">
        <v>102</v>
      </c>
      <c r="AL86" s="23">
        <v>102</v>
      </c>
      <c r="AN86" s="23">
        <v>102</v>
      </c>
      <c r="AP86" s="23">
        <v>102</v>
      </c>
      <c r="AQ86" s="23">
        <v>46</v>
      </c>
      <c r="AR86" s="23">
        <v>102</v>
      </c>
      <c r="AS86" s="23">
        <v>45</v>
      </c>
      <c r="AT86" s="23">
        <v>102</v>
      </c>
      <c r="AV86" s="23">
        <v>102</v>
      </c>
      <c r="AW86" s="23">
        <v>41</v>
      </c>
      <c r="AX86" s="23">
        <v>102</v>
      </c>
      <c r="AY86" s="23">
        <v>26</v>
      </c>
      <c r="AZ86" s="23">
        <v>102</v>
      </c>
      <c r="BB86" s="23">
        <v>102</v>
      </c>
      <c r="BC86" s="23">
        <v>57</v>
      </c>
      <c r="BD86" s="23">
        <v>102</v>
      </c>
      <c r="BF86" s="23">
        <v>102</v>
      </c>
      <c r="BH86" s="23">
        <v>102</v>
      </c>
      <c r="BJ86" s="23">
        <v>102</v>
      </c>
      <c r="BP86" s="23">
        <v>102</v>
      </c>
      <c r="BQ86" s="23" t="s">
        <v>96</v>
      </c>
      <c r="BR86" s="23">
        <v>102</v>
      </c>
      <c r="BS86" s="23" t="s">
        <v>96</v>
      </c>
      <c r="BT86" s="23">
        <v>102</v>
      </c>
      <c r="BU86" s="23" t="s">
        <v>96</v>
      </c>
      <c r="BV86" s="23">
        <v>102</v>
      </c>
      <c r="BW86" s="23" t="s">
        <v>96</v>
      </c>
      <c r="BX86" s="23">
        <v>102</v>
      </c>
      <c r="BY86" s="23" t="s">
        <v>96</v>
      </c>
      <c r="BZ86" s="23">
        <v>102</v>
      </c>
      <c r="CA86" s="23" t="s">
        <v>96</v>
      </c>
      <c r="CB86" s="23">
        <v>102</v>
      </c>
      <c r="CC86" s="23" t="s">
        <v>96</v>
      </c>
      <c r="CD86" s="23">
        <v>102</v>
      </c>
      <c r="CE86" s="23" t="s">
        <v>96</v>
      </c>
      <c r="CF86" s="23">
        <v>102</v>
      </c>
      <c r="CG86" s="23" t="s">
        <v>96</v>
      </c>
      <c r="CH86" s="23">
        <v>102</v>
      </c>
      <c r="CI86" s="23" t="s">
        <v>96</v>
      </c>
      <c r="CJ86" s="23">
        <v>102</v>
      </c>
      <c r="CK86" s="23" t="s">
        <v>96</v>
      </c>
      <c r="CL86" s="23">
        <v>102</v>
      </c>
      <c r="CM86" s="23" t="s">
        <v>96</v>
      </c>
      <c r="CN86" s="23">
        <v>102</v>
      </c>
      <c r="CO86" s="23" t="s">
        <v>96</v>
      </c>
      <c r="CP86" s="23">
        <v>102</v>
      </c>
      <c r="CQ86" s="23" t="s">
        <v>96</v>
      </c>
      <c r="CR86" s="23">
        <v>102</v>
      </c>
      <c r="CS86" s="23" t="s">
        <v>96</v>
      </c>
      <c r="CT86" s="23">
        <v>102</v>
      </c>
      <c r="CU86" s="23" t="s">
        <v>96</v>
      </c>
      <c r="CV86" s="23">
        <v>102</v>
      </c>
      <c r="CW86" s="23" t="s">
        <v>96</v>
      </c>
    </row>
    <row r="87" spans="1:101" x14ac:dyDescent="0.2">
      <c r="A87" s="40" t="s">
        <v>103</v>
      </c>
      <c r="B87" s="41">
        <f>SUM(INGRESO!C79)</f>
        <v>0</v>
      </c>
      <c r="C87" s="25" t="s">
        <v>104</v>
      </c>
      <c r="D87" s="24" t="e">
        <f>LOOKUP(B87,C84:D85)</f>
        <v>#N/A</v>
      </c>
      <c r="E87" s="24" t="e">
        <f>LOOKUP(B87,C84:C85,E84:E85)</f>
        <v>#N/A</v>
      </c>
      <c r="F87" s="24">
        <f>LOOKUP(B87,C84:C85,F84:F85)</f>
        <v>35</v>
      </c>
      <c r="G87" s="24">
        <f>LOOKUP(B87,C84:C85,G84:G85)</f>
        <v>31</v>
      </c>
      <c r="H87" s="24">
        <f>LOOKUP(B87,C84:C85,H84:H85)</f>
        <v>41</v>
      </c>
      <c r="I87" s="24">
        <f>LOOKUP(B87,C84:C85,I84:I85)</f>
        <v>38</v>
      </c>
      <c r="J87" s="24">
        <f>LOOKUP(B87,C84:C85,J84:J85)</f>
        <v>32</v>
      </c>
      <c r="K87" s="24">
        <f>LOOKUP(B87,C84:C85,K84:K85)</f>
        <v>41</v>
      </c>
      <c r="L87" s="24" t="e">
        <f>LOOKUP(B87,C84:C85,L84:L85)</f>
        <v>#N/A</v>
      </c>
      <c r="M87" s="24" t="e">
        <f>LOOKUP(B87,C84:C85,M84:M85)</f>
        <v>#N/A</v>
      </c>
      <c r="N87" s="24">
        <f>LOOKUP(B87,C84:C85,N84:N85)</f>
        <v>30</v>
      </c>
      <c r="AD87" s="23">
        <v>103</v>
      </c>
      <c r="AF87" s="23">
        <v>103</v>
      </c>
      <c r="AH87" s="23">
        <v>103</v>
      </c>
      <c r="AJ87" s="23">
        <v>103</v>
      </c>
      <c r="AK87" s="23">
        <v>32</v>
      </c>
      <c r="AL87" s="23">
        <v>103</v>
      </c>
      <c r="AM87" s="23">
        <v>39</v>
      </c>
      <c r="AN87" s="23">
        <v>103</v>
      </c>
      <c r="AP87" s="23">
        <v>103</v>
      </c>
      <c r="AQ87" s="23">
        <v>47</v>
      </c>
      <c r="AR87" s="23">
        <v>103</v>
      </c>
      <c r="AT87" s="23">
        <v>103</v>
      </c>
      <c r="AU87" s="23">
        <v>49</v>
      </c>
      <c r="AV87" s="23">
        <v>103</v>
      </c>
      <c r="AX87" s="23">
        <v>103</v>
      </c>
      <c r="AZ87" s="23">
        <v>103</v>
      </c>
      <c r="BA87" s="23">
        <v>49</v>
      </c>
      <c r="BB87" s="23">
        <v>103</v>
      </c>
      <c r="BD87" s="23">
        <v>103</v>
      </c>
      <c r="BE87" s="23">
        <v>50</v>
      </c>
      <c r="BF87" s="23">
        <v>103</v>
      </c>
      <c r="BG87" s="23">
        <v>57</v>
      </c>
      <c r="BH87" s="23">
        <v>103</v>
      </c>
      <c r="BI87" s="23">
        <v>38</v>
      </c>
      <c r="BJ87" s="23">
        <v>103</v>
      </c>
      <c r="BP87" s="23">
        <v>103</v>
      </c>
      <c r="BQ87" s="23" t="s">
        <v>96</v>
      </c>
      <c r="BR87" s="23">
        <v>103</v>
      </c>
      <c r="BS87" s="23" t="s">
        <v>96</v>
      </c>
      <c r="BT87" s="23">
        <v>103</v>
      </c>
      <c r="BU87" s="23" t="s">
        <v>96</v>
      </c>
      <c r="BV87" s="23">
        <v>103</v>
      </c>
      <c r="BW87" s="23" t="s">
        <v>96</v>
      </c>
      <c r="BX87" s="23">
        <v>103</v>
      </c>
      <c r="BY87" s="23" t="s">
        <v>96</v>
      </c>
      <c r="BZ87" s="23">
        <v>103</v>
      </c>
      <c r="CA87" s="23" t="s">
        <v>96</v>
      </c>
      <c r="CB87" s="23">
        <v>103</v>
      </c>
      <c r="CC87" s="23" t="s">
        <v>96</v>
      </c>
      <c r="CD87" s="23">
        <v>103</v>
      </c>
      <c r="CE87" s="23" t="s">
        <v>96</v>
      </c>
      <c r="CF87" s="23">
        <v>103</v>
      </c>
      <c r="CG87" s="23" t="s">
        <v>96</v>
      </c>
      <c r="CH87" s="23">
        <v>103</v>
      </c>
      <c r="CI87" s="23" t="s">
        <v>96</v>
      </c>
      <c r="CJ87" s="23">
        <v>103</v>
      </c>
      <c r="CK87" s="23" t="s">
        <v>96</v>
      </c>
      <c r="CL87" s="23">
        <v>103</v>
      </c>
      <c r="CM87" s="23" t="s">
        <v>96</v>
      </c>
      <c r="CN87" s="23">
        <v>103</v>
      </c>
      <c r="CO87" s="23" t="s">
        <v>96</v>
      </c>
      <c r="CP87" s="23">
        <v>103</v>
      </c>
      <c r="CQ87" s="23" t="s">
        <v>96</v>
      </c>
      <c r="CR87" s="23">
        <v>103</v>
      </c>
      <c r="CS87" s="23" t="s">
        <v>96</v>
      </c>
      <c r="CT87" s="23">
        <v>103</v>
      </c>
      <c r="CU87" s="23" t="s">
        <v>96</v>
      </c>
      <c r="CV87" s="23">
        <v>103</v>
      </c>
      <c r="CW87" s="23" t="s">
        <v>96</v>
      </c>
    </row>
    <row r="88" spans="1:101" x14ac:dyDescent="0.2">
      <c r="D88" s="42" t="e">
        <f>LOOKUP(D87,BP3:BQ122)</f>
        <v>#N/A</v>
      </c>
      <c r="E88" s="42" t="e">
        <f>LOOKUP(E87,BR3:BS122)</f>
        <v>#N/A</v>
      </c>
      <c r="F88" s="42" t="str">
        <f>LOOKUP(F87,BT3:BU122)</f>
        <v>BAJA</v>
      </c>
      <c r="G88" s="42" t="str">
        <f>LOOKUP(G87,BV3:BW122)</f>
        <v>BAJA</v>
      </c>
      <c r="H88" s="42" t="str">
        <f>LOOKUP(H87,BX3:BY122)</f>
        <v>BAJA</v>
      </c>
      <c r="I88" s="42" t="str">
        <f>LOOKUP(I87,BZ3:CA122)</f>
        <v>BAJA</v>
      </c>
      <c r="J88" s="42" t="str">
        <f>LOOKUP(J87,CH3:CI122)</f>
        <v>BAJA</v>
      </c>
      <c r="K88" s="42" t="str">
        <f>LOOKUP(K87,CJ3:CK122)</f>
        <v>BAJA</v>
      </c>
      <c r="L88" s="42" t="e">
        <f>LOOKUP(L87,CL3:CM122)</f>
        <v>#N/A</v>
      </c>
      <c r="M88" s="42" t="e">
        <f>LOOKUP(M87,CP3:CQ122)</f>
        <v>#N/A</v>
      </c>
      <c r="N88" s="42" t="str">
        <f>LOOKUP(N87,CT3:CU122)</f>
        <v>BAJA</v>
      </c>
      <c r="AD88" s="25">
        <v>104</v>
      </c>
      <c r="AF88" s="25">
        <v>104</v>
      </c>
      <c r="AH88" s="25">
        <v>104</v>
      </c>
      <c r="AJ88" s="25">
        <v>104</v>
      </c>
      <c r="AL88" s="25">
        <v>104</v>
      </c>
      <c r="AN88" s="25">
        <v>104</v>
      </c>
      <c r="AO88" s="23">
        <v>39</v>
      </c>
      <c r="AP88" s="25">
        <v>104</v>
      </c>
      <c r="AR88" s="25">
        <v>104</v>
      </c>
      <c r="AS88" s="23">
        <v>46</v>
      </c>
      <c r="AT88" s="25">
        <v>104</v>
      </c>
      <c r="AV88" s="25">
        <v>104</v>
      </c>
      <c r="AW88" s="23">
        <v>42</v>
      </c>
      <c r="AX88" s="25">
        <v>104</v>
      </c>
      <c r="AZ88" s="25">
        <v>104</v>
      </c>
      <c r="BB88" s="25">
        <v>104</v>
      </c>
      <c r="BC88" s="23">
        <v>58</v>
      </c>
      <c r="BD88" s="25">
        <v>104</v>
      </c>
      <c r="BF88" s="25">
        <v>104</v>
      </c>
      <c r="BG88" s="23">
        <v>58</v>
      </c>
      <c r="BH88" s="25">
        <v>104</v>
      </c>
      <c r="BJ88" s="25">
        <v>104</v>
      </c>
      <c r="BP88" s="25">
        <v>104</v>
      </c>
      <c r="BQ88" s="23" t="s">
        <v>96</v>
      </c>
      <c r="BR88" s="25">
        <v>104</v>
      </c>
      <c r="BS88" s="23" t="s">
        <v>96</v>
      </c>
      <c r="BT88" s="25">
        <v>104</v>
      </c>
      <c r="BU88" s="23" t="s">
        <v>96</v>
      </c>
      <c r="BV88" s="25">
        <v>104</v>
      </c>
      <c r="BW88" s="23" t="s">
        <v>96</v>
      </c>
      <c r="BX88" s="25">
        <v>104</v>
      </c>
      <c r="BY88" s="23" t="s">
        <v>96</v>
      </c>
      <c r="BZ88" s="25">
        <v>104</v>
      </c>
      <c r="CA88" s="23" t="s">
        <v>96</v>
      </c>
      <c r="CB88" s="25">
        <v>104</v>
      </c>
      <c r="CC88" s="23" t="s">
        <v>96</v>
      </c>
      <c r="CD88" s="25">
        <v>104</v>
      </c>
      <c r="CE88" s="23" t="s">
        <v>96</v>
      </c>
      <c r="CF88" s="25">
        <v>104</v>
      </c>
      <c r="CG88" s="23" t="s">
        <v>96</v>
      </c>
      <c r="CH88" s="25">
        <v>104</v>
      </c>
      <c r="CI88" s="23" t="s">
        <v>96</v>
      </c>
      <c r="CJ88" s="25">
        <v>104</v>
      </c>
      <c r="CK88" s="23" t="s">
        <v>96</v>
      </c>
      <c r="CL88" s="25">
        <v>104</v>
      </c>
      <c r="CM88" s="23" t="s">
        <v>96</v>
      </c>
      <c r="CN88" s="25">
        <v>104</v>
      </c>
      <c r="CO88" s="23" t="s">
        <v>96</v>
      </c>
      <c r="CP88" s="25">
        <v>104</v>
      </c>
      <c r="CQ88" s="23" t="s">
        <v>96</v>
      </c>
      <c r="CR88" s="25">
        <v>104</v>
      </c>
      <c r="CS88" s="23" t="s">
        <v>96</v>
      </c>
      <c r="CT88" s="25">
        <v>104</v>
      </c>
      <c r="CU88" s="23" t="s">
        <v>96</v>
      </c>
      <c r="CV88" s="25">
        <v>104</v>
      </c>
      <c r="CW88" s="23" t="s">
        <v>96</v>
      </c>
    </row>
    <row r="89" spans="1:101" x14ac:dyDescent="0.2">
      <c r="A89" s="23" t="s">
        <v>97</v>
      </c>
      <c r="D89" s="24" t="s">
        <v>80</v>
      </c>
      <c r="F89" s="24" t="s">
        <v>81</v>
      </c>
      <c r="G89" s="24"/>
      <c r="H89" s="24" t="s">
        <v>82</v>
      </c>
      <c r="I89" s="24"/>
      <c r="J89" s="24">
        <v>1</v>
      </c>
      <c r="K89" s="24"/>
      <c r="L89" s="24">
        <v>2</v>
      </c>
      <c r="M89" s="24"/>
      <c r="N89" s="24">
        <v>3</v>
      </c>
      <c r="O89" s="24"/>
      <c r="P89" s="24">
        <v>4</v>
      </c>
      <c r="Q89" s="24"/>
      <c r="R89" s="24">
        <v>6</v>
      </c>
      <c r="S89" s="24"/>
      <c r="T89" s="24">
        <v>7</v>
      </c>
      <c r="U89" s="24"/>
      <c r="V89" s="24">
        <v>8</v>
      </c>
      <c r="W89" s="24"/>
      <c r="X89" s="24">
        <v>9</v>
      </c>
      <c r="AD89" s="25">
        <v>105</v>
      </c>
      <c r="AF89" s="25">
        <v>105</v>
      </c>
      <c r="AH89" s="25">
        <v>105</v>
      </c>
      <c r="AJ89" s="25">
        <v>105</v>
      </c>
      <c r="AL89" s="25">
        <v>105</v>
      </c>
      <c r="AM89" s="23">
        <v>40</v>
      </c>
      <c r="AN89" s="25">
        <v>105</v>
      </c>
      <c r="AP89" s="25">
        <v>105</v>
      </c>
      <c r="AQ89" s="23">
        <v>48</v>
      </c>
      <c r="AR89" s="25">
        <v>105</v>
      </c>
      <c r="AT89" s="25">
        <v>105</v>
      </c>
      <c r="AU89" s="23">
        <v>50</v>
      </c>
      <c r="AV89" s="25">
        <v>105</v>
      </c>
      <c r="AX89" s="25">
        <v>105</v>
      </c>
      <c r="AY89" s="23">
        <v>27</v>
      </c>
      <c r="AZ89" s="25">
        <v>105</v>
      </c>
      <c r="BA89" s="23">
        <v>50</v>
      </c>
      <c r="BB89" s="25">
        <v>105</v>
      </c>
      <c r="BD89" s="25">
        <v>105</v>
      </c>
      <c r="BE89" s="23">
        <v>51</v>
      </c>
      <c r="BF89" s="25">
        <v>105</v>
      </c>
      <c r="BH89" s="25">
        <v>105</v>
      </c>
      <c r="BJ89" s="25">
        <v>105</v>
      </c>
      <c r="BP89" s="25">
        <v>105</v>
      </c>
      <c r="BQ89" s="23" t="s">
        <v>96</v>
      </c>
      <c r="BR89" s="25">
        <v>105</v>
      </c>
      <c r="BS89" s="23" t="s">
        <v>96</v>
      </c>
      <c r="BT89" s="25">
        <v>105</v>
      </c>
      <c r="BU89" s="23" t="s">
        <v>96</v>
      </c>
      <c r="BV89" s="25">
        <v>105</v>
      </c>
      <c r="BW89" s="23" t="s">
        <v>96</v>
      </c>
      <c r="BX89" s="25">
        <v>105</v>
      </c>
      <c r="BY89" s="23" t="s">
        <v>96</v>
      </c>
      <c r="BZ89" s="25">
        <v>105</v>
      </c>
      <c r="CA89" s="23" t="s">
        <v>96</v>
      </c>
      <c r="CB89" s="25">
        <v>105</v>
      </c>
      <c r="CC89" s="23" t="s">
        <v>96</v>
      </c>
      <c r="CD89" s="25">
        <v>105</v>
      </c>
      <c r="CE89" s="23" t="s">
        <v>96</v>
      </c>
      <c r="CF89" s="25">
        <v>105</v>
      </c>
      <c r="CG89" s="23" t="s">
        <v>96</v>
      </c>
      <c r="CH89" s="25">
        <v>105</v>
      </c>
      <c r="CI89" s="23" t="s">
        <v>96</v>
      </c>
      <c r="CJ89" s="25">
        <v>105</v>
      </c>
      <c r="CK89" s="23" t="s">
        <v>96</v>
      </c>
      <c r="CL89" s="25">
        <v>105</v>
      </c>
      <c r="CM89" s="23" t="s">
        <v>96</v>
      </c>
      <c r="CN89" s="25">
        <v>105</v>
      </c>
      <c r="CO89" s="23" t="s">
        <v>96</v>
      </c>
      <c r="CP89" s="25">
        <v>105</v>
      </c>
      <c r="CQ89" s="23" t="s">
        <v>96</v>
      </c>
      <c r="CR89" s="25">
        <v>105</v>
      </c>
      <c r="CS89" s="23" t="s">
        <v>96</v>
      </c>
      <c r="CT89" s="25">
        <v>105</v>
      </c>
      <c r="CU89" s="23" t="s">
        <v>96</v>
      </c>
      <c r="CV89" s="25">
        <v>105</v>
      </c>
      <c r="CW89" s="23" t="s">
        <v>96</v>
      </c>
    </row>
    <row r="90" spans="1:101" x14ac:dyDescent="0.2">
      <c r="C90" s="24">
        <v>0</v>
      </c>
      <c r="D90" s="24">
        <v>2</v>
      </c>
      <c r="E90" s="24">
        <v>0</v>
      </c>
      <c r="F90" s="24">
        <v>2</v>
      </c>
      <c r="G90" s="24">
        <v>0</v>
      </c>
      <c r="H90" s="24">
        <v>4</v>
      </c>
      <c r="I90" s="24">
        <v>0</v>
      </c>
      <c r="J90" s="24">
        <v>2</v>
      </c>
      <c r="K90" s="24">
        <v>0</v>
      </c>
      <c r="L90" s="24">
        <v>13</v>
      </c>
      <c r="M90" s="24">
        <v>0</v>
      </c>
      <c r="N90" s="24">
        <v>10</v>
      </c>
      <c r="O90" s="24">
        <v>0</v>
      </c>
      <c r="P90" s="24">
        <v>9</v>
      </c>
      <c r="Q90" s="24">
        <v>0</v>
      </c>
      <c r="R90" s="24">
        <v>5</v>
      </c>
      <c r="S90" s="24">
        <v>0</v>
      </c>
      <c r="T90" s="24">
        <v>2</v>
      </c>
      <c r="U90" s="24">
        <v>0</v>
      </c>
      <c r="V90" s="24">
        <v>2</v>
      </c>
      <c r="W90" s="24">
        <v>0</v>
      </c>
      <c r="X90" s="24">
        <v>8</v>
      </c>
      <c r="AD90" s="25">
        <v>106</v>
      </c>
      <c r="AF90" s="25">
        <v>106</v>
      </c>
      <c r="AH90" s="25">
        <v>106</v>
      </c>
      <c r="AJ90" s="25">
        <v>106</v>
      </c>
      <c r="AK90" s="23">
        <v>33</v>
      </c>
      <c r="AL90" s="25">
        <v>106</v>
      </c>
      <c r="AN90" s="25">
        <v>106</v>
      </c>
      <c r="AO90" s="23">
        <v>40</v>
      </c>
      <c r="AP90" s="25">
        <v>106</v>
      </c>
      <c r="AR90" s="25">
        <v>106</v>
      </c>
      <c r="AS90" s="23">
        <v>47</v>
      </c>
      <c r="AT90" s="25">
        <v>106</v>
      </c>
      <c r="AV90" s="25">
        <v>106</v>
      </c>
      <c r="AX90" s="25">
        <v>106</v>
      </c>
      <c r="AZ90" s="25">
        <v>106</v>
      </c>
      <c r="BB90" s="25">
        <v>106</v>
      </c>
      <c r="BC90" s="23">
        <v>59</v>
      </c>
      <c r="BD90" s="25">
        <v>106</v>
      </c>
      <c r="BF90" s="25">
        <v>106</v>
      </c>
      <c r="BG90" s="23">
        <v>59</v>
      </c>
      <c r="BH90" s="25">
        <v>106</v>
      </c>
      <c r="BI90" s="23">
        <v>39</v>
      </c>
      <c r="BJ90" s="25">
        <v>106</v>
      </c>
      <c r="BP90" s="25">
        <v>106</v>
      </c>
      <c r="BQ90" s="23" t="s">
        <v>96</v>
      </c>
      <c r="BR90" s="25">
        <v>106</v>
      </c>
      <c r="BS90" s="23" t="s">
        <v>96</v>
      </c>
      <c r="BT90" s="25">
        <v>106</v>
      </c>
      <c r="BU90" s="23" t="s">
        <v>96</v>
      </c>
      <c r="BV90" s="25">
        <v>106</v>
      </c>
      <c r="BW90" s="23" t="s">
        <v>96</v>
      </c>
      <c r="BX90" s="25">
        <v>106</v>
      </c>
      <c r="BY90" s="23" t="s">
        <v>96</v>
      </c>
      <c r="BZ90" s="25">
        <v>106</v>
      </c>
      <c r="CA90" s="23" t="s">
        <v>96</v>
      </c>
      <c r="CB90" s="25">
        <v>106</v>
      </c>
      <c r="CC90" s="23" t="s">
        <v>96</v>
      </c>
      <c r="CD90" s="25">
        <v>106</v>
      </c>
      <c r="CE90" s="23" t="s">
        <v>96</v>
      </c>
      <c r="CF90" s="25">
        <v>106</v>
      </c>
      <c r="CG90" s="23" t="s">
        <v>96</v>
      </c>
      <c r="CH90" s="25">
        <v>106</v>
      </c>
      <c r="CI90" s="23" t="s">
        <v>96</v>
      </c>
      <c r="CJ90" s="25">
        <v>106</v>
      </c>
      <c r="CK90" s="23" t="s">
        <v>96</v>
      </c>
      <c r="CL90" s="25">
        <v>106</v>
      </c>
      <c r="CM90" s="23" t="s">
        <v>96</v>
      </c>
      <c r="CN90" s="25">
        <v>106</v>
      </c>
      <c r="CO90" s="23" t="s">
        <v>96</v>
      </c>
      <c r="CP90" s="25">
        <v>106</v>
      </c>
      <c r="CQ90" s="23" t="s">
        <v>96</v>
      </c>
      <c r="CR90" s="25">
        <v>106</v>
      </c>
      <c r="CS90" s="23" t="s">
        <v>96</v>
      </c>
      <c r="CT90" s="25">
        <v>106</v>
      </c>
      <c r="CU90" s="23" t="s">
        <v>96</v>
      </c>
      <c r="CV90" s="25">
        <v>106</v>
      </c>
      <c r="CW90" s="23" t="s">
        <v>96</v>
      </c>
    </row>
    <row r="91" spans="1:101" x14ac:dyDescent="0.2">
      <c r="C91" s="24">
        <v>1</v>
      </c>
      <c r="D91" s="24">
        <v>4</v>
      </c>
      <c r="E91" s="24">
        <v>1</v>
      </c>
      <c r="F91" s="24">
        <v>4</v>
      </c>
      <c r="G91" s="24">
        <v>1</v>
      </c>
      <c r="H91" s="24">
        <v>5</v>
      </c>
      <c r="I91" s="24">
        <v>1</v>
      </c>
      <c r="J91" s="24">
        <v>4</v>
      </c>
      <c r="K91" s="24">
        <v>1</v>
      </c>
      <c r="L91" s="24">
        <v>15</v>
      </c>
      <c r="M91" s="24">
        <v>1</v>
      </c>
      <c r="N91" s="24">
        <v>11</v>
      </c>
      <c r="O91" s="24">
        <v>1</v>
      </c>
      <c r="P91" s="24">
        <v>11</v>
      </c>
      <c r="Q91" s="24">
        <v>1</v>
      </c>
      <c r="R91" s="24">
        <v>7</v>
      </c>
      <c r="S91" s="24">
        <v>1</v>
      </c>
      <c r="T91" s="24">
        <v>4</v>
      </c>
      <c r="U91" s="24">
        <v>1</v>
      </c>
      <c r="V91" s="24">
        <v>4</v>
      </c>
      <c r="W91" s="24">
        <v>1</v>
      </c>
      <c r="X91" s="24">
        <v>10</v>
      </c>
      <c r="AD91" s="25">
        <v>107</v>
      </c>
      <c r="AF91" s="25">
        <v>107</v>
      </c>
      <c r="AH91" s="25">
        <v>107</v>
      </c>
      <c r="AJ91" s="25">
        <v>107</v>
      </c>
      <c r="AL91" s="25">
        <v>107</v>
      </c>
      <c r="AM91" s="23">
        <v>41</v>
      </c>
      <c r="AN91" s="25">
        <v>107</v>
      </c>
      <c r="AP91" s="25">
        <v>107</v>
      </c>
      <c r="AQ91" s="23">
        <v>49</v>
      </c>
      <c r="AR91" s="25">
        <v>107</v>
      </c>
      <c r="AS91" s="23">
        <v>48</v>
      </c>
      <c r="AT91" s="25">
        <v>107</v>
      </c>
      <c r="AU91" s="23">
        <v>51</v>
      </c>
      <c r="AV91" s="25">
        <v>107</v>
      </c>
      <c r="AW91" s="23">
        <v>43</v>
      </c>
      <c r="AX91" s="25">
        <v>107</v>
      </c>
      <c r="AZ91" s="25">
        <v>107</v>
      </c>
      <c r="BA91" s="23">
        <v>51</v>
      </c>
      <c r="BB91" s="25">
        <v>107</v>
      </c>
      <c r="BC91" s="23">
        <v>60</v>
      </c>
      <c r="BD91" s="25">
        <v>107</v>
      </c>
      <c r="BE91" s="23">
        <v>52</v>
      </c>
      <c r="BF91" s="25">
        <v>107</v>
      </c>
      <c r="BG91" s="23">
        <v>60</v>
      </c>
      <c r="BH91" s="25">
        <v>107</v>
      </c>
      <c r="BJ91" s="25">
        <v>107</v>
      </c>
      <c r="BP91" s="25">
        <v>107</v>
      </c>
      <c r="BQ91" s="23" t="s">
        <v>96</v>
      </c>
      <c r="BR91" s="25">
        <v>107</v>
      </c>
      <c r="BS91" s="23" t="s">
        <v>96</v>
      </c>
      <c r="BT91" s="25">
        <v>107</v>
      </c>
      <c r="BU91" s="23" t="s">
        <v>96</v>
      </c>
      <c r="BV91" s="25">
        <v>107</v>
      </c>
      <c r="BW91" s="23" t="s">
        <v>96</v>
      </c>
      <c r="BX91" s="25">
        <v>107</v>
      </c>
      <c r="BY91" s="23" t="s">
        <v>96</v>
      </c>
      <c r="BZ91" s="25">
        <v>107</v>
      </c>
      <c r="CA91" s="23" t="s">
        <v>96</v>
      </c>
      <c r="CB91" s="25">
        <v>107</v>
      </c>
      <c r="CC91" s="23" t="s">
        <v>96</v>
      </c>
      <c r="CD91" s="25">
        <v>107</v>
      </c>
      <c r="CE91" s="23" t="s">
        <v>96</v>
      </c>
      <c r="CF91" s="25">
        <v>107</v>
      </c>
      <c r="CG91" s="23" t="s">
        <v>96</v>
      </c>
      <c r="CH91" s="25">
        <v>107</v>
      </c>
      <c r="CI91" s="23" t="s">
        <v>96</v>
      </c>
      <c r="CJ91" s="25">
        <v>107</v>
      </c>
      <c r="CK91" s="23" t="s">
        <v>96</v>
      </c>
      <c r="CL91" s="25">
        <v>107</v>
      </c>
      <c r="CM91" s="23" t="s">
        <v>96</v>
      </c>
      <c r="CN91" s="25">
        <v>107</v>
      </c>
      <c r="CO91" s="23" t="s">
        <v>96</v>
      </c>
      <c r="CP91" s="25">
        <v>107</v>
      </c>
      <c r="CQ91" s="23" t="s">
        <v>96</v>
      </c>
      <c r="CR91" s="25">
        <v>107</v>
      </c>
      <c r="CS91" s="23" t="s">
        <v>96</v>
      </c>
      <c r="CT91" s="25">
        <v>107</v>
      </c>
      <c r="CU91" s="23" t="s">
        <v>96</v>
      </c>
      <c r="CV91" s="25">
        <v>107</v>
      </c>
      <c r="CW91" s="23" t="s">
        <v>96</v>
      </c>
    </row>
    <row r="92" spans="1:101" x14ac:dyDescent="0.2">
      <c r="C92" s="24">
        <v>2</v>
      </c>
      <c r="D92" s="24">
        <v>6</v>
      </c>
      <c r="E92" s="24">
        <v>2</v>
      </c>
      <c r="F92" s="24">
        <v>6</v>
      </c>
      <c r="G92" s="24">
        <v>2</v>
      </c>
      <c r="H92" s="24">
        <v>7</v>
      </c>
      <c r="I92" s="24">
        <v>2</v>
      </c>
      <c r="J92" s="24">
        <v>6</v>
      </c>
      <c r="K92" s="24">
        <v>2</v>
      </c>
      <c r="L92" s="24">
        <v>16</v>
      </c>
      <c r="M92" s="24">
        <v>2</v>
      </c>
      <c r="N92" s="24">
        <v>13</v>
      </c>
      <c r="O92" s="24">
        <v>2</v>
      </c>
      <c r="P92" s="24">
        <v>13</v>
      </c>
      <c r="Q92" s="24">
        <v>2</v>
      </c>
      <c r="R92" s="24">
        <v>8</v>
      </c>
      <c r="S92" s="24">
        <v>2</v>
      </c>
      <c r="T92" s="24">
        <v>6</v>
      </c>
      <c r="U92" s="24">
        <v>2</v>
      </c>
      <c r="V92" s="24">
        <v>7</v>
      </c>
      <c r="W92" s="24">
        <v>2</v>
      </c>
      <c r="X92" s="24">
        <v>11</v>
      </c>
      <c r="AD92" s="25">
        <v>108</v>
      </c>
      <c r="AF92" s="25">
        <v>108</v>
      </c>
      <c r="AH92" s="25">
        <v>108</v>
      </c>
      <c r="AJ92" s="25">
        <v>108</v>
      </c>
      <c r="AK92" s="23">
        <v>34</v>
      </c>
      <c r="AL92" s="25">
        <v>108</v>
      </c>
      <c r="AN92" s="25">
        <v>108</v>
      </c>
      <c r="AO92" s="23">
        <v>41</v>
      </c>
      <c r="AP92" s="25">
        <v>108</v>
      </c>
      <c r="AR92" s="25">
        <v>108</v>
      </c>
      <c r="AT92" s="25">
        <v>108</v>
      </c>
      <c r="AV92" s="25">
        <v>108</v>
      </c>
      <c r="AX92" s="25">
        <v>108</v>
      </c>
      <c r="AY92" s="23">
        <v>28</v>
      </c>
      <c r="AZ92" s="25">
        <v>108</v>
      </c>
      <c r="BB92" s="25">
        <v>108</v>
      </c>
      <c r="BD92" s="25">
        <v>108</v>
      </c>
      <c r="BF92" s="25">
        <v>108</v>
      </c>
      <c r="BH92" s="25">
        <v>108</v>
      </c>
      <c r="BI92" s="23">
        <v>40</v>
      </c>
      <c r="BJ92" s="25">
        <v>108</v>
      </c>
      <c r="BP92" s="25">
        <v>108</v>
      </c>
      <c r="BQ92" s="23" t="s">
        <v>96</v>
      </c>
      <c r="BR92" s="25">
        <v>108</v>
      </c>
      <c r="BS92" s="23" t="s">
        <v>96</v>
      </c>
      <c r="BT92" s="25">
        <v>108</v>
      </c>
      <c r="BU92" s="23" t="s">
        <v>96</v>
      </c>
      <c r="BV92" s="25">
        <v>108</v>
      </c>
      <c r="BW92" s="23" t="s">
        <v>96</v>
      </c>
      <c r="BX92" s="25">
        <v>108</v>
      </c>
      <c r="BY92" s="23" t="s">
        <v>96</v>
      </c>
      <c r="BZ92" s="25">
        <v>108</v>
      </c>
      <c r="CA92" s="23" t="s">
        <v>96</v>
      </c>
      <c r="CB92" s="25">
        <v>108</v>
      </c>
      <c r="CC92" s="23" t="s">
        <v>96</v>
      </c>
      <c r="CD92" s="25">
        <v>108</v>
      </c>
      <c r="CE92" s="23" t="s">
        <v>96</v>
      </c>
      <c r="CF92" s="25">
        <v>108</v>
      </c>
      <c r="CG92" s="23" t="s">
        <v>96</v>
      </c>
      <c r="CH92" s="25">
        <v>108</v>
      </c>
      <c r="CI92" s="23" t="s">
        <v>96</v>
      </c>
      <c r="CJ92" s="25">
        <v>108</v>
      </c>
      <c r="CK92" s="23" t="s">
        <v>96</v>
      </c>
      <c r="CL92" s="25">
        <v>108</v>
      </c>
      <c r="CM92" s="23" t="s">
        <v>96</v>
      </c>
      <c r="CN92" s="25">
        <v>108</v>
      </c>
      <c r="CO92" s="23" t="s">
        <v>96</v>
      </c>
      <c r="CP92" s="25">
        <v>108</v>
      </c>
      <c r="CQ92" s="23" t="s">
        <v>96</v>
      </c>
      <c r="CR92" s="25">
        <v>108</v>
      </c>
      <c r="CS92" s="23" t="s">
        <v>96</v>
      </c>
      <c r="CT92" s="25">
        <v>108</v>
      </c>
      <c r="CU92" s="23" t="s">
        <v>96</v>
      </c>
      <c r="CV92" s="25">
        <v>108</v>
      </c>
      <c r="CW92" s="23" t="s">
        <v>96</v>
      </c>
    </row>
    <row r="93" spans="1:101" x14ac:dyDescent="0.2">
      <c r="C93" s="24">
        <v>3</v>
      </c>
      <c r="D93" s="24">
        <v>8</v>
      </c>
      <c r="E93" s="24">
        <v>3</v>
      </c>
      <c r="F93" s="24">
        <v>9</v>
      </c>
      <c r="G93" s="24">
        <v>3</v>
      </c>
      <c r="H93" s="24">
        <v>8</v>
      </c>
      <c r="I93" s="24">
        <v>3</v>
      </c>
      <c r="J93" s="24">
        <v>8</v>
      </c>
      <c r="K93" s="24">
        <v>3</v>
      </c>
      <c r="L93" s="24">
        <v>18</v>
      </c>
      <c r="M93" s="24">
        <v>3</v>
      </c>
      <c r="N93" s="24">
        <v>15</v>
      </c>
      <c r="O93" s="24">
        <v>3</v>
      </c>
      <c r="P93" s="24">
        <v>14</v>
      </c>
      <c r="Q93" s="24">
        <v>3</v>
      </c>
      <c r="R93" s="24">
        <v>10</v>
      </c>
      <c r="S93" s="24">
        <v>3</v>
      </c>
      <c r="T93" s="24">
        <v>9</v>
      </c>
      <c r="U93" s="24">
        <v>3</v>
      </c>
      <c r="V93" s="24">
        <v>10</v>
      </c>
      <c r="W93" s="24">
        <v>3</v>
      </c>
      <c r="X93" s="24">
        <v>13</v>
      </c>
      <c r="AD93" s="25">
        <v>109</v>
      </c>
      <c r="AF93" s="25">
        <v>109</v>
      </c>
      <c r="AH93" s="25">
        <v>109</v>
      </c>
      <c r="AJ93" s="25">
        <v>109</v>
      </c>
      <c r="AL93" s="25">
        <v>109</v>
      </c>
      <c r="AM93" s="23">
        <v>42</v>
      </c>
      <c r="AN93" s="25">
        <v>109</v>
      </c>
      <c r="AP93" s="25">
        <v>109</v>
      </c>
      <c r="AQ93" s="23">
        <v>50</v>
      </c>
      <c r="AR93" s="25">
        <v>109</v>
      </c>
      <c r="AS93" s="23">
        <v>49</v>
      </c>
      <c r="AT93" s="25">
        <v>109</v>
      </c>
      <c r="AU93" s="23">
        <v>52</v>
      </c>
      <c r="AV93" s="25">
        <v>109</v>
      </c>
      <c r="AW93" s="23">
        <v>44</v>
      </c>
      <c r="AX93" s="25">
        <v>109</v>
      </c>
      <c r="AZ93" s="25">
        <v>109</v>
      </c>
      <c r="BB93" s="25">
        <v>109</v>
      </c>
      <c r="BD93" s="25">
        <v>109</v>
      </c>
      <c r="BE93" s="23">
        <v>53</v>
      </c>
      <c r="BF93" s="25">
        <v>109</v>
      </c>
      <c r="BG93" s="23">
        <v>61</v>
      </c>
      <c r="BH93" s="25">
        <v>109</v>
      </c>
      <c r="BJ93" s="25">
        <v>109</v>
      </c>
      <c r="BP93" s="25">
        <v>109</v>
      </c>
      <c r="BQ93" s="23" t="s">
        <v>96</v>
      </c>
      <c r="BR93" s="25">
        <v>109</v>
      </c>
      <c r="BS93" s="23" t="s">
        <v>96</v>
      </c>
      <c r="BT93" s="25">
        <v>109</v>
      </c>
      <c r="BU93" s="23" t="s">
        <v>96</v>
      </c>
      <c r="BV93" s="25">
        <v>109</v>
      </c>
      <c r="BW93" s="23" t="s">
        <v>96</v>
      </c>
      <c r="BX93" s="25">
        <v>109</v>
      </c>
      <c r="BY93" s="23" t="s">
        <v>96</v>
      </c>
      <c r="BZ93" s="25">
        <v>109</v>
      </c>
      <c r="CA93" s="23" t="s">
        <v>96</v>
      </c>
      <c r="CB93" s="25">
        <v>109</v>
      </c>
      <c r="CC93" s="23" t="s">
        <v>96</v>
      </c>
      <c r="CD93" s="25">
        <v>109</v>
      </c>
      <c r="CE93" s="23" t="s">
        <v>96</v>
      </c>
      <c r="CF93" s="25">
        <v>109</v>
      </c>
      <c r="CG93" s="23" t="s">
        <v>96</v>
      </c>
      <c r="CH93" s="25">
        <v>109</v>
      </c>
      <c r="CI93" s="23" t="s">
        <v>96</v>
      </c>
      <c r="CJ93" s="25">
        <v>109</v>
      </c>
      <c r="CK93" s="23" t="s">
        <v>96</v>
      </c>
      <c r="CL93" s="25">
        <v>109</v>
      </c>
      <c r="CM93" s="23" t="s">
        <v>96</v>
      </c>
      <c r="CN93" s="25">
        <v>109</v>
      </c>
      <c r="CO93" s="23" t="s">
        <v>96</v>
      </c>
      <c r="CP93" s="25">
        <v>109</v>
      </c>
      <c r="CQ93" s="23" t="s">
        <v>96</v>
      </c>
      <c r="CR93" s="25">
        <v>109</v>
      </c>
      <c r="CS93" s="23" t="s">
        <v>96</v>
      </c>
      <c r="CT93" s="25">
        <v>109</v>
      </c>
      <c r="CU93" s="23" t="s">
        <v>96</v>
      </c>
      <c r="CV93" s="25">
        <v>109</v>
      </c>
      <c r="CW93" s="23" t="s">
        <v>96</v>
      </c>
    </row>
    <row r="94" spans="1:101" x14ac:dyDescent="0.2">
      <c r="C94" s="24">
        <v>4</v>
      </c>
      <c r="D94" s="24">
        <v>10</v>
      </c>
      <c r="E94" s="24">
        <v>4</v>
      </c>
      <c r="F94" s="24">
        <v>11</v>
      </c>
      <c r="G94" s="24">
        <v>4</v>
      </c>
      <c r="H94" s="24">
        <v>10</v>
      </c>
      <c r="I94" s="24">
        <v>4</v>
      </c>
      <c r="J94" s="24">
        <v>10</v>
      </c>
      <c r="K94" s="24">
        <v>4</v>
      </c>
      <c r="L94" s="24">
        <v>20</v>
      </c>
      <c r="M94" s="24">
        <v>4</v>
      </c>
      <c r="N94" s="24">
        <v>16</v>
      </c>
      <c r="O94" s="24">
        <v>4</v>
      </c>
      <c r="P94" s="24">
        <v>16</v>
      </c>
      <c r="Q94" s="24">
        <v>4</v>
      </c>
      <c r="R94" s="24">
        <v>12</v>
      </c>
      <c r="S94" s="24">
        <v>4</v>
      </c>
      <c r="T94" s="24">
        <v>11</v>
      </c>
      <c r="U94" s="24">
        <v>4</v>
      </c>
      <c r="V94" s="24">
        <v>13</v>
      </c>
      <c r="W94" s="24">
        <v>4</v>
      </c>
      <c r="X94" s="24">
        <v>15</v>
      </c>
      <c r="AD94" s="25">
        <v>110</v>
      </c>
      <c r="AF94" s="25">
        <v>110</v>
      </c>
      <c r="AH94" s="25">
        <v>110</v>
      </c>
      <c r="AJ94" s="25">
        <v>110</v>
      </c>
      <c r="AL94" s="25">
        <v>110</v>
      </c>
      <c r="AN94" s="25">
        <v>110</v>
      </c>
      <c r="AP94" s="25">
        <v>110</v>
      </c>
      <c r="AR94" s="25">
        <v>110</v>
      </c>
      <c r="AT94" s="25">
        <v>110</v>
      </c>
      <c r="AU94" s="23">
        <v>53</v>
      </c>
      <c r="AV94" s="25">
        <v>110</v>
      </c>
      <c r="AX94" s="25">
        <v>110</v>
      </c>
      <c r="AZ94" s="25">
        <v>110</v>
      </c>
      <c r="BA94" s="23">
        <v>52</v>
      </c>
      <c r="BB94" s="25">
        <v>110</v>
      </c>
      <c r="BD94" s="25">
        <v>110</v>
      </c>
      <c r="BF94" s="25">
        <v>110</v>
      </c>
      <c r="BH94" s="25">
        <v>110</v>
      </c>
      <c r="BJ94" s="25">
        <v>110</v>
      </c>
      <c r="BP94" s="25">
        <v>110</v>
      </c>
      <c r="BQ94" s="23" t="s">
        <v>96</v>
      </c>
      <c r="BR94" s="25">
        <v>110</v>
      </c>
      <c r="BS94" s="23" t="s">
        <v>96</v>
      </c>
      <c r="BT94" s="25">
        <v>110</v>
      </c>
      <c r="BU94" s="23" t="s">
        <v>96</v>
      </c>
      <c r="BV94" s="25">
        <v>110</v>
      </c>
      <c r="BW94" s="23" t="s">
        <v>96</v>
      </c>
      <c r="BX94" s="25">
        <v>110</v>
      </c>
      <c r="BY94" s="23" t="s">
        <v>96</v>
      </c>
      <c r="BZ94" s="25">
        <v>110</v>
      </c>
      <c r="CA94" s="23" t="s">
        <v>96</v>
      </c>
      <c r="CB94" s="25">
        <v>110</v>
      </c>
      <c r="CC94" s="23" t="s">
        <v>96</v>
      </c>
      <c r="CD94" s="25">
        <v>110</v>
      </c>
      <c r="CE94" s="23" t="s">
        <v>96</v>
      </c>
      <c r="CF94" s="25">
        <v>110</v>
      </c>
      <c r="CG94" s="23" t="s">
        <v>96</v>
      </c>
      <c r="CH94" s="25">
        <v>110</v>
      </c>
      <c r="CI94" s="23" t="s">
        <v>96</v>
      </c>
      <c r="CJ94" s="25">
        <v>110</v>
      </c>
      <c r="CK94" s="23" t="s">
        <v>96</v>
      </c>
      <c r="CL94" s="25">
        <v>110</v>
      </c>
      <c r="CM94" s="23" t="s">
        <v>96</v>
      </c>
      <c r="CN94" s="25">
        <v>110</v>
      </c>
      <c r="CO94" s="23" t="s">
        <v>96</v>
      </c>
      <c r="CP94" s="25">
        <v>110</v>
      </c>
      <c r="CQ94" s="23" t="s">
        <v>96</v>
      </c>
      <c r="CR94" s="25">
        <v>110</v>
      </c>
      <c r="CS94" s="23" t="s">
        <v>96</v>
      </c>
      <c r="CT94" s="25">
        <v>110</v>
      </c>
      <c r="CU94" s="23" t="s">
        <v>96</v>
      </c>
      <c r="CV94" s="25">
        <v>110</v>
      </c>
      <c r="CW94" s="23" t="s">
        <v>96</v>
      </c>
    </row>
    <row r="95" spans="1:101" x14ac:dyDescent="0.2">
      <c r="C95" s="24">
        <v>5</v>
      </c>
      <c r="D95" s="24">
        <v>12</v>
      </c>
      <c r="E95" s="24">
        <v>5</v>
      </c>
      <c r="F95" s="24">
        <v>14</v>
      </c>
      <c r="G95" s="24">
        <v>5</v>
      </c>
      <c r="H95" s="24">
        <v>11</v>
      </c>
      <c r="I95" s="24">
        <v>5</v>
      </c>
      <c r="J95" s="24">
        <v>12</v>
      </c>
      <c r="K95" s="24">
        <v>5</v>
      </c>
      <c r="L95" s="24">
        <v>22</v>
      </c>
      <c r="M95" s="24">
        <v>5</v>
      </c>
      <c r="N95" s="24">
        <v>18</v>
      </c>
      <c r="O95" s="24">
        <v>5</v>
      </c>
      <c r="P95" s="24">
        <v>18</v>
      </c>
      <c r="Q95" s="24">
        <v>5</v>
      </c>
      <c r="R95" s="24">
        <v>14</v>
      </c>
      <c r="S95" s="24">
        <v>5</v>
      </c>
      <c r="T95" s="24">
        <v>13</v>
      </c>
      <c r="U95" s="24">
        <v>5</v>
      </c>
      <c r="V95" s="24">
        <v>15</v>
      </c>
      <c r="W95" s="24">
        <v>5</v>
      </c>
      <c r="X95" s="24">
        <v>17</v>
      </c>
      <c r="AD95" s="25">
        <v>111</v>
      </c>
      <c r="AF95" s="25">
        <v>111</v>
      </c>
      <c r="AH95" s="25">
        <v>111</v>
      </c>
      <c r="AJ95" s="25">
        <v>111</v>
      </c>
      <c r="AK95" s="23">
        <v>35</v>
      </c>
      <c r="AL95" s="25">
        <v>111</v>
      </c>
      <c r="AM95" s="23">
        <v>43</v>
      </c>
      <c r="AN95" s="25">
        <v>111</v>
      </c>
      <c r="AO95" s="23">
        <v>42</v>
      </c>
      <c r="AP95" s="25">
        <v>111</v>
      </c>
      <c r="AQ95" s="23">
        <v>51</v>
      </c>
      <c r="AR95" s="25">
        <v>111</v>
      </c>
      <c r="AS95" s="23">
        <v>50</v>
      </c>
      <c r="AT95" s="25">
        <v>111</v>
      </c>
      <c r="AV95" s="25">
        <v>111</v>
      </c>
      <c r="AW95" s="23">
        <v>45</v>
      </c>
      <c r="AX95" s="25">
        <v>111</v>
      </c>
      <c r="AY95" s="23">
        <v>29</v>
      </c>
      <c r="AZ95" s="25">
        <v>111</v>
      </c>
      <c r="BB95" s="25">
        <v>111</v>
      </c>
      <c r="BD95" s="25">
        <v>111</v>
      </c>
      <c r="BE95" s="23">
        <v>54</v>
      </c>
      <c r="BF95" s="25">
        <v>111</v>
      </c>
      <c r="BG95" s="23">
        <v>62</v>
      </c>
      <c r="BH95" s="25">
        <v>111</v>
      </c>
      <c r="BJ95" s="25">
        <v>111</v>
      </c>
      <c r="BP95" s="25">
        <v>111</v>
      </c>
      <c r="BQ95" s="23" t="s">
        <v>96</v>
      </c>
      <c r="BR95" s="25">
        <v>111</v>
      </c>
      <c r="BS95" s="23" t="s">
        <v>96</v>
      </c>
      <c r="BT95" s="25">
        <v>111</v>
      </c>
      <c r="BU95" s="23" t="s">
        <v>96</v>
      </c>
      <c r="BV95" s="25">
        <v>111</v>
      </c>
      <c r="BW95" s="23" t="s">
        <v>96</v>
      </c>
      <c r="BX95" s="25">
        <v>111</v>
      </c>
      <c r="BY95" s="23" t="s">
        <v>96</v>
      </c>
      <c r="BZ95" s="25">
        <v>111</v>
      </c>
      <c r="CA95" s="23" t="s">
        <v>96</v>
      </c>
      <c r="CB95" s="25">
        <v>111</v>
      </c>
      <c r="CC95" s="23" t="s">
        <v>96</v>
      </c>
      <c r="CD95" s="25">
        <v>111</v>
      </c>
      <c r="CE95" s="23" t="s">
        <v>96</v>
      </c>
      <c r="CF95" s="25">
        <v>111</v>
      </c>
      <c r="CG95" s="23" t="s">
        <v>96</v>
      </c>
      <c r="CH95" s="25">
        <v>111</v>
      </c>
      <c r="CI95" s="23" t="s">
        <v>96</v>
      </c>
      <c r="CJ95" s="25">
        <v>111</v>
      </c>
      <c r="CK95" s="23" t="s">
        <v>96</v>
      </c>
      <c r="CL95" s="25">
        <v>111</v>
      </c>
      <c r="CM95" s="23" t="s">
        <v>96</v>
      </c>
      <c r="CN95" s="25">
        <v>111</v>
      </c>
      <c r="CO95" s="23" t="s">
        <v>96</v>
      </c>
      <c r="CP95" s="25">
        <v>111</v>
      </c>
      <c r="CQ95" s="23" t="s">
        <v>96</v>
      </c>
      <c r="CR95" s="25">
        <v>111</v>
      </c>
      <c r="CS95" s="23" t="s">
        <v>96</v>
      </c>
      <c r="CT95" s="25">
        <v>111</v>
      </c>
      <c r="CU95" s="23" t="s">
        <v>96</v>
      </c>
      <c r="CV95" s="25">
        <v>111</v>
      </c>
      <c r="CW95" s="23" t="s">
        <v>96</v>
      </c>
    </row>
    <row r="96" spans="1:101" x14ac:dyDescent="0.2">
      <c r="C96" s="24">
        <v>6</v>
      </c>
      <c r="E96" s="24">
        <v>6</v>
      </c>
      <c r="F96" s="24">
        <v>16</v>
      </c>
      <c r="G96" s="24">
        <v>6</v>
      </c>
      <c r="H96" s="24">
        <v>13</v>
      </c>
      <c r="I96" s="24">
        <v>6</v>
      </c>
      <c r="J96" s="24">
        <v>14</v>
      </c>
      <c r="K96" s="24">
        <v>6</v>
      </c>
      <c r="L96" s="24">
        <v>24</v>
      </c>
      <c r="M96" s="24">
        <v>6</v>
      </c>
      <c r="N96" s="24">
        <v>19</v>
      </c>
      <c r="O96" s="24">
        <v>6</v>
      </c>
      <c r="P96" s="24">
        <v>20</v>
      </c>
      <c r="Q96" s="24">
        <v>6</v>
      </c>
      <c r="R96" s="24">
        <v>15</v>
      </c>
      <c r="S96" s="24">
        <v>6</v>
      </c>
      <c r="T96" s="24">
        <v>16</v>
      </c>
      <c r="U96" s="24">
        <v>6</v>
      </c>
      <c r="V96" s="24">
        <v>18</v>
      </c>
      <c r="W96" s="24">
        <v>6</v>
      </c>
      <c r="X96" s="24">
        <v>18</v>
      </c>
      <c r="AD96" s="25">
        <v>112</v>
      </c>
      <c r="AF96" s="25">
        <v>112</v>
      </c>
      <c r="AH96" s="25">
        <v>112</v>
      </c>
      <c r="AJ96" s="25">
        <v>112</v>
      </c>
      <c r="AL96" s="25">
        <v>112</v>
      </c>
      <c r="AN96" s="25">
        <v>112</v>
      </c>
      <c r="AP96" s="25">
        <v>112</v>
      </c>
      <c r="AR96" s="25">
        <v>112</v>
      </c>
      <c r="AT96" s="25">
        <v>112</v>
      </c>
      <c r="AU96" s="23">
        <v>54</v>
      </c>
      <c r="AV96" s="25">
        <v>112</v>
      </c>
      <c r="AX96" s="25">
        <v>112</v>
      </c>
      <c r="AZ96" s="25">
        <v>112</v>
      </c>
      <c r="BA96" s="23">
        <v>53</v>
      </c>
      <c r="BB96" s="25">
        <v>112</v>
      </c>
      <c r="BD96" s="25">
        <v>112</v>
      </c>
      <c r="BF96" s="25">
        <v>112</v>
      </c>
      <c r="BG96" s="23">
        <v>63</v>
      </c>
      <c r="BH96" s="25">
        <v>112</v>
      </c>
      <c r="BJ96" s="25">
        <v>112</v>
      </c>
      <c r="BP96" s="25">
        <v>112</v>
      </c>
      <c r="BQ96" s="23" t="s">
        <v>96</v>
      </c>
      <c r="BR96" s="25">
        <v>112</v>
      </c>
      <c r="BS96" s="23" t="s">
        <v>96</v>
      </c>
      <c r="BT96" s="25">
        <v>112</v>
      </c>
      <c r="BU96" s="23" t="s">
        <v>96</v>
      </c>
      <c r="BV96" s="25">
        <v>112</v>
      </c>
      <c r="BW96" s="23" t="s">
        <v>96</v>
      </c>
      <c r="BX96" s="25">
        <v>112</v>
      </c>
      <c r="BY96" s="23" t="s">
        <v>96</v>
      </c>
      <c r="BZ96" s="25">
        <v>112</v>
      </c>
      <c r="CA96" s="23" t="s">
        <v>96</v>
      </c>
      <c r="CB96" s="25">
        <v>112</v>
      </c>
      <c r="CC96" s="23" t="s">
        <v>96</v>
      </c>
      <c r="CD96" s="25">
        <v>112</v>
      </c>
      <c r="CE96" s="23" t="s">
        <v>96</v>
      </c>
      <c r="CF96" s="25">
        <v>112</v>
      </c>
      <c r="CG96" s="23" t="s">
        <v>96</v>
      </c>
      <c r="CH96" s="25">
        <v>112</v>
      </c>
      <c r="CI96" s="23" t="s">
        <v>96</v>
      </c>
      <c r="CJ96" s="25">
        <v>112</v>
      </c>
      <c r="CK96" s="23" t="s">
        <v>96</v>
      </c>
      <c r="CL96" s="25">
        <v>112</v>
      </c>
      <c r="CM96" s="23" t="s">
        <v>96</v>
      </c>
      <c r="CN96" s="25">
        <v>112</v>
      </c>
      <c r="CO96" s="23" t="s">
        <v>96</v>
      </c>
      <c r="CP96" s="25">
        <v>112</v>
      </c>
      <c r="CQ96" s="23" t="s">
        <v>96</v>
      </c>
      <c r="CR96" s="25">
        <v>112</v>
      </c>
      <c r="CS96" s="23" t="s">
        <v>96</v>
      </c>
      <c r="CT96" s="25">
        <v>112</v>
      </c>
      <c r="CU96" s="23" t="s">
        <v>96</v>
      </c>
      <c r="CV96" s="25">
        <v>112</v>
      </c>
      <c r="CW96" s="23" t="s">
        <v>96</v>
      </c>
    </row>
    <row r="97" spans="3:101" x14ac:dyDescent="0.2">
      <c r="C97" s="24">
        <v>7</v>
      </c>
      <c r="E97" s="24">
        <v>7</v>
      </c>
      <c r="F97" s="24">
        <v>18</v>
      </c>
      <c r="G97" s="24">
        <v>7</v>
      </c>
      <c r="H97" s="24">
        <v>14</v>
      </c>
      <c r="I97" s="24">
        <v>7</v>
      </c>
      <c r="J97" s="24">
        <v>16</v>
      </c>
      <c r="K97" s="24">
        <v>7</v>
      </c>
      <c r="L97" s="24">
        <v>26</v>
      </c>
      <c r="M97" s="24">
        <v>7</v>
      </c>
      <c r="N97" s="24">
        <v>21</v>
      </c>
      <c r="O97" s="24">
        <v>7</v>
      </c>
      <c r="P97" s="24">
        <v>21</v>
      </c>
      <c r="Q97" s="24">
        <v>7</v>
      </c>
      <c r="R97" s="24">
        <v>17</v>
      </c>
      <c r="S97" s="24">
        <v>7</v>
      </c>
      <c r="T97" s="24">
        <v>18</v>
      </c>
      <c r="U97" s="24">
        <v>7</v>
      </c>
      <c r="V97" s="24">
        <v>21</v>
      </c>
      <c r="W97" s="24">
        <v>7</v>
      </c>
      <c r="X97" s="24">
        <v>20</v>
      </c>
      <c r="AD97" s="25">
        <v>113</v>
      </c>
      <c r="AF97" s="25">
        <v>113</v>
      </c>
      <c r="AH97" s="25">
        <v>113</v>
      </c>
      <c r="AJ97" s="25">
        <v>113</v>
      </c>
      <c r="AK97" s="23">
        <v>36</v>
      </c>
      <c r="AL97" s="25">
        <v>113</v>
      </c>
      <c r="AN97" s="25">
        <v>113</v>
      </c>
      <c r="AO97" s="23">
        <v>43</v>
      </c>
      <c r="AP97" s="25">
        <v>113</v>
      </c>
      <c r="AQ97" s="23">
        <v>52</v>
      </c>
      <c r="AR97" s="25">
        <v>113</v>
      </c>
      <c r="AS97" s="23">
        <v>51</v>
      </c>
      <c r="AT97" s="25">
        <v>113</v>
      </c>
      <c r="AV97" s="25">
        <v>113</v>
      </c>
      <c r="AX97" s="25">
        <v>113</v>
      </c>
      <c r="AZ97" s="25">
        <v>113</v>
      </c>
      <c r="BB97" s="25">
        <v>113</v>
      </c>
      <c r="BD97" s="25">
        <v>113</v>
      </c>
      <c r="BE97" s="23">
        <v>55</v>
      </c>
      <c r="BF97" s="25">
        <v>113</v>
      </c>
      <c r="BH97" s="25">
        <v>113</v>
      </c>
      <c r="BJ97" s="25">
        <v>113</v>
      </c>
      <c r="BP97" s="25">
        <v>113</v>
      </c>
      <c r="BQ97" s="23" t="s">
        <v>96</v>
      </c>
      <c r="BR97" s="25">
        <v>113</v>
      </c>
      <c r="BS97" s="23" t="s">
        <v>96</v>
      </c>
      <c r="BT97" s="25">
        <v>113</v>
      </c>
      <c r="BU97" s="23" t="s">
        <v>96</v>
      </c>
      <c r="BV97" s="25">
        <v>113</v>
      </c>
      <c r="BW97" s="23" t="s">
        <v>96</v>
      </c>
      <c r="BX97" s="25">
        <v>113</v>
      </c>
      <c r="BY97" s="23" t="s">
        <v>96</v>
      </c>
      <c r="BZ97" s="25">
        <v>113</v>
      </c>
      <c r="CA97" s="23" t="s">
        <v>96</v>
      </c>
      <c r="CB97" s="25">
        <v>113</v>
      </c>
      <c r="CC97" s="23" t="s">
        <v>96</v>
      </c>
      <c r="CD97" s="25">
        <v>113</v>
      </c>
      <c r="CE97" s="23" t="s">
        <v>96</v>
      </c>
      <c r="CF97" s="25">
        <v>113</v>
      </c>
      <c r="CG97" s="23" t="s">
        <v>96</v>
      </c>
      <c r="CH97" s="25">
        <v>113</v>
      </c>
      <c r="CI97" s="23" t="s">
        <v>96</v>
      </c>
      <c r="CJ97" s="25">
        <v>113</v>
      </c>
      <c r="CK97" s="23" t="s">
        <v>96</v>
      </c>
      <c r="CL97" s="25">
        <v>113</v>
      </c>
      <c r="CM97" s="23" t="s">
        <v>96</v>
      </c>
      <c r="CN97" s="25">
        <v>113</v>
      </c>
      <c r="CO97" s="23" t="s">
        <v>96</v>
      </c>
      <c r="CP97" s="25">
        <v>113</v>
      </c>
      <c r="CQ97" s="23" t="s">
        <v>96</v>
      </c>
      <c r="CR97" s="25">
        <v>113</v>
      </c>
      <c r="CS97" s="23" t="s">
        <v>96</v>
      </c>
      <c r="CT97" s="25">
        <v>113</v>
      </c>
      <c r="CU97" s="23" t="s">
        <v>96</v>
      </c>
      <c r="CV97" s="25">
        <v>113</v>
      </c>
      <c r="CW97" s="23" t="s">
        <v>96</v>
      </c>
    </row>
    <row r="98" spans="3:101" x14ac:dyDescent="0.2">
      <c r="C98" s="24">
        <v>8</v>
      </c>
      <c r="E98" s="24">
        <v>8</v>
      </c>
      <c r="F98" s="24">
        <v>21</v>
      </c>
      <c r="G98" s="24">
        <v>8</v>
      </c>
      <c r="H98" s="24">
        <v>15</v>
      </c>
      <c r="I98" s="24">
        <v>8</v>
      </c>
      <c r="J98" s="24">
        <v>18</v>
      </c>
      <c r="K98" s="24">
        <v>8</v>
      </c>
      <c r="L98" s="24">
        <v>28</v>
      </c>
      <c r="M98" s="24">
        <v>8</v>
      </c>
      <c r="N98" s="24">
        <v>22</v>
      </c>
      <c r="O98" s="24">
        <v>8</v>
      </c>
      <c r="P98" s="24">
        <v>23</v>
      </c>
      <c r="Q98" s="24">
        <v>8</v>
      </c>
      <c r="R98" s="24">
        <v>19</v>
      </c>
      <c r="S98" s="24">
        <v>8</v>
      </c>
      <c r="T98" s="24">
        <v>20</v>
      </c>
      <c r="U98" s="24">
        <v>8</v>
      </c>
      <c r="V98" s="24">
        <v>24</v>
      </c>
      <c r="W98" s="24">
        <v>8</v>
      </c>
      <c r="X98" s="24">
        <v>22</v>
      </c>
      <c r="AD98" s="25">
        <v>114</v>
      </c>
      <c r="AF98" s="25">
        <v>114</v>
      </c>
      <c r="AH98" s="25">
        <v>114</v>
      </c>
      <c r="AJ98" s="25">
        <v>114</v>
      </c>
      <c r="AL98" s="25">
        <v>114</v>
      </c>
      <c r="AN98" s="25">
        <v>114</v>
      </c>
      <c r="AP98" s="25">
        <v>114</v>
      </c>
      <c r="AR98" s="25">
        <v>114</v>
      </c>
      <c r="AT98" s="25">
        <v>114</v>
      </c>
      <c r="AV98" s="25">
        <v>114</v>
      </c>
      <c r="AW98" s="23">
        <v>46</v>
      </c>
      <c r="AX98" s="25">
        <v>114</v>
      </c>
      <c r="AY98" s="23">
        <v>30</v>
      </c>
      <c r="AZ98" s="25">
        <v>114</v>
      </c>
      <c r="BA98" s="23">
        <v>54</v>
      </c>
      <c r="BB98" s="25">
        <v>114</v>
      </c>
      <c r="BD98" s="25">
        <v>114</v>
      </c>
      <c r="BF98" s="25">
        <v>114</v>
      </c>
      <c r="BG98" s="23">
        <v>64</v>
      </c>
      <c r="BH98" s="25">
        <v>114</v>
      </c>
      <c r="BJ98" s="25">
        <v>114</v>
      </c>
      <c r="BP98" s="25">
        <v>114</v>
      </c>
      <c r="BQ98" s="23" t="s">
        <v>96</v>
      </c>
      <c r="BR98" s="25">
        <v>114</v>
      </c>
      <c r="BS98" s="23" t="s">
        <v>96</v>
      </c>
      <c r="BT98" s="25">
        <v>114</v>
      </c>
      <c r="BU98" s="23" t="s">
        <v>96</v>
      </c>
      <c r="BV98" s="25">
        <v>114</v>
      </c>
      <c r="BW98" s="23" t="s">
        <v>96</v>
      </c>
      <c r="BX98" s="25">
        <v>114</v>
      </c>
      <c r="BY98" s="23" t="s">
        <v>96</v>
      </c>
      <c r="BZ98" s="25">
        <v>114</v>
      </c>
      <c r="CA98" s="23" t="s">
        <v>96</v>
      </c>
      <c r="CB98" s="25">
        <v>114</v>
      </c>
      <c r="CC98" s="23" t="s">
        <v>96</v>
      </c>
      <c r="CD98" s="25">
        <v>114</v>
      </c>
      <c r="CE98" s="23" t="s">
        <v>96</v>
      </c>
      <c r="CF98" s="25">
        <v>114</v>
      </c>
      <c r="CG98" s="23" t="s">
        <v>96</v>
      </c>
      <c r="CH98" s="25">
        <v>114</v>
      </c>
      <c r="CI98" s="23" t="s">
        <v>96</v>
      </c>
      <c r="CJ98" s="25">
        <v>114</v>
      </c>
      <c r="CK98" s="23" t="s">
        <v>96</v>
      </c>
      <c r="CL98" s="25">
        <v>114</v>
      </c>
      <c r="CM98" s="23" t="s">
        <v>96</v>
      </c>
      <c r="CN98" s="25">
        <v>114</v>
      </c>
      <c r="CO98" s="23" t="s">
        <v>96</v>
      </c>
      <c r="CP98" s="25">
        <v>114</v>
      </c>
      <c r="CQ98" s="23" t="s">
        <v>96</v>
      </c>
      <c r="CR98" s="25">
        <v>114</v>
      </c>
      <c r="CS98" s="23" t="s">
        <v>96</v>
      </c>
      <c r="CT98" s="25">
        <v>114</v>
      </c>
      <c r="CU98" s="23" t="s">
        <v>96</v>
      </c>
      <c r="CV98" s="25">
        <v>114</v>
      </c>
      <c r="CW98" s="23" t="s">
        <v>96</v>
      </c>
    </row>
    <row r="99" spans="3:101" x14ac:dyDescent="0.2">
      <c r="C99" s="24">
        <v>9</v>
      </c>
      <c r="E99" s="24">
        <v>9</v>
      </c>
      <c r="F99" s="24">
        <v>23</v>
      </c>
      <c r="G99" s="24">
        <v>9</v>
      </c>
      <c r="H99" s="24">
        <v>17</v>
      </c>
      <c r="I99" s="24">
        <v>9</v>
      </c>
      <c r="J99" s="24">
        <v>20</v>
      </c>
      <c r="K99" s="24">
        <v>9</v>
      </c>
      <c r="L99" s="24">
        <v>29</v>
      </c>
      <c r="M99" s="24">
        <v>9</v>
      </c>
      <c r="N99" s="24">
        <v>24</v>
      </c>
      <c r="O99" s="24">
        <v>9</v>
      </c>
      <c r="P99" s="24">
        <v>25</v>
      </c>
      <c r="Q99" s="24">
        <v>9</v>
      </c>
      <c r="R99" s="24">
        <v>21</v>
      </c>
      <c r="S99" s="24">
        <v>9</v>
      </c>
      <c r="T99" s="24">
        <v>23</v>
      </c>
      <c r="U99" s="24">
        <v>9</v>
      </c>
      <c r="V99" s="24">
        <v>26</v>
      </c>
      <c r="W99" s="24">
        <v>9</v>
      </c>
      <c r="X99" s="24">
        <v>24</v>
      </c>
      <c r="AD99" s="25">
        <v>115</v>
      </c>
      <c r="AF99" s="25">
        <v>115</v>
      </c>
      <c r="AH99" s="25">
        <v>115</v>
      </c>
      <c r="AJ99" s="25">
        <v>115</v>
      </c>
      <c r="AL99" s="25">
        <v>115</v>
      </c>
      <c r="AN99" s="25">
        <v>115</v>
      </c>
      <c r="AP99" s="25">
        <v>115</v>
      </c>
      <c r="AQ99" s="23">
        <v>53</v>
      </c>
      <c r="AR99" s="25">
        <v>115</v>
      </c>
      <c r="AS99" s="23">
        <v>52</v>
      </c>
      <c r="AT99" s="25">
        <v>115</v>
      </c>
      <c r="AV99" s="25">
        <v>115</v>
      </c>
      <c r="AX99" s="25">
        <v>115</v>
      </c>
      <c r="AZ99" s="25">
        <v>115</v>
      </c>
      <c r="BB99" s="25">
        <v>115</v>
      </c>
      <c r="BD99" s="25">
        <v>115</v>
      </c>
      <c r="BE99" s="23">
        <v>56</v>
      </c>
      <c r="BF99" s="25">
        <v>115</v>
      </c>
      <c r="BG99" s="23">
        <v>65</v>
      </c>
      <c r="BH99" s="25">
        <v>115</v>
      </c>
      <c r="BJ99" s="25">
        <v>115</v>
      </c>
      <c r="BP99" s="25">
        <v>115</v>
      </c>
      <c r="BQ99" s="23" t="s">
        <v>96</v>
      </c>
      <c r="BR99" s="25">
        <v>115</v>
      </c>
      <c r="BS99" s="23" t="s">
        <v>96</v>
      </c>
      <c r="BT99" s="25">
        <v>115</v>
      </c>
      <c r="BU99" s="23" t="s">
        <v>96</v>
      </c>
      <c r="BV99" s="25">
        <v>115</v>
      </c>
      <c r="BW99" s="23" t="s">
        <v>96</v>
      </c>
      <c r="BX99" s="25">
        <v>115</v>
      </c>
      <c r="BY99" s="23" t="s">
        <v>96</v>
      </c>
      <c r="BZ99" s="25">
        <v>115</v>
      </c>
      <c r="CA99" s="23" t="s">
        <v>96</v>
      </c>
      <c r="CB99" s="25">
        <v>115</v>
      </c>
      <c r="CC99" s="23" t="s">
        <v>96</v>
      </c>
      <c r="CD99" s="25">
        <v>115</v>
      </c>
      <c r="CE99" s="23" t="s">
        <v>96</v>
      </c>
      <c r="CF99" s="25">
        <v>115</v>
      </c>
      <c r="CG99" s="23" t="s">
        <v>96</v>
      </c>
      <c r="CH99" s="25">
        <v>115</v>
      </c>
      <c r="CI99" s="23" t="s">
        <v>96</v>
      </c>
      <c r="CJ99" s="25">
        <v>115</v>
      </c>
      <c r="CK99" s="23" t="s">
        <v>96</v>
      </c>
      <c r="CL99" s="25">
        <v>115</v>
      </c>
      <c r="CM99" s="23" t="s">
        <v>96</v>
      </c>
      <c r="CN99" s="25">
        <v>115</v>
      </c>
      <c r="CO99" s="23" t="s">
        <v>96</v>
      </c>
      <c r="CP99" s="25">
        <v>115</v>
      </c>
      <c r="CQ99" s="23" t="s">
        <v>96</v>
      </c>
      <c r="CR99" s="25">
        <v>115</v>
      </c>
      <c r="CS99" s="23" t="s">
        <v>96</v>
      </c>
      <c r="CT99" s="25">
        <v>115</v>
      </c>
      <c r="CU99" s="23" t="s">
        <v>96</v>
      </c>
      <c r="CV99" s="25">
        <v>115</v>
      </c>
      <c r="CW99" s="23" t="s">
        <v>96</v>
      </c>
    </row>
    <row r="100" spans="3:101" x14ac:dyDescent="0.2">
      <c r="C100" s="24">
        <v>10</v>
      </c>
      <c r="E100" s="24">
        <v>10</v>
      </c>
      <c r="F100" s="24">
        <v>25</v>
      </c>
      <c r="G100" s="24">
        <v>10</v>
      </c>
      <c r="H100" s="24">
        <v>18</v>
      </c>
      <c r="I100" s="24">
        <v>10</v>
      </c>
      <c r="J100" s="24">
        <v>22</v>
      </c>
      <c r="K100" s="24">
        <v>10</v>
      </c>
      <c r="L100" s="24">
        <v>31</v>
      </c>
      <c r="M100" s="24">
        <v>10</v>
      </c>
      <c r="N100" s="24">
        <v>25</v>
      </c>
      <c r="O100" s="24">
        <v>10</v>
      </c>
      <c r="P100" s="24">
        <v>26</v>
      </c>
      <c r="Q100" s="24">
        <v>10</v>
      </c>
      <c r="R100" s="24">
        <v>22</v>
      </c>
      <c r="S100" s="24">
        <v>10</v>
      </c>
      <c r="T100" s="24">
        <v>25</v>
      </c>
      <c r="U100" s="24">
        <v>10</v>
      </c>
      <c r="V100" s="24">
        <v>29</v>
      </c>
      <c r="W100" s="24">
        <v>10</v>
      </c>
      <c r="X100" s="24">
        <v>25</v>
      </c>
      <c r="AD100" s="25">
        <v>116</v>
      </c>
      <c r="AF100" s="25">
        <v>116</v>
      </c>
      <c r="AH100" s="25">
        <v>116</v>
      </c>
      <c r="AJ100" s="25">
        <v>116</v>
      </c>
      <c r="AK100" s="23">
        <v>37</v>
      </c>
      <c r="AL100" s="25">
        <v>116</v>
      </c>
      <c r="AN100" s="25">
        <v>116</v>
      </c>
      <c r="AO100" s="23">
        <v>44</v>
      </c>
      <c r="AP100" s="25">
        <v>116</v>
      </c>
      <c r="AR100" s="25">
        <v>116</v>
      </c>
      <c r="AS100" s="23">
        <v>53</v>
      </c>
      <c r="AT100" s="25">
        <v>116</v>
      </c>
      <c r="AV100" s="25">
        <v>116</v>
      </c>
      <c r="AW100" s="23">
        <v>47</v>
      </c>
      <c r="AX100" s="25">
        <v>116</v>
      </c>
      <c r="AZ100" s="25">
        <v>116</v>
      </c>
      <c r="BA100" s="23">
        <v>55</v>
      </c>
      <c r="BB100" s="25">
        <v>116</v>
      </c>
      <c r="BD100" s="25">
        <v>116</v>
      </c>
      <c r="BF100" s="25">
        <v>116</v>
      </c>
      <c r="BH100" s="25">
        <v>116</v>
      </c>
      <c r="BJ100" s="25">
        <v>116</v>
      </c>
      <c r="BP100" s="25">
        <v>116</v>
      </c>
      <c r="BQ100" s="23" t="s">
        <v>96</v>
      </c>
      <c r="BR100" s="25">
        <v>116</v>
      </c>
      <c r="BS100" s="23" t="s">
        <v>96</v>
      </c>
      <c r="BT100" s="25">
        <v>116</v>
      </c>
      <c r="BU100" s="23" t="s">
        <v>96</v>
      </c>
      <c r="BV100" s="25">
        <v>116</v>
      </c>
      <c r="BW100" s="23" t="s">
        <v>96</v>
      </c>
      <c r="BX100" s="25">
        <v>116</v>
      </c>
      <c r="BY100" s="23" t="s">
        <v>96</v>
      </c>
      <c r="BZ100" s="25">
        <v>116</v>
      </c>
      <c r="CA100" s="23" t="s">
        <v>96</v>
      </c>
      <c r="CB100" s="25">
        <v>116</v>
      </c>
      <c r="CC100" s="23" t="s">
        <v>96</v>
      </c>
      <c r="CD100" s="25">
        <v>116</v>
      </c>
      <c r="CE100" s="23" t="s">
        <v>96</v>
      </c>
      <c r="CF100" s="25">
        <v>116</v>
      </c>
      <c r="CG100" s="23" t="s">
        <v>96</v>
      </c>
      <c r="CH100" s="25">
        <v>116</v>
      </c>
      <c r="CI100" s="23" t="s">
        <v>96</v>
      </c>
      <c r="CJ100" s="25">
        <v>116</v>
      </c>
      <c r="CK100" s="23" t="s">
        <v>96</v>
      </c>
      <c r="CL100" s="25">
        <v>116</v>
      </c>
      <c r="CM100" s="23" t="s">
        <v>96</v>
      </c>
      <c r="CN100" s="25">
        <v>116</v>
      </c>
      <c r="CO100" s="23" t="s">
        <v>96</v>
      </c>
      <c r="CP100" s="25">
        <v>116</v>
      </c>
      <c r="CQ100" s="23" t="s">
        <v>96</v>
      </c>
      <c r="CR100" s="25">
        <v>116</v>
      </c>
      <c r="CS100" s="23" t="s">
        <v>96</v>
      </c>
      <c r="CT100" s="25">
        <v>116</v>
      </c>
      <c r="CU100" s="23" t="s">
        <v>96</v>
      </c>
      <c r="CV100" s="25">
        <v>116</v>
      </c>
      <c r="CW100" s="23" t="s">
        <v>96</v>
      </c>
    </row>
    <row r="101" spans="3:101" x14ac:dyDescent="0.2">
      <c r="C101" s="24">
        <v>11</v>
      </c>
      <c r="E101" s="24">
        <v>11</v>
      </c>
      <c r="F101" s="24">
        <v>28</v>
      </c>
      <c r="G101" s="24">
        <v>11</v>
      </c>
      <c r="H101" s="24">
        <v>20</v>
      </c>
      <c r="I101" s="24">
        <v>11</v>
      </c>
      <c r="J101" s="24">
        <v>23</v>
      </c>
      <c r="K101" s="24">
        <v>11</v>
      </c>
      <c r="L101" s="24">
        <v>33</v>
      </c>
      <c r="M101" s="24">
        <v>11</v>
      </c>
      <c r="N101" s="24">
        <v>27</v>
      </c>
      <c r="O101" s="24">
        <v>11</v>
      </c>
      <c r="P101" s="24">
        <v>28</v>
      </c>
      <c r="Q101" s="24">
        <v>11</v>
      </c>
      <c r="R101" s="24">
        <v>24</v>
      </c>
      <c r="S101" s="24">
        <v>11</v>
      </c>
      <c r="T101" s="24">
        <v>27</v>
      </c>
      <c r="U101" s="24">
        <v>11</v>
      </c>
      <c r="V101" s="24">
        <v>32</v>
      </c>
      <c r="W101" s="24">
        <v>11</v>
      </c>
      <c r="X101" s="24">
        <v>27</v>
      </c>
      <c r="AD101" s="25">
        <v>117</v>
      </c>
      <c r="AF101" s="25">
        <v>117</v>
      </c>
      <c r="AH101" s="25">
        <v>117</v>
      </c>
      <c r="AJ101" s="25">
        <v>117</v>
      </c>
      <c r="AL101" s="25">
        <v>117</v>
      </c>
      <c r="AN101" s="25">
        <v>117</v>
      </c>
      <c r="AP101" s="25">
        <v>117</v>
      </c>
      <c r="AQ101" s="23">
        <v>54</v>
      </c>
      <c r="AR101" s="25">
        <v>117</v>
      </c>
      <c r="AT101" s="25">
        <v>117</v>
      </c>
      <c r="AV101" s="25">
        <v>117</v>
      </c>
      <c r="AX101" s="25">
        <v>117</v>
      </c>
      <c r="AY101" s="23">
        <v>31</v>
      </c>
      <c r="AZ101" s="25">
        <v>117</v>
      </c>
      <c r="BB101" s="25">
        <v>117</v>
      </c>
      <c r="BD101" s="25">
        <v>117</v>
      </c>
      <c r="BE101" s="23">
        <v>57</v>
      </c>
      <c r="BF101" s="25">
        <v>117</v>
      </c>
      <c r="BG101" s="23">
        <v>66</v>
      </c>
      <c r="BH101" s="25">
        <v>117</v>
      </c>
      <c r="BJ101" s="25">
        <v>117</v>
      </c>
      <c r="BP101" s="25">
        <v>117</v>
      </c>
      <c r="BQ101" s="23" t="s">
        <v>96</v>
      </c>
      <c r="BR101" s="25">
        <v>117</v>
      </c>
      <c r="BS101" s="23" t="s">
        <v>96</v>
      </c>
      <c r="BT101" s="25">
        <v>117</v>
      </c>
      <c r="BU101" s="23" t="s">
        <v>96</v>
      </c>
      <c r="BV101" s="25">
        <v>117</v>
      </c>
      <c r="BW101" s="23" t="s">
        <v>96</v>
      </c>
      <c r="BX101" s="25">
        <v>117</v>
      </c>
      <c r="BY101" s="23" t="s">
        <v>96</v>
      </c>
      <c r="BZ101" s="25">
        <v>117</v>
      </c>
      <c r="CA101" s="23" t="s">
        <v>96</v>
      </c>
      <c r="CB101" s="25">
        <v>117</v>
      </c>
      <c r="CC101" s="23" t="s">
        <v>96</v>
      </c>
      <c r="CD101" s="25">
        <v>117</v>
      </c>
      <c r="CE101" s="23" t="s">
        <v>96</v>
      </c>
      <c r="CF101" s="25">
        <v>117</v>
      </c>
      <c r="CG101" s="23" t="s">
        <v>96</v>
      </c>
      <c r="CH101" s="25">
        <v>117</v>
      </c>
      <c r="CI101" s="23" t="s">
        <v>96</v>
      </c>
      <c r="CJ101" s="25">
        <v>117</v>
      </c>
      <c r="CK101" s="23" t="s">
        <v>96</v>
      </c>
      <c r="CL101" s="25">
        <v>117</v>
      </c>
      <c r="CM101" s="23" t="s">
        <v>96</v>
      </c>
      <c r="CN101" s="25">
        <v>117</v>
      </c>
      <c r="CO101" s="23" t="s">
        <v>96</v>
      </c>
      <c r="CP101" s="25">
        <v>117</v>
      </c>
      <c r="CQ101" s="23" t="s">
        <v>96</v>
      </c>
      <c r="CR101" s="25">
        <v>117</v>
      </c>
      <c r="CS101" s="23" t="s">
        <v>96</v>
      </c>
      <c r="CT101" s="25">
        <v>117</v>
      </c>
      <c r="CU101" s="23" t="s">
        <v>96</v>
      </c>
      <c r="CV101" s="25">
        <v>117</v>
      </c>
      <c r="CW101" s="23" t="s">
        <v>96</v>
      </c>
    </row>
    <row r="102" spans="3:101" x14ac:dyDescent="0.2">
      <c r="C102" s="24">
        <v>12</v>
      </c>
      <c r="E102" s="24">
        <v>12</v>
      </c>
      <c r="F102" s="24">
        <v>30</v>
      </c>
      <c r="G102" s="24">
        <v>12</v>
      </c>
      <c r="H102" s="24">
        <v>21</v>
      </c>
      <c r="I102" s="24">
        <v>12</v>
      </c>
      <c r="J102" s="24">
        <v>25</v>
      </c>
      <c r="K102" s="24">
        <v>12</v>
      </c>
      <c r="L102" s="24">
        <v>36</v>
      </c>
      <c r="M102" s="24">
        <v>12</v>
      </c>
      <c r="N102" s="24">
        <v>29</v>
      </c>
      <c r="O102" s="24">
        <v>12</v>
      </c>
      <c r="P102" s="24">
        <v>30</v>
      </c>
      <c r="Q102" s="24">
        <v>12</v>
      </c>
      <c r="R102" s="24">
        <v>26</v>
      </c>
      <c r="S102" s="24">
        <v>12</v>
      </c>
      <c r="T102" s="24">
        <v>30</v>
      </c>
      <c r="U102" s="24">
        <v>12</v>
      </c>
      <c r="V102" s="24">
        <v>35</v>
      </c>
      <c r="W102" s="24">
        <v>12</v>
      </c>
      <c r="X102" s="24">
        <v>29</v>
      </c>
      <c r="AD102" s="25">
        <v>118</v>
      </c>
      <c r="AF102" s="25">
        <v>118</v>
      </c>
      <c r="AH102" s="25">
        <v>118</v>
      </c>
      <c r="AJ102" s="25">
        <v>118</v>
      </c>
      <c r="AK102" s="23">
        <v>38</v>
      </c>
      <c r="AL102" s="25">
        <v>118</v>
      </c>
      <c r="AN102" s="25">
        <v>118</v>
      </c>
      <c r="AO102" s="23">
        <v>45</v>
      </c>
      <c r="AP102" s="25">
        <v>118</v>
      </c>
      <c r="AR102" s="25">
        <v>118</v>
      </c>
      <c r="AS102" s="23">
        <v>54</v>
      </c>
      <c r="AT102" s="25">
        <v>118</v>
      </c>
      <c r="AV102" s="25">
        <v>118</v>
      </c>
      <c r="AX102" s="25">
        <v>118</v>
      </c>
      <c r="AZ102" s="25">
        <v>118</v>
      </c>
      <c r="BA102" s="23">
        <v>56</v>
      </c>
      <c r="BB102" s="25">
        <v>118</v>
      </c>
      <c r="BD102" s="25">
        <v>118</v>
      </c>
      <c r="BF102" s="25">
        <v>118</v>
      </c>
      <c r="BG102" s="23">
        <v>67</v>
      </c>
      <c r="BH102" s="25">
        <v>118</v>
      </c>
      <c r="BJ102" s="25">
        <v>118</v>
      </c>
      <c r="BP102" s="25">
        <v>118</v>
      </c>
      <c r="BQ102" s="23" t="s">
        <v>96</v>
      </c>
      <c r="BR102" s="25">
        <v>118</v>
      </c>
      <c r="BS102" s="23" t="s">
        <v>96</v>
      </c>
      <c r="BT102" s="25">
        <v>118</v>
      </c>
      <c r="BU102" s="23" t="s">
        <v>96</v>
      </c>
      <c r="BV102" s="25">
        <v>118</v>
      </c>
      <c r="BW102" s="23" t="s">
        <v>96</v>
      </c>
      <c r="BX102" s="25">
        <v>118</v>
      </c>
      <c r="BY102" s="23" t="s">
        <v>96</v>
      </c>
      <c r="BZ102" s="25">
        <v>118</v>
      </c>
      <c r="CA102" s="23" t="s">
        <v>96</v>
      </c>
      <c r="CB102" s="25">
        <v>118</v>
      </c>
      <c r="CC102" s="23" t="s">
        <v>96</v>
      </c>
      <c r="CD102" s="25">
        <v>118</v>
      </c>
      <c r="CE102" s="23" t="s">
        <v>96</v>
      </c>
      <c r="CF102" s="25">
        <v>118</v>
      </c>
      <c r="CG102" s="23" t="s">
        <v>96</v>
      </c>
      <c r="CH102" s="25">
        <v>118</v>
      </c>
      <c r="CI102" s="23" t="s">
        <v>96</v>
      </c>
      <c r="CJ102" s="25">
        <v>118</v>
      </c>
      <c r="CK102" s="23" t="s">
        <v>96</v>
      </c>
      <c r="CL102" s="25">
        <v>118</v>
      </c>
      <c r="CM102" s="23" t="s">
        <v>96</v>
      </c>
      <c r="CN102" s="25">
        <v>118</v>
      </c>
      <c r="CO102" s="23" t="s">
        <v>96</v>
      </c>
      <c r="CP102" s="25">
        <v>118</v>
      </c>
      <c r="CQ102" s="23" t="s">
        <v>96</v>
      </c>
      <c r="CR102" s="25">
        <v>118</v>
      </c>
      <c r="CS102" s="23" t="s">
        <v>96</v>
      </c>
      <c r="CT102" s="25">
        <v>118</v>
      </c>
      <c r="CU102" s="23" t="s">
        <v>96</v>
      </c>
      <c r="CV102" s="25">
        <v>118</v>
      </c>
      <c r="CW102" s="23" t="s">
        <v>96</v>
      </c>
    </row>
    <row r="103" spans="3:101" x14ac:dyDescent="0.2">
      <c r="C103" s="24">
        <v>13</v>
      </c>
      <c r="E103" s="24">
        <v>13</v>
      </c>
      <c r="F103" s="24">
        <v>33</v>
      </c>
      <c r="G103" s="24">
        <v>13</v>
      </c>
      <c r="H103" s="24">
        <v>23</v>
      </c>
      <c r="I103" s="24">
        <v>13</v>
      </c>
      <c r="J103" s="24">
        <v>27</v>
      </c>
      <c r="K103" s="24">
        <v>13</v>
      </c>
      <c r="L103" s="24">
        <v>38</v>
      </c>
      <c r="M103" s="24">
        <v>13</v>
      </c>
      <c r="N103" s="24">
        <v>30</v>
      </c>
      <c r="O103" s="24">
        <v>13</v>
      </c>
      <c r="P103" s="24">
        <v>32</v>
      </c>
      <c r="Q103" s="24">
        <v>13</v>
      </c>
      <c r="R103" s="24">
        <v>28</v>
      </c>
      <c r="S103" s="24">
        <v>13</v>
      </c>
      <c r="T103" s="24">
        <v>32</v>
      </c>
      <c r="U103" s="24">
        <v>13</v>
      </c>
      <c r="V103" s="24">
        <v>37</v>
      </c>
      <c r="W103" s="24">
        <v>13</v>
      </c>
      <c r="X103" s="24"/>
      <c r="AD103" s="25">
        <v>119</v>
      </c>
      <c r="AF103" s="25">
        <v>119</v>
      </c>
      <c r="AH103" s="25">
        <v>119</v>
      </c>
      <c r="AJ103" s="25">
        <v>119</v>
      </c>
      <c r="AL103" s="25">
        <v>119</v>
      </c>
      <c r="AN103" s="25">
        <v>119</v>
      </c>
      <c r="AP103" s="25">
        <v>119</v>
      </c>
      <c r="AR103" s="25">
        <v>119</v>
      </c>
      <c r="AT103" s="25">
        <v>119</v>
      </c>
      <c r="AV103" s="25">
        <v>119</v>
      </c>
      <c r="AW103" s="23">
        <v>48</v>
      </c>
      <c r="AX103" s="25">
        <v>119</v>
      </c>
      <c r="AZ103" s="25">
        <v>119</v>
      </c>
      <c r="BB103" s="25">
        <v>119</v>
      </c>
      <c r="BD103" s="25">
        <v>119</v>
      </c>
      <c r="BE103" s="23">
        <v>58</v>
      </c>
      <c r="BF103" s="25">
        <v>119</v>
      </c>
      <c r="BH103" s="25">
        <v>119</v>
      </c>
      <c r="BJ103" s="25">
        <v>119</v>
      </c>
      <c r="BP103" s="25">
        <v>119</v>
      </c>
      <c r="BQ103" s="23" t="s">
        <v>96</v>
      </c>
      <c r="BR103" s="25">
        <v>119</v>
      </c>
      <c r="BS103" s="23" t="s">
        <v>96</v>
      </c>
      <c r="BT103" s="25">
        <v>119</v>
      </c>
      <c r="BU103" s="23" t="s">
        <v>96</v>
      </c>
      <c r="BV103" s="25">
        <v>119</v>
      </c>
      <c r="BW103" s="23" t="s">
        <v>96</v>
      </c>
      <c r="BX103" s="25">
        <v>119</v>
      </c>
      <c r="BY103" s="23" t="s">
        <v>96</v>
      </c>
      <c r="BZ103" s="25">
        <v>119</v>
      </c>
      <c r="CA103" s="23" t="s">
        <v>96</v>
      </c>
      <c r="CB103" s="25">
        <v>119</v>
      </c>
      <c r="CC103" s="23" t="s">
        <v>96</v>
      </c>
      <c r="CD103" s="25">
        <v>119</v>
      </c>
      <c r="CE103" s="23" t="s">
        <v>96</v>
      </c>
      <c r="CF103" s="25">
        <v>119</v>
      </c>
      <c r="CG103" s="23" t="s">
        <v>96</v>
      </c>
      <c r="CH103" s="25">
        <v>119</v>
      </c>
      <c r="CI103" s="23" t="s">
        <v>96</v>
      </c>
      <c r="CJ103" s="25">
        <v>119</v>
      </c>
      <c r="CK103" s="23" t="s">
        <v>96</v>
      </c>
      <c r="CL103" s="25">
        <v>119</v>
      </c>
      <c r="CM103" s="23" t="s">
        <v>96</v>
      </c>
      <c r="CN103" s="25">
        <v>119</v>
      </c>
      <c r="CO103" s="23" t="s">
        <v>96</v>
      </c>
      <c r="CP103" s="25">
        <v>119</v>
      </c>
      <c r="CQ103" s="23" t="s">
        <v>96</v>
      </c>
      <c r="CR103" s="25">
        <v>119</v>
      </c>
      <c r="CS103" s="23" t="s">
        <v>96</v>
      </c>
      <c r="CT103" s="25">
        <v>119</v>
      </c>
      <c r="CU103" s="23" t="s">
        <v>96</v>
      </c>
      <c r="CV103" s="25">
        <v>119</v>
      </c>
      <c r="CW103" s="23" t="s">
        <v>96</v>
      </c>
    </row>
    <row r="104" spans="3:101" x14ac:dyDescent="0.2">
      <c r="C104" s="24">
        <v>14</v>
      </c>
      <c r="E104" s="24">
        <v>14</v>
      </c>
      <c r="F104" s="24">
        <v>35</v>
      </c>
      <c r="G104" s="24">
        <v>14</v>
      </c>
      <c r="H104" s="24">
        <v>24</v>
      </c>
      <c r="I104" s="24">
        <v>14</v>
      </c>
      <c r="J104" s="24">
        <v>29</v>
      </c>
      <c r="K104" s="24">
        <v>14</v>
      </c>
      <c r="L104" s="24">
        <v>39</v>
      </c>
      <c r="M104" s="24">
        <v>14</v>
      </c>
      <c r="N104" s="24">
        <v>32</v>
      </c>
      <c r="O104" s="24">
        <v>14</v>
      </c>
      <c r="P104" s="24">
        <v>33</v>
      </c>
      <c r="Q104" s="24">
        <v>14</v>
      </c>
      <c r="R104" s="24">
        <v>29</v>
      </c>
      <c r="S104" s="24">
        <v>14</v>
      </c>
      <c r="T104" s="24">
        <v>34</v>
      </c>
      <c r="U104" s="24">
        <v>14</v>
      </c>
      <c r="V104" s="24">
        <v>40</v>
      </c>
      <c r="W104" s="24">
        <v>14</v>
      </c>
      <c r="X104" s="24"/>
      <c r="AD104" s="25">
        <v>120</v>
      </c>
      <c r="AF104" s="25">
        <v>120</v>
      </c>
      <c r="AH104" s="25">
        <v>120</v>
      </c>
      <c r="AJ104" s="25">
        <v>120</v>
      </c>
      <c r="AL104" s="25">
        <v>120</v>
      </c>
      <c r="AN104" s="25">
        <v>120</v>
      </c>
      <c r="AO104" s="23">
        <v>46</v>
      </c>
      <c r="AP104" s="25">
        <v>120</v>
      </c>
      <c r="AR104" s="25">
        <v>120</v>
      </c>
      <c r="AT104" s="25">
        <v>120</v>
      </c>
      <c r="AV104" s="25">
        <v>120</v>
      </c>
      <c r="AX104" s="25">
        <v>120</v>
      </c>
      <c r="AY104" s="23">
        <v>32</v>
      </c>
      <c r="AZ104" s="25">
        <v>120</v>
      </c>
      <c r="BA104" s="23">
        <v>57</v>
      </c>
      <c r="BB104" s="25">
        <v>120</v>
      </c>
      <c r="BD104" s="25">
        <v>120</v>
      </c>
      <c r="BF104" s="25">
        <v>120</v>
      </c>
      <c r="BH104" s="25">
        <v>120</v>
      </c>
      <c r="BJ104" s="25">
        <v>120</v>
      </c>
      <c r="BP104" s="25">
        <v>120</v>
      </c>
      <c r="BQ104" s="23" t="s">
        <v>96</v>
      </c>
      <c r="BR104" s="25">
        <v>120</v>
      </c>
      <c r="BS104" s="23" t="s">
        <v>96</v>
      </c>
      <c r="BT104" s="25">
        <v>120</v>
      </c>
      <c r="BU104" s="23" t="s">
        <v>96</v>
      </c>
      <c r="BV104" s="25">
        <v>120</v>
      </c>
      <c r="BW104" s="23" t="s">
        <v>96</v>
      </c>
      <c r="BX104" s="25">
        <v>120</v>
      </c>
      <c r="BY104" s="23" t="s">
        <v>96</v>
      </c>
      <c r="BZ104" s="25">
        <v>120</v>
      </c>
      <c r="CA104" s="23" t="s">
        <v>96</v>
      </c>
      <c r="CB104" s="25">
        <v>120</v>
      </c>
      <c r="CC104" s="23" t="s">
        <v>96</v>
      </c>
      <c r="CD104" s="25">
        <v>120</v>
      </c>
      <c r="CE104" s="23" t="s">
        <v>96</v>
      </c>
      <c r="CF104" s="25">
        <v>120</v>
      </c>
      <c r="CG104" s="23" t="s">
        <v>96</v>
      </c>
      <c r="CH104" s="25">
        <v>120</v>
      </c>
      <c r="CI104" s="23" t="s">
        <v>96</v>
      </c>
      <c r="CJ104" s="25">
        <v>120</v>
      </c>
      <c r="CK104" s="23" t="s">
        <v>96</v>
      </c>
      <c r="CL104" s="25">
        <v>120</v>
      </c>
      <c r="CM104" s="23" t="s">
        <v>96</v>
      </c>
      <c r="CN104" s="25">
        <v>120</v>
      </c>
      <c r="CO104" s="23" t="s">
        <v>96</v>
      </c>
      <c r="CP104" s="25">
        <v>120</v>
      </c>
      <c r="CQ104" s="23" t="s">
        <v>96</v>
      </c>
      <c r="CR104" s="25">
        <v>120</v>
      </c>
      <c r="CS104" s="23" t="s">
        <v>96</v>
      </c>
      <c r="CT104" s="25">
        <v>120</v>
      </c>
      <c r="CU104" s="23" t="s">
        <v>96</v>
      </c>
      <c r="CV104" s="25">
        <v>120</v>
      </c>
      <c r="CW104" s="23" t="s">
        <v>96</v>
      </c>
    </row>
    <row r="105" spans="3:101" x14ac:dyDescent="0.2">
      <c r="C105" s="24">
        <v>15</v>
      </c>
      <c r="E105" s="24">
        <v>15</v>
      </c>
      <c r="F105" s="24">
        <v>37</v>
      </c>
      <c r="G105" s="24">
        <v>15</v>
      </c>
      <c r="H105" s="24">
        <v>26</v>
      </c>
      <c r="I105" s="24">
        <v>15</v>
      </c>
      <c r="J105" s="24"/>
      <c r="K105" s="24">
        <v>15</v>
      </c>
      <c r="L105" s="24">
        <v>40</v>
      </c>
      <c r="M105" s="24">
        <v>15</v>
      </c>
      <c r="N105" s="24">
        <v>33</v>
      </c>
      <c r="O105" s="24">
        <v>15</v>
      </c>
      <c r="P105" s="24">
        <v>35</v>
      </c>
      <c r="Q105" s="24">
        <v>15</v>
      </c>
      <c r="R105" s="24"/>
      <c r="S105" s="24">
        <v>15</v>
      </c>
      <c r="T105" s="24">
        <v>37</v>
      </c>
      <c r="U105" s="24">
        <v>15</v>
      </c>
      <c r="V105" s="24">
        <v>43</v>
      </c>
      <c r="W105" s="24">
        <v>15</v>
      </c>
      <c r="X105" s="24"/>
      <c r="AD105" s="25"/>
      <c r="AF105" s="25"/>
      <c r="AH105" s="25"/>
      <c r="AJ105" s="25"/>
      <c r="AL105" s="25"/>
      <c r="AN105" s="25"/>
      <c r="AP105" s="25"/>
      <c r="AR105" s="25"/>
      <c r="AT105" s="25"/>
      <c r="AV105" s="25"/>
      <c r="AX105" s="25"/>
      <c r="AZ105" s="25"/>
      <c r="BB105" s="25"/>
      <c r="BD105" s="25"/>
      <c r="BF105" s="25"/>
      <c r="BH105" s="25"/>
      <c r="BJ105" s="25"/>
    </row>
    <row r="106" spans="3:101" x14ac:dyDescent="0.2">
      <c r="C106" s="24">
        <v>16</v>
      </c>
      <c r="E106" s="24">
        <v>16</v>
      </c>
      <c r="G106" s="24">
        <v>16</v>
      </c>
      <c r="H106" s="24">
        <v>27</v>
      </c>
      <c r="I106" s="24">
        <v>16</v>
      </c>
      <c r="J106" s="24"/>
      <c r="K106" s="24">
        <v>16</v>
      </c>
      <c r="L106" s="24">
        <v>42</v>
      </c>
      <c r="M106" s="24">
        <v>16</v>
      </c>
      <c r="N106" s="24">
        <v>35</v>
      </c>
      <c r="O106" s="24">
        <v>16</v>
      </c>
      <c r="P106" s="24">
        <v>37</v>
      </c>
      <c r="Q106" s="24">
        <v>16</v>
      </c>
      <c r="R106" s="24"/>
      <c r="S106" s="24">
        <v>16</v>
      </c>
      <c r="T106" s="24">
        <v>39</v>
      </c>
      <c r="U106" s="24">
        <v>16</v>
      </c>
      <c r="V106" s="24">
        <v>46</v>
      </c>
      <c r="W106" s="24">
        <v>16</v>
      </c>
      <c r="X106" s="24"/>
      <c r="AD106" s="25"/>
      <c r="AF106" s="25"/>
      <c r="AH106" s="25"/>
      <c r="AJ106" s="25"/>
      <c r="AL106" s="25"/>
      <c r="AN106" s="25"/>
      <c r="AP106" s="25"/>
      <c r="AR106" s="25"/>
      <c r="AT106" s="25"/>
      <c r="AV106" s="25"/>
      <c r="AX106" s="25"/>
      <c r="AZ106" s="25"/>
      <c r="BB106" s="25"/>
      <c r="BD106" s="25"/>
      <c r="BF106" s="25"/>
      <c r="BH106" s="25"/>
      <c r="BJ106" s="25"/>
    </row>
    <row r="107" spans="3:101" x14ac:dyDescent="0.2">
      <c r="C107" s="24">
        <v>17</v>
      </c>
      <c r="E107" s="24">
        <v>17</v>
      </c>
      <c r="G107" s="24">
        <v>17</v>
      </c>
      <c r="H107" s="24"/>
      <c r="I107" s="24">
        <v>17</v>
      </c>
      <c r="J107" s="24"/>
      <c r="K107" s="24">
        <v>17</v>
      </c>
      <c r="L107" s="24">
        <v>44</v>
      </c>
      <c r="M107" s="24">
        <v>17</v>
      </c>
      <c r="N107" s="24">
        <v>36</v>
      </c>
      <c r="O107" s="24">
        <v>17</v>
      </c>
      <c r="P107" s="24">
        <v>39</v>
      </c>
      <c r="Q107" s="24">
        <v>17</v>
      </c>
      <c r="R107" s="24"/>
      <c r="S107" s="24">
        <v>17</v>
      </c>
      <c r="T107" s="24"/>
      <c r="U107" s="24">
        <v>17</v>
      </c>
      <c r="V107" s="24">
        <v>48</v>
      </c>
      <c r="W107" s="24">
        <v>17</v>
      </c>
      <c r="X107" s="24"/>
      <c r="AD107" s="25"/>
      <c r="AF107" s="25"/>
      <c r="AH107" s="25"/>
      <c r="AJ107" s="25"/>
      <c r="AL107" s="25"/>
      <c r="AN107" s="25"/>
      <c r="AP107" s="25"/>
      <c r="AR107" s="25"/>
      <c r="AT107" s="25"/>
      <c r="AV107" s="25"/>
      <c r="AX107" s="25"/>
      <c r="AZ107" s="25"/>
      <c r="BB107" s="25"/>
      <c r="BD107" s="25"/>
      <c r="BF107" s="25"/>
      <c r="BH107" s="25"/>
      <c r="BJ107" s="25"/>
    </row>
    <row r="108" spans="3:101" x14ac:dyDescent="0.2">
      <c r="C108" s="24">
        <v>18</v>
      </c>
      <c r="E108" s="24">
        <v>18</v>
      </c>
      <c r="G108" s="24">
        <v>18</v>
      </c>
      <c r="H108" s="24"/>
      <c r="I108" s="24">
        <v>18</v>
      </c>
      <c r="J108" s="24"/>
      <c r="K108" s="24">
        <v>18</v>
      </c>
      <c r="L108" s="24">
        <v>46</v>
      </c>
      <c r="M108" s="24">
        <v>18</v>
      </c>
      <c r="N108" s="24">
        <v>38</v>
      </c>
      <c r="O108" s="24">
        <v>18</v>
      </c>
      <c r="P108" s="24">
        <v>40</v>
      </c>
      <c r="Q108" s="24">
        <v>18</v>
      </c>
      <c r="R108" s="24"/>
      <c r="S108" s="24">
        <v>18</v>
      </c>
      <c r="T108" s="24"/>
      <c r="U108" s="24">
        <v>18</v>
      </c>
      <c r="V108" s="24">
        <v>51</v>
      </c>
      <c r="W108" s="24">
        <v>18</v>
      </c>
      <c r="X108" s="24"/>
    </row>
    <row r="109" spans="3:101" x14ac:dyDescent="0.2">
      <c r="C109" s="24">
        <v>19</v>
      </c>
      <c r="E109" s="24">
        <v>19</v>
      </c>
      <c r="G109" s="24">
        <v>19</v>
      </c>
      <c r="H109" s="24"/>
      <c r="I109" s="24">
        <v>19</v>
      </c>
      <c r="J109" s="24"/>
      <c r="K109" s="24">
        <v>19</v>
      </c>
      <c r="L109" s="24">
        <v>48</v>
      </c>
      <c r="M109" s="24">
        <v>19</v>
      </c>
      <c r="N109" s="24">
        <v>40</v>
      </c>
      <c r="O109" s="24">
        <v>19</v>
      </c>
      <c r="P109" s="24">
        <v>42</v>
      </c>
      <c r="Q109" s="24">
        <v>19</v>
      </c>
      <c r="R109" s="24"/>
      <c r="S109" s="24">
        <v>19</v>
      </c>
      <c r="T109" s="24"/>
      <c r="U109" s="24">
        <v>19</v>
      </c>
      <c r="V109" s="24">
        <v>54</v>
      </c>
      <c r="W109" s="24">
        <v>19</v>
      </c>
      <c r="X109" s="24"/>
    </row>
    <row r="110" spans="3:101" x14ac:dyDescent="0.2">
      <c r="C110" s="24">
        <v>20</v>
      </c>
      <c r="E110" s="24">
        <v>20</v>
      </c>
      <c r="G110" s="24">
        <v>20</v>
      </c>
      <c r="H110" s="24"/>
      <c r="I110" s="24">
        <v>20</v>
      </c>
      <c r="J110" s="24"/>
      <c r="K110" s="24">
        <v>20</v>
      </c>
      <c r="L110" s="24">
        <v>50</v>
      </c>
      <c r="M110" s="24">
        <v>20</v>
      </c>
      <c r="N110" s="24">
        <v>41</v>
      </c>
      <c r="O110" s="24">
        <v>20</v>
      </c>
      <c r="P110" s="24"/>
      <c r="Q110" s="24">
        <v>20</v>
      </c>
      <c r="R110" s="24"/>
      <c r="S110" s="24">
        <v>20</v>
      </c>
      <c r="T110" s="24"/>
      <c r="U110" s="24">
        <v>20</v>
      </c>
      <c r="V110" s="24">
        <v>57</v>
      </c>
      <c r="W110" s="24">
        <v>20</v>
      </c>
      <c r="X110" s="24"/>
    </row>
    <row r="114" spans="2:7" x14ac:dyDescent="0.2">
      <c r="B114" s="40" t="s">
        <v>105</v>
      </c>
    </row>
    <row r="115" spans="2:7" x14ac:dyDescent="0.2">
      <c r="B115" s="24" t="s">
        <v>82</v>
      </c>
      <c r="C115" s="24">
        <v>5</v>
      </c>
      <c r="D115" s="24" t="s">
        <v>82</v>
      </c>
      <c r="E115" s="24">
        <v>4</v>
      </c>
      <c r="F115" s="24" t="s">
        <v>82</v>
      </c>
      <c r="G115" s="24">
        <v>2</v>
      </c>
    </row>
    <row r="116" spans="2:7" x14ac:dyDescent="0.2">
      <c r="B116" s="43">
        <v>0</v>
      </c>
      <c r="C116" s="44">
        <v>0</v>
      </c>
      <c r="D116" s="43">
        <v>0</v>
      </c>
      <c r="E116" s="24">
        <v>0</v>
      </c>
      <c r="F116" s="43">
        <v>0</v>
      </c>
      <c r="G116" s="24">
        <v>0</v>
      </c>
    </row>
    <row r="117" spans="2:7" x14ac:dyDescent="0.2">
      <c r="B117" s="43">
        <v>1</v>
      </c>
      <c r="C117" s="44">
        <v>1</v>
      </c>
      <c r="D117" s="43">
        <v>1</v>
      </c>
      <c r="E117" s="24">
        <v>1</v>
      </c>
      <c r="F117" s="43">
        <v>1</v>
      </c>
      <c r="G117" s="24">
        <v>0</v>
      </c>
    </row>
    <row r="118" spans="2:7" x14ac:dyDescent="0.2">
      <c r="B118" s="43">
        <v>2</v>
      </c>
      <c r="C118" s="44">
        <v>1</v>
      </c>
      <c r="D118" s="43">
        <v>2</v>
      </c>
      <c r="E118" s="24">
        <v>1</v>
      </c>
      <c r="F118" s="43">
        <v>2</v>
      </c>
      <c r="G118" s="24">
        <v>0</v>
      </c>
    </row>
    <row r="119" spans="2:7" x14ac:dyDescent="0.2">
      <c r="B119" s="43">
        <v>3</v>
      </c>
      <c r="C119" s="44">
        <v>2</v>
      </c>
      <c r="D119" s="43">
        <v>3</v>
      </c>
      <c r="E119" s="24">
        <v>2</v>
      </c>
      <c r="F119" s="43">
        <v>3</v>
      </c>
      <c r="G119" s="24">
        <v>1</v>
      </c>
    </row>
    <row r="120" spans="2:7" x14ac:dyDescent="0.2">
      <c r="B120" s="43">
        <v>4</v>
      </c>
      <c r="C120" s="44">
        <v>2</v>
      </c>
      <c r="D120" s="43">
        <v>4</v>
      </c>
      <c r="E120" s="24">
        <v>2</v>
      </c>
      <c r="F120" s="43">
        <v>4</v>
      </c>
      <c r="G120" s="24">
        <v>1</v>
      </c>
    </row>
    <row r="121" spans="2:7" x14ac:dyDescent="0.2">
      <c r="B121" s="43">
        <v>5</v>
      </c>
      <c r="C121" s="44">
        <v>3</v>
      </c>
      <c r="D121" s="43">
        <v>5</v>
      </c>
      <c r="E121" s="24">
        <v>2</v>
      </c>
      <c r="F121" s="43">
        <v>5</v>
      </c>
      <c r="G121" s="24">
        <v>1</v>
      </c>
    </row>
    <row r="122" spans="2:7" x14ac:dyDescent="0.2">
      <c r="B122" s="43">
        <v>6</v>
      </c>
      <c r="C122" s="44">
        <v>3</v>
      </c>
      <c r="D122" s="43">
        <v>6</v>
      </c>
      <c r="E122" s="24">
        <v>2</v>
      </c>
      <c r="F122" s="43">
        <v>6</v>
      </c>
      <c r="G122" s="24">
        <v>1</v>
      </c>
    </row>
    <row r="123" spans="2:7" x14ac:dyDescent="0.2">
      <c r="B123" s="43">
        <v>7</v>
      </c>
      <c r="C123" s="44">
        <v>4</v>
      </c>
      <c r="D123" s="43">
        <v>7</v>
      </c>
      <c r="E123" s="24">
        <v>3</v>
      </c>
      <c r="F123" s="43">
        <v>7</v>
      </c>
      <c r="G123" s="24">
        <v>1</v>
      </c>
    </row>
    <row r="124" spans="2:7" x14ac:dyDescent="0.2">
      <c r="B124" s="43">
        <v>8</v>
      </c>
      <c r="C124" s="44">
        <v>4</v>
      </c>
      <c r="D124" s="43">
        <v>8</v>
      </c>
      <c r="E124" s="24">
        <v>3</v>
      </c>
      <c r="F124" s="43">
        <v>8</v>
      </c>
      <c r="G124" s="24">
        <v>2</v>
      </c>
    </row>
    <row r="125" spans="2:7" x14ac:dyDescent="0.2">
      <c r="B125" s="43">
        <v>9</v>
      </c>
      <c r="C125" s="44">
        <v>5</v>
      </c>
      <c r="D125" s="43">
        <v>9</v>
      </c>
      <c r="E125" s="24">
        <v>4</v>
      </c>
      <c r="F125" s="43">
        <v>9</v>
      </c>
      <c r="G125" s="24">
        <v>2</v>
      </c>
    </row>
    <row r="126" spans="2:7" x14ac:dyDescent="0.2">
      <c r="B126" s="43">
        <v>10</v>
      </c>
      <c r="C126" s="44">
        <v>5</v>
      </c>
      <c r="D126" s="43">
        <v>10</v>
      </c>
      <c r="E126" s="24">
        <v>4</v>
      </c>
      <c r="F126" s="43">
        <v>10</v>
      </c>
      <c r="G126" s="24">
        <v>2</v>
      </c>
    </row>
    <row r="127" spans="2:7" x14ac:dyDescent="0.2">
      <c r="B127" s="43">
        <v>11</v>
      </c>
      <c r="C127" s="44">
        <v>6</v>
      </c>
      <c r="D127" s="43">
        <v>11</v>
      </c>
      <c r="E127" s="24">
        <v>4</v>
      </c>
      <c r="F127" s="43">
        <v>11</v>
      </c>
      <c r="G127" s="24">
        <v>2</v>
      </c>
    </row>
    <row r="128" spans="2:7" x14ac:dyDescent="0.2">
      <c r="B128" s="43">
        <v>12</v>
      </c>
      <c r="C128" s="44">
        <v>6</v>
      </c>
      <c r="D128" s="43">
        <v>12</v>
      </c>
      <c r="E128" s="24">
        <v>5</v>
      </c>
      <c r="F128" s="43">
        <v>12</v>
      </c>
      <c r="G128" s="24">
        <v>2</v>
      </c>
    </row>
    <row r="129" spans="2:7" x14ac:dyDescent="0.2">
      <c r="B129" s="43">
        <v>13</v>
      </c>
      <c r="C129" s="44">
        <v>7</v>
      </c>
      <c r="D129" s="43">
        <v>13</v>
      </c>
      <c r="E129" s="24">
        <v>5</v>
      </c>
      <c r="F129" s="43">
        <v>13</v>
      </c>
      <c r="G129" s="24">
        <v>3</v>
      </c>
    </row>
    <row r="130" spans="2:7" x14ac:dyDescent="0.2">
      <c r="B130" s="43">
        <v>14</v>
      </c>
      <c r="C130" s="44">
        <v>7</v>
      </c>
      <c r="D130" s="43">
        <v>14</v>
      </c>
      <c r="E130" s="24">
        <v>6</v>
      </c>
      <c r="F130" s="43">
        <v>14</v>
      </c>
      <c r="G130" s="24">
        <v>3</v>
      </c>
    </row>
    <row r="131" spans="2:7" x14ac:dyDescent="0.2">
      <c r="B131" s="43">
        <v>15</v>
      </c>
      <c r="C131" s="44">
        <v>8</v>
      </c>
      <c r="D131" s="43">
        <v>15</v>
      </c>
      <c r="E131" s="24">
        <v>6</v>
      </c>
      <c r="F131" s="43">
        <v>15</v>
      </c>
      <c r="G131" s="24">
        <v>3</v>
      </c>
    </row>
    <row r="132" spans="2:7" x14ac:dyDescent="0.2">
      <c r="B132" s="43">
        <v>16</v>
      </c>
      <c r="C132" s="44">
        <v>8</v>
      </c>
      <c r="D132" s="43">
        <v>16</v>
      </c>
      <c r="E132" s="24">
        <v>6</v>
      </c>
      <c r="F132" s="43">
        <v>16</v>
      </c>
      <c r="G132" s="24">
        <v>3</v>
      </c>
    </row>
    <row r="133" spans="2:7" x14ac:dyDescent="0.2">
      <c r="B133" s="43">
        <v>17</v>
      </c>
      <c r="C133" s="44">
        <v>9</v>
      </c>
      <c r="D133" s="43">
        <v>17</v>
      </c>
      <c r="E133" s="24">
        <v>7</v>
      </c>
      <c r="F133" s="43">
        <v>17</v>
      </c>
      <c r="G133" s="24">
        <v>3</v>
      </c>
    </row>
    <row r="134" spans="2:7" x14ac:dyDescent="0.2">
      <c r="B134" s="43">
        <v>18</v>
      </c>
      <c r="C134" s="44">
        <v>9</v>
      </c>
      <c r="D134" s="43">
        <v>18</v>
      </c>
      <c r="E134" s="24">
        <v>7</v>
      </c>
      <c r="F134" s="43">
        <v>18</v>
      </c>
      <c r="G134" s="24">
        <v>4</v>
      </c>
    </row>
    <row r="135" spans="2:7" x14ac:dyDescent="0.2">
      <c r="B135" s="43">
        <v>19</v>
      </c>
      <c r="C135" s="44">
        <v>10</v>
      </c>
      <c r="D135" s="43">
        <v>19</v>
      </c>
      <c r="E135" s="24">
        <v>8</v>
      </c>
      <c r="F135" s="43">
        <v>19</v>
      </c>
      <c r="G135" s="24">
        <v>4</v>
      </c>
    </row>
    <row r="136" spans="2:7" x14ac:dyDescent="0.2">
      <c r="B136" s="43">
        <v>20</v>
      </c>
      <c r="C136" s="44">
        <v>10</v>
      </c>
      <c r="D136" s="43">
        <v>20</v>
      </c>
      <c r="E136" s="24">
        <v>8</v>
      </c>
      <c r="F136" s="43">
        <v>20</v>
      </c>
      <c r="G136" s="24">
        <v>4</v>
      </c>
    </row>
    <row r="137" spans="2:7" x14ac:dyDescent="0.2">
      <c r="B137" s="43">
        <v>21</v>
      </c>
      <c r="C137" s="44">
        <v>11</v>
      </c>
      <c r="D137" s="43">
        <v>21</v>
      </c>
      <c r="E137" s="24">
        <v>8</v>
      </c>
      <c r="F137" s="43">
        <v>21</v>
      </c>
      <c r="G137" s="24">
        <v>4</v>
      </c>
    </row>
    <row r="138" spans="2:7" x14ac:dyDescent="0.2">
      <c r="B138" s="43">
        <v>22</v>
      </c>
      <c r="C138" s="44">
        <v>11</v>
      </c>
      <c r="D138" s="43">
        <v>22</v>
      </c>
      <c r="E138" s="24">
        <v>9</v>
      </c>
      <c r="F138" s="43">
        <v>22</v>
      </c>
      <c r="G138" s="24">
        <v>4</v>
      </c>
    </row>
    <row r="139" spans="2:7" x14ac:dyDescent="0.2">
      <c r="B139" s="43">
        <v>23</v>
      </c>
      <c r="C139" s="44">
        <v>12</v>
      </c>
      <c r="D139" s="43">
        <v>23</v>
      </c>
      <c r="E139" s="24">
        <v>9</v>
      </c>
      <c r="F139" s="43">
        <v>23</v>
      </c>
      <c r="G139" s="24">
        <v>5</v>
      </c>
    </row>
    <row r="140" spans="2:7" x14ac:dyDescent="0.2">
      <c r="B140" s="43">
        <v>24</v>
      </c>
      <c r="C140" s="44">
        <v>12</v>
      </c>
      <c r="D140" s="43">
        <v>24</v>
      </c>
      <c r="E140" s="24">
        <v>10</v>
      </c>
      <c r="F140" s="43">
        <v>24</v>
      </c>
      <c r="G140" s="24">
        <v>5</v>
      </c>
    </row>
    <row r="141" spans="2:7" x14ac:dyDescent="0.2">
      <c r="B141" s="43">
        <v>25</v>
      </c>
      <c r="C141" s="44">
        <v>13</v>
      </c>
      <c r="D141" s="43">
        <v>25</v>
      </c>
      <c r="E141" s="24">
        <v>10</v>
      </c>
      <c r="F141" s="43">
        <v>25</v>
      </c>
      <c r="G141" s="24">
        <v>5</v>
      </c>
    </row>
    <row r="142" spans="2:7" x14ac:dyDescent="0.2">
      <c r="B142" s="43">
        <v>26</v>
      </c>
      <c r="C142" s="44">
        <v>13</v>
      </c>
      <c r="D142" s="43">
        <v>26</v>
      </c>
      <c r="E142" s="24">
        <v>10</v>
      </c>
      <c r="F142" s="43">
        <v>26</v>
      </c>
      <c r="G142" s="24">
        <v>5</v>
      </c>
    </row>
    <row r="143" spans="2:7" x14ac:dyDescent="0.2">
      <c r="B143" s="43">
        <v>27</v>
      </c>
      <c r="C143" s="44">
        <v>14</v>
      </c>
      <c r="D143" s="43">
        <v>27</v>
      </c>
      <c r="E143" s="24">
        <v>11</v>
      </c>
      <c r="F143" s="43">
        <v>27</v>
      </c>
      <c r="G143" s="24">
        <v>5</v>
      </c>
    </row>
    <row r="144" spans="2:7" x14ac:dyDescent="0.2">
      <c r="B144" s="43">
        <v>28</v>
      </c>
      <c r="C144" s="44">
        <v>14</v>
      </c>
      <c r="D144" s="43">
        <v>28</v>
      </c>
      <c r="E144" s="24">
        <v>11</v>
      </c>
      <c r="F144" s="43">
        <v>28</v>
      </c>
      <c r="G144" s="24">
        <v>6</v>
      </c>
    </row>
    <row r="145" spans="1:7" x14ac:dyDescent="0.2">
      <c r="B145" s="43">
        <v>29</v>
      </c>
      <c r="C145" s="44">
        <v>15</v>
      </c>
      <c r="D145" s="43">
        <v>29</v>
      </c>
      <c r="E145" s="24">
        <v>12</v>
      </c>
      <c r="F145" s="43">
        <v>29</v>
      </c>
      <c r="G145" s="24">
        <v>6</v>
      </c>
    </row>
    <row r="146" spans="1:7" x14ac:dyDescent="0.2">
      <c r="B146" s="43">
        <v>30</v>
      </c>
      <c r="C146" s="44">
        <v>15</v>
      </c>
      <c r="D146" s="43">
        <v>30</v>
      </c>
      <c r="E146" s="24">
        <v>12</v>
      </c>
      <c r="F146" s="43">
        <v>30</v>
      </c>
      <c r="G146" s="24">
        <v>6</v>
      </c>
    </row>
    <row r="147" spans="1:7" x14ac:dyDescent="0.2">
      <c r="B147" s="26"/>
    </row>
    <row r="148" spans="1:7" x14ac:dyDescent="0.2">
      <c r="A148" s="45" t="s">
        <v>106</v>
      </c>
    </row>
    <row r="149" spans="1:7" x14ac:dyDescent="0.2">
      <c r="A149" s="23" t="s">
        <v>80</v>
      </c>
      <c r="B149" s="40" t="str">
        <f>IF(D83&gt;4,"TRATA DE CREAR UNA IMPRESION FAVORABLE NO SIENDO HONESTO AL RESPONDER LOS REACTIVOS","RESPONDE FRANCAMENTE A LOS REACTIVOS, CONFIA LO SUFICIENTE EN SI MISMO COMO PARA")</f>
        <v>RESPONDE FRANCAMENTE A LOS REACTIVOS, CONFIA LO SUFICIENTE EN SI MISMO COMO PARA</v>
      </c>
    </row>
    <row r="150" spans="1:7" x14ac:dyDescent="0.2">
      <c r="B150" s="40" t="str">
        <f>IF(D83&gt;4,"CONVENCIONAL; SOCIALMENTE CONFORMISTA","SER CAPAZ DE ADMITIR DEFECTOS Y DESVENTAJAS MENORES")</f>
        <v>SER CAPAZ DE ADMITIR DEFECTOS Y DESVENTAJAS MENORES</v>
      </c>
    </row>
    <row r="151" spans="1:7" x14ac:dyDescent="0.2">
      <c r="B151" s="40" t="str">
        <f>IF(D83&gt;4,"DE PENSAMIENTO NO ORIGINAL; INFLEXIBLE EN LA SOLUCION DE PROBLEMAS,","PERCEPTIVO, SOCIALMENTE RESPONSIVO, SEGURO DE SI MISMO, INDEPENDIENTE, FUERTE,")</f>
        <v>PERCEPTIVO, SOCIALMENTE RESPONSIVO, SEGURO DE SI MISMO, INDEPENDIENTE, FUERTE,</v>
      </c>
    </row>
    <row r="152" spans="1:7" x14ac:dyDescent="0.2">
      <c r="B152" s="40" t="str">
        <f>IF(D83&gt;4,"TIENE POCA TOLERANCIA A LA TENSION Y LA PRESION, RIGIDO, MORALISTA","NATURAL, RELAJADO, FUNCIONA CON EFICACIA COMO LIDER")</f>
        <v>NATURAL, RELAJADO, FUNCIONA CON EFICACIA COMO LIDER</v>
      </c>
    </row>
    <row r="153" spans="1:7" x14ac:dyDescent="0.2">
      <c r="B153" s="40" t="str">
        <f>IF(D83&gt;4,"SOBREVALUA SU PROPIO VALOR, UTILIZA LA REPRESION Y EL RECHAZO EXCESIVAMENTE, ","COMUNICA SUS IDEAS EFICAZMENTE, DESCRITO POR LOS DEMAS COMO CINICO, SARCASTICO")</f>
        <v>COMUNICA SUS IDEAS EFICAZMENTE, DESCRITO POR LOS DEMAS COMO CINICO, SARCASTICO</v>
      </c>
    </row>
    <row r="154" spans="1:7" x14ac:dyDescent="0.2">
      <c r="B154" s="40" t="str">
        <f>IF(D83&gt;4,"MANIFIESTA POCO O NINGUN CONOCIMIENTO SOBRE SUS PROPIAS MOTIVACIONES","")</f>
        <v/>
      </c>
    </row>
    <row r="155" spans="1:7" x14ac:dyDescent="0.2">
      <c r="B155" s="40" t="str">
        <f>IF(D83&gt;4,"MUESTRA POCA CONCIENCIA DE LAS CONSECUENCIAS DE SU CONDUCTA EN LAS DEMAS ","")</f>
        <v/>
      </c>
    </row>
    <row r="156" spans="1:7" x14ac:dyDescent="0.2">
      <c r="B156" s="40" t="str">
        <f>IF(D83&gt;4,"PERSONAS, PUEDE ESTAR CONFUSO","")</f>
        <v/>
      </c>
    </row>
    <row r="157" spans="1:7" x14ac:dyDescent="0.2">
      <c r="B157" s="40"/>
    </row>
    <row r="158" spans="1:7" x14ac:dyDescent="0.2">
      <c r="A158" s="23" t="s">
        <v>81</v>
      </c>
      <c r="B158" s="40" t="e">
        <f>IF(E$87&gt;100,"PUEDE HABER RESPONDIDO A LOS REACTIVOS DEL MMPI DE MANERA AZAROSA",IF(E$87&gt;79,"PUEDE HABER RESPONDIDO FALSO A TODOS LOS REACTIVOS DEL MMPI",IF(E$87&gt;64,"TIENE CONVICCIONES SOCIALES, POLITICAS O RELIGIOSAS MUY DESVIADAS",IF(E$87&gt;49,"HA RESPONDIDO A LOS REACTIVOS RELEVANTES DE ALGUNA AREA DE PROBLEMA EN PARTICULAR","RESPONDIO LOS REACTIVOS COMO LA MAYORIA DE LAS PERSONAS NORMALES LO HACEN"))))</f>
        <v>#N/A</v>
      </c>
    </row>
    <row r="159" spans="1:7" x14ac:dyDescent="0.2">
      <c r="B159" s="40" t="e">
        <f>IF(E$87&gt;100,"PUEDE HABER RESPONDIDO CIERTO A TODOS LOS REACTIVOS DEL MMPI",IF(E$87&gt;79,"PUEDE ESTAR SIMULANDO",IF(E$87&gt;64,"PUEDE MANIFESTARSE CLINICAMENTE UN TRASTORNO NEUROTICO O PSICOTICO GRAVE",IF(E$87&gt;49,"TIPICAMENTE FUNCIONA CON EFICACIA EN LA MAYOR PARTE DE LOS ASPECTOS DE SU VIDA","SOCIALMENTE CONFORME"))))</f>
        <v>#N/A</v>
      </c>
    </row>
    <row r="160" spans="1:7" x14ac:dyDescent="0.2">
      <c r="B160" s="40" t="e">
        <f>IF(E$87&gt;100,"PUEDE HABER FINGIDO RESPUESTAS MALAS CUANDO RESOLVIO EL MMPI",IF(E$87&gt;79,"EXAGERA SUS SINTOMAS COMO UNA SUPLICA DE AYUDA",IF(E$87&gt;64,"SI ESTA RELATIVAMENTE LIBRE DE PSICOPATOLOGIA GRAVE, SE DESCRIBE COMO:",IF(E$87&gt;49,"","LIBRE DE PSICOPATOLOGIA INCAPACITANTE"))))</f>
        <v>#N/A</v>
      </c>
    </row>
    <row r="161" spans="1:2" x14ac:dyDescent="0.2">
      <c r="B161" s="40" t="e">
        <f>IF(E$87&gt;100,"SIE ES UN PACIENTE PSICQUIATRICO HOSPITALIZADO, PUEDE MANIFESTAR:,",IF(E$87&gt;79,"PUEDE SER MUY RESISTENTE AL PROCEDIMIENTO DE PRUEBA",IF(E$87&gt;64,"SI ESTA RELATIVAMENTE LIBRE DE PSICOPATOLOGIA GRAVE, SE DESCRIBE COMO:S",IF(E$87&gt;49,"","PUEDE HABER TRATADO DE FIMGIR UN BUEN PERFILA"))))</f>
        <v>#N/A</v>
      </c>
    </row>
    <row r="162" spans="1:2" x14ac:dyDescent="0.2">
      <c r="B162" s="40" t="e">
        <f>IF(E$87&gt;100,"A. DELIRIOS DE REFERENCIA  B. ALUCINACIONES VISUALES, AUDITIVAS O AMBAS",IF(E$87&gt;79,"PUEDE SER CLARAMENTE PSICOTICO CON LOS CRITERIOS USUSALES",IF(E$87&gt;64,"A. MELANCOLICO B. INTRANQUILO",IF(E$87&gt;49,"",""))))</f>
        <v>#N/A</v>
      </c>
    </row>
    <row r="163" spans="1:2" x14ac:dyDescent="0.2">
      <c r="B163" s="40" t="e">
        <f>IF(E$87&gt;100,"C. LENGUAJE REDUCIDO D. AISLAMIENTO  E. JUICIO LIMITADO",IF(E$87&gt;79,"",IF(E$87&gt;64,"C. AFECTADO  D. IMPACIENTE E. INSATISFECHO",IF(E$87&gt;49,"",""))))</f>
        <v>#N/A</v>
      </c>
    </row>
    <row r="164" spans="1:2" x14ac:dyDescent="0.2">
      <c r="B164" s="40" t="e">
        <f>IF(E$87&gt;100,"F. LENGUAJE MONOSILABICO G. PERIODOS CORTOS DE ATENCION",IF(E$87&gt;79,"",IF(E$87&gt;64,"F. CAMBIANTE, INESTABLE G. CURIOSO H. COMPLEJO",IF(E$87&gt;49,"",""))))</f>
        <v>#N/A</v>
      </c>
    </row>
    <row r="165" spans="1:2" x14ac:dyDescent="0.2">
      <c r="B165" s="40" t="e">
        <f>IF(E$87&gt;100,"H. FALTA DE CONOCIMIENTO DE LAS RAZONES POR LAS QUE ESTA HOSPITALIZADO",IF(E$87&gt;79,"P",IF(E$87&gt;64,"I. TESTARUDO J. OPORTUNISTA",IF(E$87&gt;49,"",""))))</f>
        <v>#N/A</v>
      </c>
    </row>
    <row r="166" spans="1:2" x14ac:dyDescent="0.2">
      <c r="B166" s="40" t="e">
        <f>IF(E$87&gt;100,"I. DISGNOSTICADOS CLINICAMENTE COMO PSICOTICOS",IF(E$87&gt;79,"",IF(E$87&gt;64,"",IF(E$87&gt;49,"",""))))</f>
        <v>#N/A</v>
      </c>
    </row>
    <row r="167" spans="1:2" x14ac:dyDescent="0.2">
      <c r="B167" s="40" t="e">
        <f>IF(E$87&gt;100,"J. ALGUNOS SIGNOS FUERA DE LA PRUEBA, DE ETIOLOGIA ORGANICA",IF(E$87&gt;79,"",IF(E$87&gt;64,"",IF(E$87&gt;49,"",""))))</f>
        <v>#N/A</v>
      </c>
    </row>
    <row r="169" spans="1:2" x14ac:dyDescent="0.2">
      <c r="A169" s="23" t="s">
        <v>82</v>
      </c>
      <c r="B169" s="40" t="str">
        <f>IF(F$87&gt;70,"PUEDE HABER INTENTADO FINGIR UN BUEN PERFIL",IF(F$87&gt;49,"MANTIENE UN BALANCE SALUDABLE ENTRE LA AUTOEVALUACION POSITIVA Y LA AUTOCRITICA AL RESPONDER LOS REACTIVOS DEL MMPI","PUEDE HABER RESPONDIDO CIERTO A LA MAYOR PARTE DE LOS REACTIVOS DEL MMPI"))</f>
        <v>PUEDE HABER RESPONDIDO CIERTO A LA MAYOR PARTE DE LOS REACTIVOS DEL MMPI</v>
      </c>
    </row>
    <row r="170" spans="1:2" x14ac:dyDescent="0.2">
      <c r="B170" s="40" t="str">
        <f>IF(F$87&gt;70,"PUEDE HABER RESPONDIDO FALSO A LA MAYORIA DE LOS REACTIVOS DEL MMPI",IF(F$87&gt;49,"PSICOLOGICAMENTE BIEN ADAPTADO","TRATA DE FINGIR UN PERFIL MALO"))</f>
        <v>TRATA DE FINGIR UN PERFIL MALO</v>
      </c>
    </row>
    <row r="171" spans="1:2" x14ac:dyDescent="0.2">
      <c r="B171" s="40" t="str">
        <f>IF(F$87&gt;70,"TRATA DE DAR UNA APARIENCIA DE ADECUACION, CONTROL Y EFECTIVIDAD",IF(F$87&gt;49,"MUESTRA POCOS SINTOMAS ABIERTOS DE TRASTORNO EMOCIONAL","PUEDE ESTAR EXAGERANDO LOS PROBLEMAS COMO UNA SUPLICA DE AYUDA"))</f>
        <v>PUEDE ESTAR EXAGERANDO LOS PROBLEMAS COMO UNA SUPLICA DE AYUDA</v>
      </c>
    </row>
    <row r="172" spans="1:2" x14ac:dyDescent="0.2">
      <c r="B172" s="40" t="str">
        <f>IF(F$87&gt;70,"TIMIDO, INHIBIDO",IF(F$87&gt;49,"INDEPENDIENTE, SEGURO DE SI MISMO","MUESTRA CONFUSION YA SEA ORGANICA O PSICOTICA AGUDA ABIERTA"))</f>
        <v>MUESTRA CONFUSION YA SEA ORGANICA O PSICOTICA AGUDA ABIERTA</v>
      </c>
    </row>
    <row r="173" spans="1:2" x14ac:dyDescent="0.2">
      <c r="B173" s="40" t="str">
        <f>IF(F$87&gt;70,"INDECISO SOBRE SU COMPROMISO EMOCIONAL CON LOS DEMAS",IF(F$87&gt;49,"CAPAZ DE ENFRENTAR LOS PROBLEMAS DE LA VIDA DIARIA","CRITICO DE SI MISMO Y DE LOS DEMAS, INSATISFECHO DE SI MISMO"))</f>
        <v>CRITICO DE SI MISMO Y DE LOS DEMAS, INSATISFECHO DE SI MISMO</v>
      </c>
    </row>
    <row r="174" spans="1:2" x14ac:dyDescent="0.2">
      <c r="B174" s="40" t="str">
        <f>IF(F$87&gt;70,"INTOLERANTE, NO ACEPTA LAS ACTITUDES Y CREENCIAS POCO CONVENCIONALES EN OTROS",IF(F$87&gt;49,"TIENE CAPACIDAD INTELECTUAL ELEVADA","INEFICAZ PARA ENFRENTARSE CON LOS PROBLEMAS DE LA VIDA DIARIA"))</f>
        <v>INEFICAZ PARA ENFRENTARSE CON LOS PROBLEMAS DE LA VIDA DIARIA</v>
      </c>
    </row>
    <row r="175" spans="1:2" x14ac:dyDescent="0.2">
      <c r="B175" s="40" t="str">
        <f>IF(F$87&gt;70,"FALTA DE CONOCIMIENTO DE SI MISMO Y AUTOENTENDIMIENTO",IF(F$87&gt;49,"MUESTRA INTERESES AMPLIOS","MUESTRA POCO CONOCIMIENTO DE SUS PROPIAS MOTIVACIONES Y CONDUCTA"))</f>
        <v>MUESTRA POCO CONOCIMIENTO DE SUS PROPIAS MOTIVACIONES Y CONDUCTA</v>
      </c>
    </row>
    <row r="176" spans="1:2" x14ac:dyDescent="0.2">
      <c r="B176" s="40" t="str">
        <f>IF(F$87&gt;70,"NO ES PROBABLE QUE DESPLIEGUE UNA CONDUCTA DELICTIVA ABIERTA",IF(F$87&gt;49,"INGENIOSO, EMPRENDEDOR, VERSATIL, LISTO","SOCIALMENTE CONFORMISTA"))</f>
        <v>SOCIALMENTE CONFORMISTA</v>
      </c>
    </row>
    <row r="177" spans="1:2" x14ac:dyDescent="0.2">
      <c r="B177" s="40" t="str">
        <f>IF(F$87&gt;70,"SI LAS ESCALAS CLINICAS TAMBIEN ESTAN ELEVADAS, PUEDE ESTAR PSICOLOGICAMENTE TRASTORNADO DE GRAVEDAD PERO TIENE POCA CONCIENCIA DE ESTO",IF(F$87&gt;49,"PENSAMIENTO CLARO, ENFOCA LOS PROBLEMAS EN UNA FORMA RAZONABLEY SISTEMATICA","EXAGERADAMENTE SUMISO CON LA AUTORIDAD"))</f>
        <v>EXAGERADAMENTE SUMISO CON LA AUTORIDAD</v>
      </c>
    </row>
    <row r="178" spans="1:2" x14ac:dyDescent="0.2">
      <c r="B178" s="40" t="str">
        <f>IF(F$87&gt;70,"",IF(F$87&gt;49,"ES SOCIABLE","INHIBIDO, RETRAIDO, SUPERFICIAL"))</f>
        <v>INHIBIDO, RETRAIDO, SUPERFICIAL</v>
      </c>
    </row>
    <row r="179" spans="1:2" x14ac:dyDescent="0.2">
      <c r="B179" s="40" t="str">
        <f>IF(F$87&gt;70,"",IF(F$87&gt;49,"ENTUSIASTA, CON FLUIDEZ VERBAL P","TIENE UN RITMO PERSONAL LENTO"))</f>
        <v>TIENE UN RITMO PERSONAL LENTO</v>
      </c>
    </row>
    <row r="180" spans="1:2" x14ac:dyDescent="0.2">
      <c r="B180" s="40" t="str">
        <f>IF(F$87&gt;70,"",IF(F$87&gt;49,"TOMA UN PAPEL ASCENDENTE","SOCIALMENTE TORPE"))</f>
        <v>SOCIALMENTE TORPE</v>
      </c>
    </row>
    <row r="181" spans="1:2" x14ac:dyDescent="0.2">
      <c r="B181" s="40" t="str">
        <f>IF(F$87&gt;70,"",IF(F$87&gt;49,"","FRANCO Y VIOLENTO EN LAS SITUACIONES SOCIALES"))</f>
        <v>FRANCO Y VIOLENTO EN LAS SITUACIONES SOCIALES</v>
      </c>
    </row>
    <row r="182" spans="1:2" x14ac:dyDescent="0.2">
      <c r="B182" s="40" t="str">
        <f>IF(F$87&gt;70,"",IF(F$87&gt;49,"","CINICO, ESCEPTICO, CAUSTICO, INCREDULO"))</f>
        <v>CINICO, ESCEPTICO, CAUSTICO, INCREDULO</v>
      </c>
    </row>
    <row r="183" spans="1:2" x14ac:dyDescent="0.2">
      <c r="B183" s="40" t="str">
        <f>IF(F$87&gt;70,"",IF(F$87&gt;49,"","SUSPICAZ SOBRE LAS MOTIVACIONES DE LOS DEMAS"))</f>
        <v>SUSPICAZ SOBRE LAS MOTIVACIONES DE LOS DEMAS</v>
      </c>
    </row>
    <row r="184" spans="1:2" x14ac:dyDescent="0.2">
      <c r="B184" s="40"/>
    </row>
    <row r="185" spans="1:2" x14ac:dyDescent="0.2">
      <c r="A185" s="23">
        <v>1</v>
      </c>
      <c r="B185" s="40" t="str">
        <f>IF(G$87&gt;70,"Tiene una preocupación corporal excesiva",IF(G$87&lt;50,"Libre de preocupación somática",""))</f>
        <v>Libre de preocupación somática</v>
      </c>
    </row>
    <row r="186" spans="1:2" x14ac:dyDescent="0.2">
      <c r="A186" s="23">
        <v>2</v>
      </c>
      <c r="B186" s="40" t="str">
        <f>IF(G$87&gt;70,"Tiene síntomas somáticos que, por lo general, son vagos, pero que si son específicos es probable que sean de naturaleza epigástrica",IF(G$87&lt;50,"Optimista",""))</f>
        <v>Optimista</v>
      </c>
    </row>
    <row r="187" spans="1:2" x14ac:dyDescent="0.2">
      <c r="A187" s="23">
        <v>3</v>
      </c>
      <c r="B187" s="40" t="str">
        <f>IF(G$87&gt;70,"Se queja de fatiga crónica, dolor y debilidad",IF(G$87&lt;50,"Sensible",""))</f>
        <v>Sensible</v>
      </c>
    </row>
    <row r="188" spans="1:2" x14ac:dyDescent="0.2">
      <c r="A188" s="23">
        <v>4</v>
      </c>
      <c r="B188" s="40" t="str">
        <f>IF(G$87&gt;70,"Probable que tenga un diagnóstico de neurosis(hipocondriaco, neurastémico, depresivo)",IF(G$87&lt;50,"Tiene &lt;&lt;insight&gt;&gt;",""))</f>
        <v>Tiene &lt;&lt;insight&gt;&gt;</v>
      </c>
    </row>
    <row r="189" spans="1:2" x14ac:dyDescent="0.2">
      <c r="A189" s="23">
        <v>5</v>
      </c>
      <c r="B189" s="40" t="str">
        <f>IF(G$87&gt;70,"No presenta ansiedad manifiesta",IF(G$87&lt;50,"Generalmente efectivo en la vida diaria",""))</f>
        <v>Generalmente efectivo en la vida diaria</v>
      </c>
    </row>
    <row r="190" spans="1:2" x14ac:dyDescent="0.2">
      <c r="A190" s="23">
        <v>6</v>
      </c>
      <c r="B190" s="40" t="str">
        <f>IF(G$87&gt;70,"Egoísta, egocéntrico, narcisista",IF(G$87&lt;50,"",""))</f>
        <v/>
      </c>
    </row>
    <row r="191" spans="1:2" x14ac:dyDescent="0.2">
      <c r="A191" s="23">
        <v>7</v>
      </c>
      <c r="B191" s="40" t="str">
        <f>IF(G$87&gt;70,"Tiene un punto de vista pesimista, derrotista, cínico",IF(G$87&lt;50,"",""))</f>
        <v/>
      </c>
    </row>
    <row r="192" spans="1:2" x14ac:dyDescent="0.2">
      <c r="A192" s="23">
        <v>8</v>
      </c>
      <c r="B192" s="40" t="str">
        <f>IF(G$87&gt;70,"Insatisfecho, infeliz",IF(G$87&lt;50,"",""))</f>
        <v/>
      </c>
    </row>
    <row r="193" spans="1:2" x14ac:dyDescent="0.2">
      <c r="A193" s="23">
        <v>9</v>
      </c>
      <c r="B193" s="40" t="str">
        <f>IF(G$87&gt;70,"Hace miserables a los demás",IF(G$87&lt;50,"",""))</f>
        <v/>
      </c>
    </row>
    <row r="194" spans="1:2" x14ac:dyDescent="0.2">
      <c r="A194" s="23">
        <v>10</v>
      </c>
      <c r="B194" s="40" t="str">
        <f>IF(G$87&gt;70,"Se queja",IF(G$87&lt;50,"",""))</f>
        <v/>
      </c>
    </row>
    <row r="195" spans="1:2" x14ac:dyDescent="0.2">
      <c r="A195" s="23">
        <v>11</v>
      </c>
      <c r="B195" s="40" t="str">
        <f>IF(G$87&gt;70,"Lloriquea",IF(G$87&lt;50,"",""))</f>
        <v/>
      </c>
    </row>
    <row r="196" spans="1:2" x14ac:dyDescent="0.2">
      <c r="A196" s="23">
        <v>12</v>
      </c>
      <c r="B196" s="40" t="str">
        <f>IF(G$87&gt;70,"Demandante y crítico de los demás",IF(G$87&lt;50,"",""))</f>
        <v/>
      </c>
    </row>
    <row r="197" spans="1:2" x14ac:dyDescent="0.2">
      <c r="A197" s="23">
        <v>13</v>
      </c>
      <c r="B197" s="40" t="str">
        <f>IF(G$87&gt;70,"Expresa indirectamente su hostilidad",IF(G$87&lt;50,"",""))</f>
        <v/>
      </c>
    </row>
    <row r="198" spans="1:2" x14ac:dyDescent="0.2">
      <c r="A198" s="23">
        <v>14</v>
      </c>
      <c r="B198" s="40" t="str">
        <f>IF(G$87&gt;70,"Rara vez actúa en forma psicopática",IF(G$87&lt;50,"",""))</f>
        <v/>
      </c>
    </row>
    <row r="199" spans="1:2" x14ac:dyDescent="0.2">
      <c r="A199" s="23">
        <v>15</v>
      </c>
      <c r="B199" s="40" t="str">
        <f>IF(G$87&gt;70,"Torpe, poco entusiasta, sin ambiciones",IF(G$87&lt;50,"",""))</f>
        <v/>
      </c>
    </row>
    <row r="200" spans="1:2" x14ac:dyDescent="0.2">
      <c r="A200" s="23">
        <v>16</v>
      </c>
      <c r="B200" s="40" t="str">
        <f>IF(G$87&gt;70,"Ineficaz en la expresión oral",IF(G$87&lt;50,"",""))</f>
        <v/>
      </c>
    </row>
    <row r="201" spans="1:2" x14ac:dyDescent="0.2">
      <c r="A201" s="23">
        <v>17</v>
      </c>
      <c r="B201" s="40" t="str">
        <f>IF(G$87&gt;70,"Tiene viejos problemas",IF(G$87&lt;50,"",""))</f>
        <v/>
      </c>
    </row>
    <row r="202" spans="1:2" x14ac:dyDescent="0.2">
      <c r="A202" s="23">
        <v>18</v>
      </c>
      <c r="B202" s="40" t="str">
        <f>IF(G$87&gt;70,"En su adaptación conductual fuera de la prueba no presenta indicios de incapacidad mayor sino que más bien parece funcionar a un nivel de eficiencia reducida",IF(G$87&lt;50,"",""))</f>
        <v/>
      </c>
    </row>
    <row r="203" spans="1:2" x14ac:dyDescent="0.2">
      <c r="A203" s="23">
        <v>19</v>
      </c>
      <c r="B203" s="40" t="str">
        <f>IF(G$87&gt;70,"No responde muy bien a la psicoterapia debido a su falta de &lt;&lt;insight&gt;&gt; y su punto de vista clínico",IF(G$87&lt;50,"",""))</f>
        <v/>
      </c>
    </row>
    <row r="204" spans="1:2" x14ac:dyDescent="0.2">
      <c r="A204" s="23">
        <v>20</v>
      </c>
      <c r="B204" s="40" t="str">
        <f>IF(G$87&gt;70,"Critica al terapeuta",IF(G$87&lt;50,"",""))</f>
        <v/>
      </c>
    </row>
    <row r="205" spans="1:2" x14ac:dyDescent="0.2">
      <c r="A205" s="23">
        <v>21</v>
      </c>
      <c r="B205" s="40" t="str">
        <f>IF(G$87&gt;70,"Tiende a terminar la terapia cuando percibe que el terapeuta no le da suficiente atención y apoyo",IF(G$87&lt;50,"",""))</f>
        <v/>
      </c>
    </row>
    <row r="206" spans="1:2" x14ac:dyDescent="0.2">
      <c r="B206" s="40"/>
    </row>
    <row r="207" spans="1:2" x14ac:dyDescent="0.2">
      <c r="A207" s="23">
        <v>1</v>
      </c>
      <c r="B207" s="40" t="str">
        <f>IF(H$87&gt;70,"Se siente triste, deprimido, infeliz, disfórico",IF(H$87&lt;50,"Está libre de tensión, ansiedad, culpa y depresión",""))</f>
        <v>Está libre de tensión, ansiedad, culpa y depresión</v>
      </c>
    </row>
    <row r="208" spans="1:2" x14ac:dyDescent="0.2">
      <c r="A208" s="23">
        <v>2</v>
      </c>
      <c r="B208" s="40" t="str">
        <f>IF(H$87&gt;70,"Pesimista respecto al futuro",IF(H$87&lt;50,"Se siente relajado y a gusto",""))</f>
        <v>Se siente relajado y a gusto</v>
      </c>
    </row>
    <row r="209" spans="1:2" x14ac:dyDescent="0.2">
      <c r="A209" s="23">
        <v>3</v>
      </c>
      <c r="B209" s="40" t="str">
        <f>IF(H$87&gt;70,"Se autodesprecia",IF(H$87&lt;50,"Seguro de sí mismo",""))</f>
        <v>Seguro de sí mismo</v>
      </c>
    </row>
    <row r="210" spans="1:2" x14ac:dyDescent="0.2">
      <c r="A210" s="23">
        <v>4</v>
      </c>
      <c r="B210" s="40" t="str">
        <f>IF(H$87&gt;70,"Tiene sentimientos de culpa",IF(H$87&lt;50,"Emocionalmente estable",""))</f>
        <v>Emocionalmente estable</v>
      </c>
    </row>
    <row r="211" spans="1:2" x14ac:dyDescent="0.2">
      <c r="A211" s="23">
        <v>5</v>
      </c>
      <c r="B211" s="40" t="str">
        <f>IF(H$87&gt;70,"Rehúsa hablar",IF(H$87&lt;50,"Funciona en forma eficiente en la mayor parte de las situaciones",""))</f>
        <v>Funciona en forma eficiente en la mayor parte de las situaciones</v>
      </c>
    </row>
    <row r="212" spans="1:2" x14ac:dyDescent="0.2">
      <c r="A212" s="23">
        <v>6</v>
      </c>
      <c r="B212" s="40" t="str">
        <f>IF(H$87&gt;70,"Llora",IF(H$87&lt;50,"Alegre, optimista",""))</f>
        <v>Alegre, optimista</v>
      </c>
    </row>
    <row r="213" spans="1:2" x14ac:dyDescent="0.2">
      <c r="A213" s="23">
        <v>7</v>
      </c>
      <c r="B213" s="40" t="str">
        <f>IF(H$87&gt;70,"Se mueve lentamente, es perezoso",IF(H$87&lt;50,"Tiene pocas dificultades con su expresión verbal",""))</f>
        <v>Tiene pocas dificultades con su expresión verbal</v>
      </c>
    </row>
    <row r="214" spans="1:2" x14ac:dyDescent="0.2">
      <c r="A214" s="23">
        <v>8</v>
      </c>
      <c r="B214" s="40" t="str">
        <f>IF(H$87&gt;70,"Tiene diagnóstico de depresión(por lo general, neurosis depresiva o depresión reactiva",IF(H$87&lt;50,"Alerta, activo, dinámico",""))</f>
        <v>Alerta, activo, dinámico</v>
      </c>
    </row>
    <row r="215" spans="1:2" x14ac:dyDescent="0.2">
      <c r="A215" s="23">
        <v>9</v>
      </c>
      <c r="B215" s="40" t="str">
        <f>IF(H$87&gt;70,"Tiene quejas somáticas",IF(H$87&lt;50,"Competitivo",""))</f>
        <v>Competitivo</v>
      </c>
    </row>
    <row r="216" spans="1:2" x14ac:dyDescent="0.2">
      <c r="A216" s="23">
        <v>10</v>
      </c>
      <c r="B216" s="40" t="str">
        <f>IF(H$87&gt;70,"Se queja de debilidad, fatiga, pérdida de energía",IF(H$87&lt;50,"Busca responsabilidades",""))</f>
        <v>Busca responsabilidades</v>
      </c>
    </row>
    <row r="217" spans="1:2" x14ac:dyDescent="0.2">
      <c r="A217" s="23">
        <v>11</v>
      </c>
      <c r="B217" s="40" t="str">
        <f>IF(H$87&gt;70,"Se agita, está tenso",IF(H$87&lt;50,"Está cómodo en las situaciones sociales",""))</f>
        <v>Está cómodo en las situaciones sociales</v>
      </c>
    </row>
    <row r="218" spans="1:2" x14ac:dyDescent="0.2">
      <c r="A218" s="23">
        <v>12</v>
      </c>
      <c r="B218" s="40" t="str">
        <f>IF(H$87&gt;70,"Irritable, nervioso",IF(H$87&lt;50,"Asume el liderazgo",""))</f>
        <v>Asume el liderazgo</v>
      </c>
    </row>
    <row r="219" spans="1:2" x14ac:dyDescent="0.2">
      <c r="A219" s="23">
        <v>13</v>
      </c>
      <c r="B219" s="40" t="str">
        <f>IF(H$87&gt;70,"Propenso a la preocupación",IF(H$87&lt;50,"Ingenioso, de tensión, ansiedad, culpa y depresión",""))</f>
        <v>Ingenioso, de tensión, ansiedad, culpa y depresión</v>
      </c>
    </row>
    <row r="220" spans="1:2" x14ac:dyDescent="0.2">
      <c r="A220" s="23">
        <v>14</v>
      </c>
      <c r="B220" s="40" t="str">
        <f>IF(H$87&gt;70,"Le falta seguridad en si mismo",IF(H$87&lt;50,"Crea una primera impresión favorable",""))</f>
        <v>Crea una primera impresión favorable</v>
      </c>
    </row>
    <row r="221" spans="1:2" x14ac:dyDescent="0.2">
      <c r="A221" s="23">
        <v>15</v>
      </c>
      <c r="B221" s="40" t="str">
        <f>IF(H$87&gt;70,"Se siente inútil e inepto",IF(H$87&lt;50,"Impulsivo, con poco control",""))</f>
        <v>Impulsivo, con poco control</v>
      </c>
    </row>
    <row r="222" spans="1:2" x14ac:dyDescent="0.2">
      <c r="A222" s="23">
        <v>16</v>
      </c>
      <c r="B222" s="40" t="str">
        <f>IF(H$87&gt;70,"Se siente un fracaso en la escuela o el trabajo",IF(H$87&lt;50,"Desinhibido, presumido, exhibicionista",""))</f>
        <v>Desinhibido, presumido, exhibicionista</v>
      </c>
    </row>
    <row r="223" spans="1:2" x14ac:dyDescent="0.2">
      <c r="A223" s="23">
        <v>17</v>
      </c>
      <c r="B223" s="40" t="str">
        <f>IF(H$87&gt;70,"Introvertido, tímido, retraído, asustadizo, solitario y reservado",IF(H$87&lt;50,"Crea hostilidad y resentimiento en los demás",""))</f>
        <v>Crea hostilidad y resentimiento en los demás</v>
      </c>
    </row>
    <row r="224" spans="1:2" x14ac:dyDescent="0.2">
      <c r="A224" s="23">
        <v>18</v>
      </c>
      <c r="B224" s="40" t="str">
        <f>IF(H$87&gt;70,"Se mantiene apartado",IF(H$87&lt;50,"Tiene conflictos con las figuras de autoridad",""))</f>
        <v>Tiene conflictos con las figuras de autoridad</v>
      </c>
    </row>
    <row r="225" spans="1:2" x14ac:dyDescent="0.2">
      <c r="A225" s="23">
        <v>19</v>
      </c>
      <c r="B225" s="40" t="str">
        <f>IF(H$87&gt;70,"Mantiene una distancia psicologica; evita el comportamiento interpersonal",IF(H$87&lt;50,"",""))</f>
        <v/>
      </c>
    </row>
    <row r="226" spans="1:2" x14ac:dyDescent="0.2">
      <c r="A226" s="23">
        <v>20</v>
      </c>
      <c r="B226" s="40" t="str">
        <f>IF(H$87&gt;70,"Cauteloso, convencional",IF(H$87&lt;50,"",""))</f>
        <v/>
      </c>
    </row>
    <row r="227" spans="1:2" x14ac:dyDescent="0.2">
      <c r="A227" s="23">
        <v>21</v>
      </c>
      <c r="B227" s="40" t="str">
        <f>IF(H$87&gt;70,"Se le dificulta tomar decisiones",IF(H$87&lt;50,"",""))</f>
        <v/>
      </c>
    </row>
    <row r="228" spans="1:2" x14ac:dyDescent="0.2">
      <c r="A228" s="23">
        <v>22</v>
      </c>
      <c r="B228" s="40" t="str">
        <f>IF(H$87&gt;70,"No es agresivo",IF(H$87&lt;50,"",""))</f>
        <v/>
      </c>
    </row>
    <row r="229" spans="1:2" x14ac:dyDescent="0.2">
      <c r="A229" s="23">
        <v>23</v>
      </c>
      <c r="B229" s="40" t="str">
        <f>IF(H$87&gt;70,"Se controla exageradamente, rechaza sus impulsos",IF(H$87&lt;50,"",""))</f>
        <v/>
      </c>
    </row>
    <row r="230" spans="1:2" x14ac:dyDescent="0.2">
      <c r="A230" s="23">
        <v>24</v>
      </c>
      <c r="B230" s="40" t="str">
        <f>IF(H$87&gt;70,"Evita lo desagradable",IF(H$87&lt;50,"",""))</f>
        <v/>
      </c>
    </row>
    <row r="231" spans="1:2" x14ac:dyDescent="0.2">
      <c r="A231" s="23">
        <v>25</v>
      </c>
      <c r="B231" s="40" t="str">
        <f>IF(H$87&gt;70,"Hace concesiones para evitar enfrentamientos",IF(H$87&lt;50,"",""))</f>
        <v/>
      </c>
    </row>
    <row r="232" spans="1:2" x14ac:dyDescent="0.2">
      <c r="A232" s="23">
        <v>26</v>
      </c>
      <c r="B232" s="40" t="str">
        <f>IF(H$87&gt;70,"Debido a su aflicción, es probable que este motivado para la psicoterapia",IF(H$87&lt;50,"",""))</f>
        <v/>
      </c>
    </row>
    <row r="233" spans="1:2" x14ac:dyDescent="0.2">
      <c r="A233" s="23">
        <v>27</v>
      </c>
      <c r="B233" s="40" t="str">
        <f>IF(H$87&gt;70,"Puede terminar el tratamiento cuando se calma la tensión inmediata",IF(H$87&lt;50,"",""))</f>
        <v/>
      </c>
    </row>
    <row r="235" spans="1:2" x14ac:dyDescent="0.2">
      <c r="A235" s="23">
        <v>1</v>
      </c>
      <c r="B235" s="40" t="str">
        <f>IF(I$87&gt;70,"Reacciona ante la tensión y evita la responsabilidad desarrollando síntomas físicos",IF(I$87&lt;50,"Limitado, convencional, conformista",""))</f>
        <v>Limitado, convencional, conformista</v>
      </c>
    </row>
    <row r="236" spans="1:2" x14ac:dyDescent="0.2">
      <c r="A236" s="23">
        <v>2</v>
      </c>
      <c r="B236" s="40" t="str">
        <f>IF(I$87&gt;70,"Tiene dolores de cabeza y pecho, debilidad, taquicardia, ataques de ansiedad",IF(I$87&lt;50,"Nose arriega; no es laborioso",""))</f>
        <v>Nose arriega; no es laborioso</v>
      </c>
    </row>
    <row r="237" spans="1:2" x14ac:dyDescent="0.2">
      <c r="A237" s="23">
        <v>3</v>
      </c>
      <c r="B237" s="40" t="str">
        <f>IF(I$87&gt;70,"Tiene síntomas que aparecen y desaparecen de repente",IF(I$87&lt;50,"Tiene un rango estrecho de intereses",""))</f>
        <v>Tiene un rango estrecho de intereses</v>
      </c>
    </row>
    <row r="238" spans="1:2" x14ac:dyDescent="0.2">
      <c r="A238" s="23">
        <v>4</v>
      </c>
      <c r="B238" s="40" t="str">
        <f>IF(I$87&gt;70,"Le falta &lt;&lt;insight&gt;&gt; en relación a las causas de sus síntomas",IF(I$87&lt;50,"Tiene una participación social limitada",""))</f>
        <v>Tiene una participación social limitada</v>
      </c>
    </row>
    <row r="239" spans="1:2" x14ac:dyDescent="0.2">
      <c r="A239" s="23">
        <v>5</v>
      </c>
      <c r="B239" s="40" t="str">
        <f>IF(I$87&gt;70,"Le falta &lt;&lt;insight&gt;&gt; en relación a sus propias motivaciones ysentimientos",IF(I$87&lt;50,"Evita el papel de líder",""))</f>
        <v>Evita el papel de líder</v>
      </c>
    </row>
    <row r="240" spans="1:2" x14ac:dyDescent="0.2">
      <c r="A240" s="23">
        <v>6</v>
      </c>
      <c r="B240" s="40" t="str">
        <f>IF(I$87&gt;70,"Propenso a la preocupación",IF(I$87&lt;50,"Poco sociable, testarudo, difícil de conocer",""))</f>
        <v>Poco sociable, testarudo, difícil de conocer</v>
      </c>
    </row>
    <row r="241" spans="1:2" x14ac:dyDescent="0.2">
      <c r="A241" s="23">
        <v>7</v>
      </c>
      <c r="B241" s="40" t="str">
        <f>IF(I$87&gt;70,"No tiene ansiedad, tensión ni depresión",IF(I$87&lt;50,"Suspicaz, tiene dificultades para confiar en los demás",""))</f>
        <v>Suspicaz, tiene dificultades para confiar en los demás</v>
      </c>
    </row>
    <row r="242" spans="1:2" x14ac:dyDescent="0.2">
      <c r="A242" s="23">
        <v>8</v>
      </c>
      <c r="B242" s="40" t="str">
        <f>IF(I$87&gt;70,"Rara vez informa delirios, alucinaciones y suspicacia",IF(I$87&lt;50,"Realista, lógico y centrado en su enfoque de los problemas",""))</f>
        <v>Realista, lógico y centrado en su enfoque de los problemas</v>
      </c>
    </row>
    <row r="243" spans="1:2" x14ac:dyDescent="0.2">
      <c r="A243" s="23">
        <v>9</v>
      </c>
      <c r="B243" s="40" t="str">
        <f>IF(I$87&gt;70,"No es probable que se diagnostique como psicótico",IF(I$87&lt;50,"Parece contento con una situación en la vida sin cambios y sin incidentes",""))</f>
        <v>Parece contento con una situación en la vida sin cambios y sin incidentes</v>
      </c>
    </row>
    <row r="244" spans="1:2" x14ac:dyDescent="0.2">
      <c r="A244" s="23">
        <v>10</v>
      </c>
      <c r="B244" s="40" t="str">
        <f>IF(I$87&gt;70,"Si es paciente psiquiátrico, con mayor frecuencia tiene diagnóstico de neurosis histérica (histeria conversiva)",IF(I$87&lt;50,"",""))</f>
        <v/>
      </c>
    </row>
    <row r="245" spans="1:2" x14ac:dyDescent="0.2">
      <c r="A245" s="23">
        <v>11</v>
      </c>
      <c r="B245" s="40" t="str">
        <f>IF(I$87&gt;70,"Psicológicamente inmaduro, pueril, infantil",IF(I$87&lt;50,"",""))</f>
        <v/>
      </c>
    </row>
    <row r="246" spans="1:2" x14ac:dyDescent="0.2">
      <c r="A246" s="23">
        <v>12</v>
      </c>
      <c r="B246" s="40" t="str">
        <f>IF(I$87&gt;70,"Egoísta, narcisista, egocéntrico",IF(I$87&lt;50,"",""))</f>
        <v/>
      </c>
    </row>
    <row r="247" spans="1:2" x14ac:dyDescent="0.2">
      <c r="A247" s="23">
        <v>13</v>
      </c>
      <c r="B247" s="40" t="str">
        <f>IF(I$87&gt;70,"Espera la atención y el afecto de los demás",IF(I$87&lt;50,"",""))</f>
        <v/>
      </c>
    </row>
    <row r="248" spans="1:2" x14ac:dyDescent="0.2">
      <c r="A248" s="23">
        <v>14</v>
      </c>
      <c r="B248" s="40" t="str">
        <f>IF(I$87&gt;70,"Utiliza medios indirectos para obtener atención y afecto",IF(I$87&lt;50,"",""))</f>
        <v/>
      </c>
    </row>
    <row r="249" spans="1:2" x14ac:dyDescent="0.2">
      <c r="A249" s="23">
        <v>15</v>
      </c>
      <c r="B249" s="40" t="str">
        <f>IF(I$87&gt;70,"No expresa en forma abierta su hostilidad y resentimiento",IF(I$87&lt;50,"",""))</f>
        <v/>
      </c>
    </row>
    <row r="250" spans="1:2" x14ac:dyDescent="0.2">
      <c r="A250" s="23">
        <v>16</v>
      </c>
      <c r="B250" s="40" t="str">
        <f>IF(I$87&gt;70,"Socialmente comprometido",IF(I$87&lt;50,"",""))</f>
        <v/>
      </c>
    </row>
    <row r="251" spans="1:2" x14ac:dyDescent="0.2">
      <c r="A251" s="23">
        <v>17</v>
      </c>
      <c r="B251" s="40" t="str">
        <f>IF(I$87&gt;70,"Amigable, parlanchín, entusiasta, alerta",IF(I$87&lt;50,"",""))</f>
        <v/>
      </c>
    </row>
    <row r="252" spans="1:2" x14ac:dyDescent="0.2">
      <c r="A252" s="23">
        <v>18</v>
      </c>
      <c r="B252" s="40" t="str">
        <f>IF(I$87&gt;70,"Tiene relaciones interpersonales superficiales e inmaduras",IF(I$87&lt;50,"",""))</f>
        <v/>
      </c>
    </row>
    <row r="253" spans="1:2" x14ac:dyDescent="0.2">
      <c r="A253" s="23">
        <v>19</v>
      </c>
      <c r="B253" s="40" t="str">
        <f>IF(I$87&gt;70,"Se interesa en los demás debido a lo que pueda obtener de ellos",IF(I$87&lt;50,"",""))</f>
        <v/>
      </c>
    </row>
    <row r="254" spans="1:2" x14ac:dyDescent="0.2">
      <c r="A254" s="23">
        <v>20</v>
      </c>
      <c r="B254" s="40" t="str">
        <f>IF(I$87&gt;70,"Ocasionalmente presenta poco control sobre sus impulsos agresivos o sexuales poco &lt;&lt;insight&gt;&gt; aparente de sus acciones)",IF(I$87&lt;50,"",""))</f>
        <v/>
      </c>
    </row>
    <row r="255" spans="1:2" x14ac:dyDescent="0.2">
      <c r="A255" s="23">
        <v>21</v>
      </c>
      <c r="B255" s="40" t="str">
        <f>IF(I$87&gt;70,"Inicialmente entusiasta con el tratamiento",IF(I$87&lt;50,"",""))</f>
        <v/>
      </c>
    </row>
    <row r="256" spans="1:2" x14ac:dyDescent="0.2">
      <c r="A256" s="23">
        <v>22</v>
      </c>
      <c r="B256" s="40" t="str">
        <f>IF(I$87&gt;70,"Responde bien a los consejos y sugerencias directas",IF(I$87&lt;50,"",""))</f>
        <v/>
      </c>
    </row>
    <row r="257" spans="1:2" x14ac:dyDescent="0.2">
      <c r="A257" s="23">
        <v>23</v>
      </c>
      <c r="B257" s="40" t="str">
        <f>IF(I$87&gt;70,"Lento para obtener &lt;&lt;insight&gt;&gt; sobre las causas de su propia conducta",IF(I$87&lt;50,"",""))</f>
        <v/>
      </c>
    </row>
    <row r="258" spans="1:2" x14ac:dyDescent="0.2">
      <c r="A258" s="23">
        <v>24</v>
      </c>
      <c r="B258" s="40" t="str">
        <f>IF(I$87&gt;70,"Resistente al tratamiento e interpretaciones psicológicas",IF(I$87&lt;50,"",""))</f>
        <v/>
      </c>
    </row>
    <row r="259" spans="1:2" x14ac:dyDescent="0.2">
      <c r="A259" s="23">
        <v>25</v>
      </c>
      <c r="B259" s="40" t="str">
        <f>IF(I$87&gt;70,"Se preocupa por el fracaso en la escuela o trabajo",IF(I$87&lt;50,"",""))</f>
        <v/>
      </c>
    </row>
    <row r="260" spans="1:2" x14ac:dyDescent="0.2">
      <c r="A260" s="23">
        <v>26</v>
      </c>
      <c r="B260" s="40" t="str">
        <f>IF(I$87&gt;70,"Experimenta infelicidad en su matrimonio",IF(I$87&lt;50,"",""))</f>
        <v/>
      </c>
    </row>
    <row r="261" spans="1:2" x14ac:dyDescent="0.2">
      <c r="A261" s="23">
        <v>27</v>
      </c>
      <c r="B261" s="40" t="str">
        <f>IF(I$87&gt;70,"Se siente rechazado por su grupo social",IF(I$87&lt;50,"",""))</f>
        <v/>
      </c>
    </row>
    <row r="262" spans="1:2" x14ac:dyDescent="0.2">
      <c r="A262" s="23">
        <v>28</v>
      </c>
      <c r="B262" s="40" t="str">
        <f>IF(I$87&gt;70,"Tiene problemas con las figuras que representan autoridad",IF(I$87&lt;50,"",""))</f>
        <v/>
      </c>
    </row>
    <row r="263" spans="1:2" x14ac:dyDescent="0.2">
      <c r="A263" s="23">
        <v>29</v>
      </c>
      <c r="B263" s="40" t="str">
        <f>IF(I$87&gt;70,"Tiene una historia de padre rechazante",IF(I$87&lt;50,"",""))</f>
        <v/>
      </c>
    </row>
    <row r="265" spans="1:2" x14ac:dyDescent="0.2">
      <c r="A265" s="23">
        <v>1</v>
      </c>
      <c r="B265" s="40" t="str">
        <f>IF(J$87&gt;70,"Tiene dificultad para incorporar los valores y normas de la sociedad",IF(J$87&lt;50,"Convencional, conformista",""))</f>
        <v>Convencional, conformista</v>
      </c>
    </row>
    <row r="266" spans="1:2" x14ac:dyDescent="0.2">
      <c r="A266" s="23">
        <v>2</v>
      </c>
      <c r="B266" s="40" t="str">
        <f>IF(J$87&gt;70,"Se involucra en conductas asociales o antisociales(a.Miente,estafa,roba.  b. &lt;&lt;Acting out&gt;&gt; sexual.  c.Uso excesivo de alcohol,drogas o ambos",IF(J$87&lt;50,"Acepta a la autoridad",""))</f>
        <v>Acepta a la autoridad</v>
      </c>
    </row>
    <row r="267" spans="1:2" x14ac:dyDescent="0.2">
      <c r="A267" s="23">
        <v>3</v>
      </c>
      <c r="B267" s="40" t="str">
        <f>IF(J$87&gt;70,"Rebelde hacia las figuras de autoridad",IF(J$87&lt;50,"Pasivo, sumiso, tímido",""))</f>
        <v>Pasivo, sumiso, tímido</v>
      </c>
    </row>
    <row r="268" spans="1:2" x14ac:dyDescent="0.2">
      <c r="A268" s="23">
        <v>4</v>
      </c>
      <c r="B268" s="40" t="str">
        <f>IF(J$87&gt;70,"Tiene relaciones familiares tempestuosas",IF(J$87&lt;50,"Preocupado por la forma en que reaccionan los demás",""))</f>
        <v>Preocupado por la forma en que reaccionan los demás</v>
      </c>
    </row>
    <row r="269" spans="1:2" x14ac:dyDescent="0.2">
      <c r="A269" s="23">
        <v>5</v>
      </c>
      <c r="B269" s="40" t="str">
        <f>IF(J$87&gt;70,"Culpa a sus padres por sus problemas",IF(J$87&lt;50,"Sincero, confiado",""))</f>
        <v>Sincero, confiado</v>
      </c>
    </row>
    <row r="270" spans="1:2" x14ac:dyDescent="0.2">
      <c r="A270" s="23">
        <v>6</v>
      </c>
      <c r="B270" s="40" t="str">
        <f>IF(J$87&gt;70,"Tiene una historia de bajo desempeño en la escuela",IF(J$87&lt;50,"Tiene impulsos lentos, no es competitivo",""))</f>
        <v>Tiene impulsos lentos, no es competitivo</v>
      </c>
    </row>
    <row r="271" spans="1:2" x14ac:dyDescent="0.2">
      <c r="A271" s="23">
        <v>7</v>
      </c>
      <c r="B271" s="40" t="str">
        <f>IF(J$87&gt;70,"Tiene una historia de trabajo deficiente",IF(J$87&lt;50,"Preocupado por su nivel yseguridad",""))</f>
        <v>Preocupado por su nivel yseguridad</v>
      </c>
    </row>
    <row r="272" spans="1:2" x14ac:dyDescent="0.2">
      <c r="A272" s="23">
        <v>8</v>
      </c>
      <c r="B272" s="40" t="str">
        <f>IF(J$87&gt;70,"Experimenta problemas en el matrimonio",IF(J$87&lt;50,"Tiene un rango limitado de intereses",""))</f>
        <v>Tiene un rango limitado de intereses</v>
      </c>
    </row>
    <row r="273" spans="1:2" x14ac:dyDescent="0.2">
      <c r="A273" s="23">
        <v>9</v>
      </c>
      <c r="B273" s="40" t="str">
        <f>IF(J$87&gt;70,"Impulsivo; procura la satisfacción inmediata de sus impulsos",IF(J$87&lt;50,"No es creativo o espontáneo",""))</f>
        <v>No es creativo o espontáneo</v>
      </c>
    </row>
    <row r="274" spans="1:2" x14ac:dyDescent="0.2">
      <c r="A274" s="23">
        <v>10</v>
      </c>
      <c r="B274" s="40" t="str">
        <f>IF(J$87&gt;70,"No planifica bien",IF(J$87&lt;50,"Persistente",""))</f>
        <v>Persistente</v>
      </c>
    </row>
    <row r="275" spans="1:2" x14ac:dyDescent="0.2">
      <c r="A275" s="23">
        <v>11</v>
      </c>
      <c r="B275" s="40" t="str">
        <f>IF(J$87&gt;70,"Actúa sin cinsiderar las consecuencias de sus actos",IF(J$87&lt;50,"Moralista, rígido",""))</f>
        <v>Moralista, rígido</v>
      </c>
    </row>
    <row r="276" spans="1:2" x14ac:dyDescent="0.2">
      <c r="A276" s="23">
        <v>12</v>
      </c>
      <c r="B276" s="40" t="str">
        <f>IF(J$87&gt;70,"Impaciente, tiene una tolerancia a la frustración limitada",IF(J$87&lt;50,"Si es hombre, no está muy interesado en el sexo; teme a las mujeres",""))</f>
        <v>Si es hombre, no está muy interesado en el sexo; teme a las mujeres</v>
      </c>
    </row>
    <row r="277" spans="1:2" x14ac:dyDescent="0.2">
      <c r="A277" s="23">
        <v>13</v>
      </c>
      <c r="B277" s="40" t="str">
        <f>IF(J$87&gt;70,"Muestra poco juicio, se arriega innecesariamente",IF(J$87&lt;50,"Crítica de sí mismo, insatisfecho consigo mismo",""))</f>
        <v>Crítica de sí mismo, insatisfecho consigo mismo</v>
      </c>
    </row>
    <row r="278" spans="1:2" x14ac:dyDescent="0.2">
      <c r="A278" s="23">
        <v>14</v>
      </c>
      <c r="B278" s="40" t="str">
        <f>IF(J$87&gt;70,"No se beneficia de la experiencia",IF(J$87&lt;50,"Acepta los consejos y las sugerencias",""))</f>
        <v>Acepta los consejos y las sugerencias</v>
      </c>
    </row>
    <row r="279" spans="1:2" x14ac:dyDescent="0.2">
      <c r="A279" s="23">
        <v>15</v>
      </c>
      <c r="B279" s="40" t="str">
        <f>IF(J$87&gt;70,"Inmaduro, infantil",IF(J$87&lt;50,"Puede volverse muy dependiente del tratamiento",""))</f>
        <v>Puede volverse muy dependiente del tratamiento</v>
      </c>
    </row>
    <row r="280" spans="1:2" x14ac:dyDescent="0.2">
      <c r="A280" s="23">
        <v>16</v>
      </c>
      <c r="B280" s="40" t="str">
        <f>IF(J$87&gt;70,"Narcisista, egocéntrico, egoísta, interesado",IF(J$87&lt;50,"Teme aceptar la responsabilidad de su propia conducta",""))</f>
        <v>Teme aceptar la responsabilidad de su propia conducta</v>
      </c>
    </row>
    <row r="281" spans="1:2" x14ac:dyDescent="0.2">
      <c r="A281" s="23">
        <v>17</v>
      </c>
      <c r="B281" s="40" t="str">
        <f>IF(J$87&gt;70,"Ostentoso, exhibicionista",IF(J$87&lt;50,"",""))</f>
        <v/>
      </c>
    </row>
    <row r="282" spans="1:2" x14ac:dyDescent="0.2">
      <c r="A282" s="23">
        <v>18</v>
      </c>
      <c r="B282" s="40" t="str">
        <f>IF(J$87&gt;70,"Insencible a los demás",IF(J$87&lt;50,"",""))</f>
        <v/>
      </c>
    </row>
    <row r="283" spans="1:2" x14ac:dyDescent="0.2">
      <c r="A283" s="23">
        <v>19</v>
      </c>
      <c r="B283" s="40" t="str">
        <f>IF(J$87&gt;70,"Interesado en los demás en términos de la forma en que puede utilisarlos",IF(J$87&lt;50,"",""))</f>
        <v/>
      </c>
    </row>
    <row r="284" spans="1:2" x14ac:dyDescent="0.2">
      <c r="A284" s="23">
        <v>20</v>
      </c>
      <c r="B284" s="40" t="str">
        <f>IF(J$87&gt;70,"Agradable, crea una primera impresión buena",IF(J$87&lt;50,"",""))</f>
        <v/>
      </c>
    </row>
    <row r="285" spans="1:2" x14ac:dyDescent="0.2">
      <c r="A285" s="23">
        <v>21</v>
      </c>
      <c r="B285" s="40" t="str">
        <f>IF(J$87&gt;70,"Tiene relaciones superficiales",IF(J$87&lt;50,"",""))</f>
        <v/>
      </c>
    </row>
    <row r="286" spans="1:2" x14ac:dyDescent="0.2">
      <c r="A286" s="23">
        <v>22</v>
      </c>
      <c r="B286" s="40" t="str">
        <f>IF(J$87&gt;70,"Incapaz de formar vínculos calurosos",IF(J$87&lt;50,"",""))</f>
        <v/>
      </c>
    </row>
    <row r="287" spans="1:2" x14ac:dyDescent="0.2">
      <c r="A287" s="23">
        <v>23</v>
      </c>
      <c r="B287" s="40" t="str">
        <f>IF(J$87&gt;70,"Extrovertido, sociable",IF(J$87&lt;50,"",""))</f>
        <v/>
      </c>
    </row>
    <row r="288" spans="1:2" x14ac:dyDescent="0.2">
      <c r="A288" s="23">
        <v>24</v>
      </c>
      <c r="B288" s="40" t="str">
        <f>IF(J$87&gt;70,"Parlanchín, activo, aventurado, enérgico, espontáneo",IF(J$87&lt;50,"",""))</f>
        <v/>
      </c>
    </row>
    <row r="289" spans="1:2" x14ac:dyDescent="0.2">
      <c r="A289" s="23">
        <v>25</v>
      </c>
      <c r="B289" s="40" t="str">
        <f>IF(J$87&gt;70,"Inteligente, seguro de sí mismo",IF(J$87&lt;50,"",""))</f>
        <v/>
      </c>
    </row>
    <row r="290" spans="1:2" x14ac:dyDescent="0.2">
      <c r="A290" s="23">
        <v>26</v>
      </c>
      <c r="B290" s="40" t="str">
        <f>IF(J$87&gt;70,"Tiene un amplio rango de intereses",IF(J$87&lt;50,"",""))</f>
        <v/>
      </c>
    </row>
    <row r="291" spans="1:2" x14ac:dyDescent="0.2">
      <c r="A291" s="23">
        <v>27</v>
      </c>
      <c r="B291" s="40" t="str">
        <f>IF(J$87&gt;70,"Carece de objetivos definidos",IF(J$87&lt;50,"",""))</f>
        <v/>
      </c>
    </row>
    <row r="292" spans="1:2" x14ac:dyDescent="0.2">
      <c r="A292" s="23">
        <v>28</v>
      </c>
      <c r="B292" s="40" t="str">
        <f>IF(J$87&gt;70,"Hostil, agresivo",IF(J$87&lt;50,"",""))</f>
        <v/>
      </c>
    </row>
    <row r="293" spans="1:2" x14ac:dyDescent="0.2">
      <c r="A293" s="23">
        <v>29</v>
      </c>
      <c r="B293" s="40" t="str">
        <f>IF(J$87&gt;70,"Sarcástico, cínico",IF(J$87&lt;50,"",""))</f>
        <v/>
      </c>
    </row>
    <row r="294" spans="1:2" x14ac:dyDescent="0.2">
      <c r="A294" s="23">
        <v>30</v>
      </c>
      <c r="B294" s="40" t="str">
        <f>IF(J$87&gt;70,"Rencoroso, rebelde",IF(J$87&lt;50,"",""))</f>
        <v/>
      </c>
    </row>
    <row r="295" spans="1:2" x14ac:dyDescent="0.2">
      <c r="A295" s="23">
        <v>31</v>
      </c>
      <c r="B295" s="40" t="str">
        <f>IF(J$87&gt;70,"Presenta &lt;&lt;acting out&gt;&gt;",IF(J$87&lt;50,"",""))</f>
        <v/>
      </c>
    </row>
    <row r="296" spans="1:2" x14ac:dyDescent="0.2">
      <c r="A296" s="23">
        <v>32</v>
      </c>
      <c r="B296" s="40" t="str">
        <f>IF(J$87&gt;70,"Antagónico, oposicionista",IF(J$87&lt;50,"",""))</f>
        <v/>
      </c>
    </row>
    <row r="297" spans="1:2" x14ac:dyDescent="0.2">
      <c r="A297" s="23">
        <v>33</v>
      </c>
      <c r="B297" s="40" t="str">
        <f>IF(J$87&gt;70,"Tiene arrebatos agresivos, conducta violenta",IF(J$87&lt;50,"",""))</f>
        <v/>
      </c>
    </row>
    <row r="298" spans="1:2" x14ac:dyDescent="0.2">
      <c r="A298" s="23">
        <v>34</v>
      </c>
      <c r="B298" s="40" t="str">
        <f>IF(J$87&gt;70,"Experimenta poco sentimiento de culpa por su conducta",IF(J$87&lt;50,"",""))</f>
        <v/>
      </c>
    </row>
    <row r="299" spans="1:2" x14ac:dyDescent="0.2">
      <c r="A299" s="23">
        <v>35</v>
      </c>
      <c r="B299" s="40" t="str">
        <f>IF(J$87&gt;70,"Puede fingir culpa y remordimiento cuando esta en problemas",IF(J$87&lt;50,"",""))</f>
        <v/>
      </c>
    </row>
    <row r="300" spans="1:2" x14ac:dyDescent="0.2">
      <c r="A300" s="23">
        <v>36</v>
      </c>
      <c r="B300" s="40" t="str">
        <f>IF(J$87&gt;70,"Está libre de ansiedad y depresión incapacitantes, y no tiene síntomas psicóticos",IF(J$87&lt;50,"",""))</f>
        <v/>
      </c>
    </row>
    <row r="301" spans="1:2" x14ac:dyDescent="0.2">
      <c r="A301" s="23">
        <v>37</v>
      </c>
      <c r="B301" s="40" t="str">
        <f>IF(J$87&gt;70,"`Probable que reciba un diagnóstico de trastorno de la personalidad(personalidad antisocial o pasivo agresiva)",IF(J$87&lt;50,"",""))</f>
        <v/>
      </c>
    </row>
    <row r="302" spans="1:2" x14ac:dyDescent="0.2">
      <c r="A302" s="23">
        <v>38</v>
      </c>
      <c r="B302" s="40" t="str">
        <f>IF(J$87&gt;70,"Propenso a la preocupación, insatisfecho",IF(J$87&lt;50,"",""))</f>
        <v/>
      </c>
    </row>
    <row r="303" spans="1:2" x14ac:dyDescent="0.2">
      <c r="A303" s="23">
        <v>39</v>
      </c>
      <c r="B303" s="40" t="str">
        <f>IF(J$87&gt;70,"Tiene ausencia de respuestas emocional profunda",IF(J$87&lt;50,"",""))</f>
        <v/>
      </c>
    </row>
    <row r="304" spans="1:2" x14ac:dyDescent="0.2">
      <c r="A304" s="23">
        <v>40</v>
      </c>
      <c r="B304" s="40" t="str">
        <f>IF(J$87&gt;70,"Se siente desanimado, vacío",IF(J$87&lt;50,"",""))</f>
        <v/>
      </c>
    </row>
    <row r="305" spans="1:2" x14ac:dyDescent="0.2">
      <c r="A305" s="23">
        <v>41</v>
      </c>
      <c r="B305" s="40" t="str">
        <f>IF(J$87&gt;70,"Tiene un mal pronóstico de cambio en la psicoterapia",IF(J$87&lt;50,"",""))</f>
        <v/>
      </c>
    </row>
    <row r="306" spans="1:2" x14ac:dyDescent="0.2">
      <c r="A306" s="23">
        <v>42</v>
      </c>
      <c r="B306" s="40" t="str">
        <f>IF(J$87&gt;70,"Culpa a los demás de sus problemas",IF(J$87&lt;50,"",""))</f>
        <v/>
      </c>
    </row>
    <row r="307" spans="1:2" x14ac:dyDescent="0.2">
      <c r="A307" s="23">
        <v>43</v>
      </c>
      <c r="B307" s="40" t="str">
        <f>IF(J$87&gt;70,"Utiliza la intelectualización",IF(J$87&lt;50,"",""))</f>
        <v/>
      </c>
    </row>
    <row r="308" spans="1:2" x14ac:dyDescent="0.2">
      <c r="A308" s="23">
        <v>44</v>
      </c>
      <c r="B308" s="40" t="str">
        <f>IF(J$87&gt;70,"Puede acceder al tratamiento para evitar la cárcel o alguna otra experiencia desagradable pero es probable que lo dé por terminado en forma prematura",IF(J$87&lt;50,"",""))</f>
        <v/>
      </c>
    </row>
    <row r="310" spans="1:2" x14ac:dyDescent="0.2">
      <c r="A310" s="23">
        <v>1</v>
      </c>
      <c r="B310" s="40" t="str">
        <f>IF(K$87&gt;75,"Manifiesta conducta francamente psicótica",IF(K$87&gt;65,"Tiene una predisposición paranoide",IF(K$87&gt;55,"Amable, afectuoso, generoso",IF(K$87&gt;35,"Si no es un paciente psiquiátrico y no tiene otras evidencias de inadaptación:","Puede tener un trastorno francamente paranoide"))))</f>
        <v>Si no es un paciente psiquiátrico y no tiene otras evidencias de inadaptación:</v>
      </c>
    </row>
    <row r="311" spans="1:2" x14ac:dyDescent="0.2">
      <c r="A311" s="23">
        <v>2</v>
      </c>
      <c r="B311" s="40" t="str">
        <f>IF(K$87&gt;75,"Tiene pensamientos perturbadores",IF(K$87&gt;65,"Sensible, demasiado impresionante con las reacciones de los demás",IF(K$87&gt;55,"Sentimetal, blando, pacífico",IF(K$87&gt;35,"Alegre","Puede tener delirios, exihibir suspicacia, ideas de referencia"))))</f>
        <v>Alegre</v>
      </c>
    </row>
    <row r="312" spans="1:2" x14ac:dyDescent="0.2">
      <c r="A312" s="23">
        <v>3</v>
      </c>
      <c r="B312" s="40" t="str">
        <f>IF(K$87&gt;75,"Tiene delirios de persecución y/o grandeza",IF(K$87&gt;65,"Siente que la vida es injusta",IF(K$87&gt;55,"Sensible",IF(K$87&gt;35,"Equilibrado","Tiene síntomas que son menos evidentes que en quienes obtienen puntuaciones extremadamente altas"))))</f>
        <v>Equilibrado</v>
      </c>
    </row>
    <row r="313" spans="1:2" x14ac:dyDescent="0.2">
      <c r="A313" s="23">
        <v>4</v>
      </c>
      <c r="B313" s="40" t="str">
        <f>IF(K$87&gt;75,"Tiene ideas de referencia",IF(K$87&gt;65,"Racionaliza; culpa a los demás de sus dificultades",IF(K$87&gt;55,"Confiado",IF(K$87&gt;35,"Ordenado","Evasivo, defensivo, cauteloso"))))</f>
        <v>Ordenado</v>
      </c>
    </row>
    <row r="314" spans="1:2" x14ac:dyDescent="0.2">
      <c r="A314" s="23">
        <v>5</v>
      </c>
      <c r="B314" s="40" t="str">
        <f>IF(K$87&gt;75,"Se siente maltratdo y criticado",IF(K$87&gt;65,"Suspicaz, reservado",IF(K$87&gt;55,"Cooperador",IF(K$87&gt;35,"Serio, maduro, razonable","Tímido, reservado, aislado"))))</f>
        <v>Serio, maduro, razonable</v>
      </c>
    </row>
    <row r="315" spans="1:2" x14ac:dyDescent="0.2">
      <c r="A315" s="23">
        <v>6</v>
      </c>
      <c r="B315" s="40" t="str">
        <f>IF(K$87&gt;75,"Colérico, rencoroso; guarda resentimiento",IF(K$87&gt;65,"Hostil, resentido, tiende a discutir",IF(K$87&gt;55,"Franco",IF(K$87&gt;35,"Prudente, decisivo, perseverante",""))))</f>
        <v>Prudente, decisivo, perseverante</v>
      </c>
    </row>
    <row r="316" spans="1:2" x14ac:dyDescent="0.2">
      <c r="A316" s="23">
        <v>7</v>
      </c>
      <c r="B316" s="40" t="str">
        <f>IF(K$87&gt;75,"Utiliza la proyección como mecanismo de defensa",IF(K$87&gt;65,"Moralista, rígido",IF(K$87&gt;55,"Tiene un amplio rango de intereses",IF(K$87&gt;35,"Socialmente interesado",""))))</f>
        <v>Socialmente interesado</v>
      </c>
    </row>
    <row r="317" spans="1:2" x14ac:dyDescent="0.2">
      <c r="A317" s="23">
        <v>8</v>
      </c>
      <c r="B317" s="40" t="str">
        <f>IF(K$87&gt;75,"Con mayor frecuencia se les diagnóstica esquizofrenia o estado paranoide",IF(K$87&gt;65,"Enfatiza exageradamente la racionalidad",IF(K$87&gt;55,"Enérgico, laborioso",IF(K$87&gt;35,"Enfrenta adecuadamente las situaciones de la vida",""))))</f>
        <v>Enfrenta adecuadamente las situaciones de la vida</v>
      </c>
    </row>
    <row r="318" spans="1:2" x14ac:dyDescent="0.2">
      <c r="A318" s="23">
        <v>9</v>
      </c>
      <c r="B318" s="40" t="str">
        <f>IF(K$87&gt;75,"",IF(K$87&gt;65,"Tiene un pronóstico malo para la psicoterapia",IF(K$87&gt;55,"Muestra iniciativa, se involucra en el trabajo y otras actividades",IF(K$87&gt;35,"Confiado, leal",""))))</f>
        <v>Confiado, leal</v>
      </c>
    </row>
    <row r="319" spans="1:2" x14ac:dyDescent="0.2">
      <c r="A319" s="23">
        <v>10</v>
      </c>
      <c r="B319" s="40" t="str">
        <f>IF(K$87&gt;75,"",IF(K$87&gt;65,"No le gusta hablar sobre sus problemas emocionales",IF(K$87&gt;55,"Equilibrado, inteligente, justo, racional, de ideas claras, con &lt;&lt;insight&gt;&gt;",IF(K$87&gt;35,"Cauteloso, convencional, autocontrolado",""))))</f>
        <v>Cauteloso, convencional, autocontrolado</v>
      </c>
    </row>
    <row r="320" spans="1:2" x14ac:dyDescent="0.2">
      <c r="A320" s="23">
        <v>11</v>
      </c>
      <c r="B320" s="40" t="str">
        <f>IF(K$87&gt;75,"",IF(K$87&gt;65,"Tiene dificultad en establecer el &lt;&lt;raport&gt;&gt; con el terapeuta",IF(K$87&gt;55,"Sumiso",IF(K$87&gt;35,"Si es un paciente psiquiátrico o tiene alguna otra evidencia de inadaptación:",""))))</f>
        <v>Si es un paciente psiquiátrico o tiene alguna otra evidencia de inadaptación:</v>
      </c>
    </row>
    <row r="321" spans="1:2" x14ac:dyDescent="0.2">
      <c r="A321" s="23">
        <v>12</v>
      </c>
      <c r="B321" s="40" t="str">
        <f>IF(K$87&gt;75,"",IF(K$87&gt;65,"Expresa hostilidad y resentimiento hacia los miembros de su familia",IF(K$87&gt;55,"Carece de autoconfianza",IF(K$87&gt;35,"a. Obstinado, evasivo, cauteloso",""))))</f>
        <v>a. Obstinado, evasivo, cauteloso</v>
      </c>
    </row>
    <row r="322" spans="1:2" x14ac:dyDescent="0.2">
      <c r="A322" s="23">
        <v>13</v>
      </c>
      <c r="B322" s="40" t="str">
        <f>IF(K$87&gt;75,"",IF(K$87&gt;65,"",IF(K$87&gt;55,"Nervioso, propenso a la preocupación",IF(K$87&gt;35,"Egocéntrico",""))))</f>
        <v>Egocéntrico</v>
      </c>
    </row>
    <row r="323" spans="1:2" x14ac:dyDescent="0.2">
      <c r="A323" s="23">
        <v>14</v>
      </c>
      <c r="B323" s="40" t="str">
        <f>IF(K$87&gt;75,"",IF(K$87&gt;65,"",IF(K$87&gt;55,"",IF(K$87&gt;35,"Muestra poco interés en las cosas que no le afectan de manera directa",""))))</f>
        <v>Muestra poco interés en las cosas que no le afectan de manera directa</v>
      </c>
    </row>
    <row r="324" spans="1:2" x14ac:dyDescent="0.2">
      <c r="A324" s="23">
        <v>15</v>
      </c>
      <c r="B324" s="40" t="str">
        <f>IF(K$87&gt;75,"",IF(K$87&gt;65,"",IF(K$87&gt;55,"",IF(K$87&gt;35,"Insatisfecho de sí mismo",""))))</f>
        <v>Insatisfecho de sí mismo</v>
      </c>
    </row>
    <row r="325" spans="1:2" x14ac:dyDescent="0.2">
      <c r="A325" s="23">
        <v>16</v>
      </c>
      <c r="B325" s="40" t="str">
        <f>IF(K$87&gt;75,"",IF(K$87&gt;65,"",IF(K$87&gt;55,"",IF(K$87&gt;35,"Extremadamente sencible a las reacciones de los demás",""))))</f>
        <v>Extremadamente sencible a las reacciones de los demás</v>
      </c>
    </row>
    <row r="326" spans="1:2" x14ac:dyDescent="0.2">
      <c r="A326" s="23">
        <v>17</v>
      </c>
      <c r="B326" s="40" t="str">
        <f>IF(K$87&gt;75,"",IF(K$87&gt;65,"",IF(K$87&gt;55,"",IF(K$87&gt;35,"Carece de &lt;&lt;insight&gt;&gt;",""))))</f>
        <v>Carece de &lt;&lt;insight&gt;&gt;</v>
      </c>
    </row>
    <row r="327" spans="1:2" x14ac:dyDescent="0.2">
      <c r="A327" s="23">
        <v>18</v>
      </c>
      <c r="B327" s="40" t="str">
        <f>IF(K$87&gt;75,"",IF(K$87&gt;65,"",IF(K$87&gt;55,"",IF(K$87&gt;35,"Carece de intereses y habilidades sociales",""))))</f>
        <v>Carece de intereses y habilidades sociales</v>
      </c>
    </row>
    <row r="328" spans="1:2" x14ac:dyDescent="0.2">
      <c r="A328" s="23">
        <v>19</v>
      </c>
      <c r="B328" s="40" t="str">
        <f>IF(K$87&gt;75,"",IF(K$87&gt;65,"",IF(K$87&gt;55,"",IF(K$87&gt;35,"No tiene principios morales muy rígidos",""))))</f>
        <v>No tiene principios morales muy rígidos</v>
      </c>
    </row>
    <row r="329" spans="1:2" x14ac:dyDescent="0.2">
      <c r="A329" s="23">
        <v>20</v>
      </c>
      <c r="B329" s="40" t="str">
        <f>IF(K$87&gt;75,"",IF(K$87&gt;65,"",IF(K$87&gt;55,"",IF(K$87&gt;35,"Rudo, torpe",""))))</f>
        <v>Rudo, torpe</v>
      </c>
    </row>
    <row r="330" spans="1:2" x14ac:dyDescent="0.2">
      <c r="A330" s="23">
        <v>21</v>
      </c>
      <c r="B330" s="40" t="str">
        <f>IF(K$87&gt;75,"",IF(K$87&gt;65,"",IF(K$87&gt;55,"",IF(K$87&gt;35,"Inseguro",""))))</f>
        <v>Inseguro</v>
      </c>
    </row>
    <row r="331" spans="1:2" x14ac:dyDescent="0.2">
      <c r="A331" s="23">
        <v>22</v>
      </c>
      <c r="B331" s="40" t="str">
        <f>IF(K$87&gt;75,"",IF(K$87&gt;65,"",IF(K$87&gt;55,"",IF(K$87&gt;35,"Con poco éxito",""))))</f>
        <v>Con poco éxito</v>
      </c>
    </row>
    <row r="332" spans="1:2" x14ac:dyDescent="0.2">
      <c r="A332" s="23">
        <v>23</v>
      </c>
      <c r="B332" s="40" t="str">
        <f>IF(K$87&gt;75,"",IF(K$87&gt;65,"",IF(K$87&gt;55,"",IF(K$87&gt;35,"Suceptible, antagónico",""))))</f>
        <v>Suceptible, antagónico</v>
      </c>
    </row>
    <row r="333" spans="1:2" x14ac:dyDescent="0.2">
      <c r="A333" s="23">
        <v>24</v>
      </c>
      <c r="B333" s="40" t="str">
        <f>IF(K$87&gt;75,"",IF(K$87&gt;65,"",IF(K$87&gt;55,"",IF(K$87&gt;35,"No es probable que manifieste síntomas psicóticos; no es común el diagnóstico psicótico",""))))</f>
        <v>No es probable que manifieste síntomas psicóticos; no es común el diagnóstico psicótico</v>
      </c>
    </row>
    <row r="335" spans="1:2" x14ac:dyDescent="0.2">
      <c r="A335" s="23">
        <v>1</v>
      </c>
      <c r="B335" s="40" t="e">
        <f>IF(L$87&gt;70,"Experimenta trastorno e inconformidad",IF(L$87&lt;50,"Capaz",""))</f>
        <v>#N/A</v>
      </c>
    </row>
    <row r="336" spans="1:2" x14ac:dyDescent="0.2">
      <c r="A336" s="23">
        <v>2</v>
      </c>
      <c r="B336" s="40" t="e">
        <f>IF(L$87&gt;70,"Ansioso, tenso, agitado",IF(L$87&lt;50,"Bien adaptado",""))</f>
        <v>#N/A</v>
      </c>
    </row>
    <row r="337" spans="1:2" x14ac:dyDescent="0.2">
      <c r="A337" s="23">
        <v>3</v>
      </c>
      <c r="B337" s="40" t="e">
        <f>IF(L$87&gt;70,"Preocupado, aprensivo",IF(L$87&lt;50,"Libre de temores y ansiedad incapacitantes",""))</f>
        <v>#N/A</v>
      </c>
    </row>
    <row r="338" spans="1:2" x14ac:dyDescent="0.2">
      <c r="A338" s="23">
        <v>4</v>
      </c>
      <c r="B338" s="40" t="e">
        <f>IF(L$87&gt;70,"Nervioso, asustadizo",IF(L$87&lt;50,"Seguro de sí mismo",""))</f>
        <v>#N/A</v>
      </c>
    </row>
    <row r="339" spans="1:2" x14ac:dyDescent="0.2">
      <c r="A339" s="23">
        <v>5</v>
      </c>
      <c r="B339" s="40" t="e">
        <f>IF(L$87&gt;70,"Tiene dificultades para concentrarse",IF(L$87&lt;50,"Tiene un amplio rango de intereses",""))</f>
        <v>#N/A</v>
      </c>
    </row>
    <row r="340" spans="1:2" x14ac:dyDescent="0.2">
      <c r="A340" s="23">
        <v>6</v>
      </c>
      <c r="B340" s="40" t="e">
        <f>IF(L$87&gt;70,"Introspectivo, rumia las ideas",IF(L$87&lt;50,"Responsable, eficiente, realista, adaptable",""))</f>
        <v>#N/A</v>
      </c>
    </row>
    <row r="341" spans="1:2" x14ac:dyDescent="0.2">
      <c r="A341" s="23">
        <v>7</v>
      </c>
      <c r="B341" s="40" t="e">
        <f>IF(L$87&gt;70,"Obsesivo en su pensamiento",IF(L$87&lt;50,"Valora el éxito, la posición y el reconocimiento",""))</f>
        <v>#N/A</v>
      </c>
    </row>
    <row r="342" spans="1:2" x14ac:dyDescent="0.2">
      <c r="A342" s="23">
        <v>8</v>
      </c>
      <c r="B342" s="40" t="e">
        <f>IF(L$87&gt;70,"Tiene conductas compulsivas",IF(L$87&lt;50,"",""))</f>
        <v>#N/A</v>
      </c>
    </row>
    <row r="343" spans="1:2" x14ac:dyDescent="0.2">
      <c r="A343" s="23">
        <v>9</v>
      </c>
      <c r="B343" s="40" t="e">
        <f>IF(L$87&gt;70,"Se siente inseguro e inferior",IF(L$87&lt;50,"",""))</f>
        <v>#N/A</v>
      </c>
    </row>
    <row r="344" spans="1:2" x14ac:dyDescent="0.2">
      <c r="A344" s="23">
        <v>10</v>
      </c>
      <c r="B344" s="40" t="e">
        <f>IF(L$87&gt;70,"Carece de seguridad en sí mismo",IF(L$87&lt;50,"",""))</f>
        <v>#N/A</v>
      </c>
    </row>
    <row r="345" spans="1:2" x14ac:dyDescent="0.2">
      <c r="A345" s="23">
        <v>11</v>
      </c>
      <c r="B345" s="40" t="e">
        <f>IF(L$87&gt;70,"Tiene dudas sobre sí mismo; autocrítico; cohibido; se desprecia a sí mismo",IF(L$87&lt;50,"",""))</f>
        <v>#N/A</v>
      </c>
    </row>
    <row r="346" spans="1:2" x14ac:dyDescent="0.2">
      <c r="A346" s="23">
        <v>12</v>
      </c>
      <c r="B346" s="40" t="e">
        <f>IF(L$87&gt;70,"Rígido moralista",IF(L$87&lt;50,"",""))</f>
        <v>#N/A</v>
      </c>
    </row>
    <row r="347" spans="1:2" x14ac:dyDescent="0.2">
      <c r="A347" s="23">
        <v>13</v>
      </c>
      <c r="B347" s="40" t="e">
        <f>IF(L$87&gt;70,"Tiene normas elevadas para sí y para todos los demás",IF(L$87&lt;50,"",""))</f>
        <v>#N/A</v>
      </c>
    </row>
    <row r="348" spans="1:2" x14ac:dyDescent="0.2">
      <c r="A348" s="23">
        <v>14</v>
      </c>
      <c r="B348" s="40" t="e">
        <f>IF(L$87&gt;70,"Perfeccionista, concienzudo",IF(L$87&lt;50,"",""))</f>
        <v>#N/A</v>
      </c>
    </row>
    <row r="349" spans="1:2" x14ac:dyDescent="0.2">
      <c r="A349" s="23">
        <v>15</v>
      </c>
      <c r="B349" s="40" t="e">
        <f>IF(L$87&gt;70,"Se siente culpable, deprimido",IF(L$87&lt;50,"",""))</f>
        <v>#N/A</v>
      </c>
    </row>
    <row r="350" spans="1:2" x14ac:dyDescent="0.2">
      <c r="A350" s="23">
        <v>16</v>
      </c>
      <c r="B350" s="40" t="e">
        <f>IF(L$87&gt;70,"Pulcro, ordenado, organizado, meticuloso",IF(L$87&lt;50,"",""))</f>
        <v>#N/A</v>
      </c>
    </row>
    <row r="351" spans="1:2" x14ac:dyDescent="0.2">
      <c r="A351" s="23">
        <v>17</v>
      </c>
      <c r="B351" s="40" t="e">
        <f>IF(L$87&gt;70,"Persistente",IF(L$87&lt;50,"",""))</f>
        <v>#N/A</v>
      </c>
    </row>
    <row r="352" spans="1:2" x14ac:dyDescent="0.2">
      <c r="A352" s="23">
        <v>18</v>
      </c>
      <c r="B352" s="40" t="e">
        <f>IF(L$87&gt;70,"Confiable",IF(L$87&lt;50,"",""))</f>
        <v>#N/A</v>
      </c>
    </row>
    <row r="353" spans="1:2" x14ac:dyDescent="0.2">
      <c r="A353" s="23">
        <v>19</v>
      </c>
      <c r="B353" s="40" t="e">
        <f>IF(L$87&gt;70,"Carece de ingenio y originalidad en su enfoque de los problemas",IF(L$87&lt;50,"",""))</f>
        <v>#N/A</v>
      </c>
    </row>
    <row r="354" spans="1:2" x14ac:dyDescent="0.2">
      <c r="A354" s="23">
        <v>20</v>
      </c>
      <c r="B354" s="40" t="e">
        <f>IF(L$87&gt;70,"Torpe, formal",IF(L$87&lt;50,"",""))</f>
        <v>#N/A</v>
      </c>
    </row>
    <row r="355" spans="1:2" x14ac:dyDescent="0.2">
      <c r="A355" s="23">
        <v>21</v>
      </c>
      <c r="B355" s="40" t="e">
        <f>IF(L$87&gt;70,"Vacila, es indeciso",IF(L$87&lt;50,"",""))</f>
        <v>#N/A</v>
      </c>
    </row>
    <row r="356" spans="1:2" x14ac:dyDescent="0.2">
      <c r="A356" s="23">
        <v>22</v>
      </c>
      <c r="B356" s="40" t="e">
        <f>IF(L$87&gt;70,"Distorsiona la importancia de los problemas; reacciona exageradamente",IF(L$87&lt;50,"",""))</f>
        <v>#N/A</v>
      </c>
    </row>
    <row r="357" spans="1:2" x14ac:dyDescent="0.2">
      <c r="A357" s="23">
        <v>23</v>
      </c>
      <c r="B357" s="40" t="e">
        <f>IF(L$87&gt;70,"Tímido",IF(L$87&lt;50,"",""))</f>
        <v>#N/A</v>
      </c>
    </row>
    <row r="358" spans="1:2" x14ac:dyDescent="0.2">
      <c r="A358" s="23">
        <v>24</v>
      </c>
      <c r="B358" s="40" t="e">
        <f>IF(L$87&gt;70,"No interactúa bien socialmente",IF(L$87&lt;50,"",""))</f>
        <v>#N/A</v>
      </c>
    </row>
    <row r="359" spans="1:2" x14ac:dyDescent="0.2">
      <c r="A359" s="23">
        <v>25</v>
      </c>
      <c r="B359" s="40" t="e">
        <f>IF(L$87&gt;70,"Difícil de conocer",IF(L$87&lt;50,"",""))</f>
        <v>#N/A</v>
      </c>
    </row>
    <row r="360" spans="1:2" x14ac:dyDescent="0.2">
      <c r="A360" s="23">
        <v>26</v>
      </c>
      <c r="B360" s="40" t="e">
        <f>IF(L$87&gt;70,"Se preocupa por su popularidad y aceptación",IF(L$87&lt;50,"",""))</f>
        <v>#N/A</v>
      </c>
    </row>
    <row r="361" spans="1:2" x14ac:dyDescent="0.2">
      <c r="A361" s="23">
        <v>27</v>
      </c>
      <c r="B361" s="40" t="e">
        <f>IF(L$87&gt;70,"Sentimental, pacífico, bondadoso, confiado, sencible, amable",IF(L$87&lt;50,"",""))</f>
        <v>#N/A</v>
      </c>
    </row>
    <row r="362" spans="1:2" x14ac:dyDescent="0.2">
      <c r="A362" s="23">
        <v>28</v>
      </c>
      <c r="B362" s="40" t="e">
        <f>IF(L$87&gt;70,"Dependiente",IF(L$87&lt;50,"",""))</f>
        <v>#N/A</v>
      </c>
    </row>
    <row r="363" spans="1:2" x14ac:dyDescent="0.2">
      <c r="A363" s="23">
        <v>29</v>
      </c>
      <c r="B363" s="40" t="e">
        <f>IF(L$87&gt;70,"Individualista",IF(L$87&lt;50,"",""))</f>
        <v>#N/A</v>
      </c>
    </row>
    <row r="364" spans="1:2" x14ac:dyDescent="0.2">
      <c r="A364" s="23">
        <v>30</v>
      </c>
      <c r="B364" s="40" t="e">
        <f>IF(L$87&gt;70,"Poco emotivo",IF(L$87&lt;50,"",""))</f>
        <v>#N/A</v>
      </c>
    </row>
    <row r="365" spans="1:2" x14ac:dyDescent="0.2">
      <c r="A365" s="23">
        <v>31</v>
      </c>
      <c r="B365" s="40" t="e">
        <f>IF(L$87&gt;70,"Inmaduro",IF(L$87&lt;50,"",""))</f>
        <v>#N/A</v>
      </c>
    </row>
    <row r="366" spans="1:2" x14ac:dyDescent="0.2">
      <c r="A366" s="23">
        <v>32</v>
      </c>
      <c r="B366" s="40" t="e">
        <f>IF(L$87&gt;70,"Tiene quejas físicas a.-corazón b.-aparato genitourinario c.-fatiga, agotamiento, insomnio",IF(L$87&lt;50,"",""))</f>
        <v>#N/A</v>
      </c>
    </row>
    <row r="367" spans="1:2" x14ac:dyDescent="0.2">
      <c r="A367" s="23">
        <v>33</v>
      </c>
      <c r="B367" s="40" t="e">
        <f>IF(L$87&gt;70,"No responde a la psicoterapia breve",IF(L$87&lt;50,"",""))</f>
        <v>#N/A</v>
      </c>
    </row>
    <row r="368" spans="1:2" x14ac:dyDescent="0.2">
      <c r="A368" s="23">
        <v>34</v>
      </c>
      <c r="B368" s="40" t="e">
        <f>IF(L$87&gt;70,"Muestra algún &lt;&lt;insight&gt;&gt; sobre sus problemas",IF(L$87&lt;50,"",""))</f>
        <v>#N/A</v>
      </c>
    </row>
    <row r="369" spans="1:2" x14ac:dyDescent="0.2">
      <c r="A369" s="23">
        <v>35</v>
      </c>
      <c r="B369" s="40" t="e">
        <f>IF(L$87&gt;70,"Intelecualiza, racionaliza",IF(L$87&lt;50,"",""))</f>
        <v>#N/A</v>
      </c>
    </row>
    <row r="370" spans="1:2" x14ac:dyDescent="0.2">
      <c r="A370" s="23">
        <v>36</v>
      </c>
      <c r="B370" s="40" t="e">
        <f>IF(L$87&gt;70,"Se resiste a las interpretaciones en la psicoterapia",IF(L$87&lt;50,"",""))</f>
        <v>#N/A</v>
      </c>
    </row>
    <row r="371" spans="1:2" x14ac:dyDescent="0.2">
      <c r="A371" s="23">
        <v>37</v>
      </c>
      <c r="B371" s="40" t="e">
        <f>IF(L$87&gt;70,"Expresa hostilidad hacia el terapeuta",IF(L$87&lt;50,"",""))</f>
        <v>#N/A</v>
      </c>
    </row>
    <row r="372" spans="1:2" x14ac:dyDescent="0.2">
      <c r="A372" s="23">
        <v>38</v>
      </c>
      <c r="B372" s="40" t="e">
        <f>IF(L$87&gt;70,"Permanece en la psicoterapia más tiempo que la mayoría de los pacientes",IF(L$87&lt;50,"",""))</f>
        <v>#N/A</v>
      </c>
    </row>
    <row r="373" spans="1:2" x14ac:dyDescent="0.2">
      <c r="A373" s="23">
        <v>39</v>
      </c>
      <c r="B373" s="40" t="e">
        <f>IF(L$87&gt;70,"Tiene un progreso lento pero estable en la psicoterapia",IF(L$87&lt;50,"",""))</f>
        <v>#N/A</v>
      </c>
    </row>
    <row r="374" spans="1:2" x14ac:dyDescent="0.2">
      <c r="A374" s="23">
        <v>40</v>
      </c>
      <c r="B374" s="40" t="e">
        <f>IF(L$87&gt;70,"Discute en los problemas terapéuticos incluyendo las dificultades con figuras de autoridad, los hábitos deficientes en el trabajo o el estudio preocupación sobre posibles impulsos homosexuales",IF(L$87&lt;50,"",""))</f>
        <v>#N/A</v>
      </c>
    </row>
    <row r="375" spans="1:2" x14ac:dyDescent="0.2">
      <c r="B375" s="40"/>
    </row>
    <row r="376" spans="1:2" x14ac:dyDescent="0.2">
      <c r="A376" s="23">
        <v>1</v>
      </c>
      <c r="B376" s="40" t="e">
        <f>IF(M$87&gt;70,"Puede manifestar conducta psicótica evidente",IF(M$87&lt;50,"Amistoso, alegre, bondadoso, sensible, confiado",""))</f>
        <v>#N/A</v>
      </c>
    </row>
    <row r="377" spans="1:2" x14ac:dyDescent="0.2">
      <c r="A377" s="23">
        <v>2</v>
      </c>
      <c r="B377" s="40" t="e">
        <f>IF(M$87&gt;70,"Confuso, desorganizado, desorientado",IF(M$87&lt;50,"Bien equilibrado, adaptable",""))</f>
        <v>#N/A</v>
      </c>
    </row>
    <row r="378" spans="1:2" x14ac:dyDescent="0.2">
      <c r="A378" s="23">
        <v>3</v>
      </c>
      <c r="B378" s="40" t="e">
        <f>IF(M$87&gt;70,"Tiene pensamientos o actitudes poco usuales; delirios",IF(M$87&lt;50,"Responsable, dependiente",""))</f>
        <v>#N/A</v>
      </c>
    </row>
    <row r="379" spans="1:2" x14ac:dyDescent="0.2">
      <c r="A379" s="23">
        <v>4</v>
      </c>
      <c r="B379" s="40" t="e">
        <f>IF(M$87&gt;70,"Tiene alucinaciones",IF(M$87&lt;50,"Restringido en sus relaciones; evita compromisos emocionales profundos",""))</f>
        <v>#N/A</v>
      </c>
    </row>
    <row r="380" spans="1:2" x14ac:dyDescent="0.2">
      <c r="A380" s="23">
        <v>5</v>
      </c>
      <c r="B380" s="40" t="e">
        <f>IF(M$87&gt;70,"Muestra un juicio escaso",IF(M$87&lt;50,"Sumiso, dócil, acepta demasiado a la autoridad",""))</f>
        <v>#N/A</v>
      </c>
    </row>
    <row r="381" spans="1:2" x14ac:dyDescent="0.2">
      <c r="A381" s="23">
        <v>6</v>
      </c>
      <c r="B381" s="40" t="e">
        <f>IF(M$87&gt;70,"Tiene un estilo de vida esquizoide",IF(M$87&lt;50,"Cauteloso, convencional, conservador, carente de imaginación para enfocar sus problemas",""))</f>
        <v>#N/A</v>
      </c>
    </row>
    <row r="382" spans="1:2" x14ac:dyDescent="0.2">
      <c r="A382" s="23">
        <v>7</v>
      </c>
      <c r="B382" s="40" t="e">
        <f>IF(M$87&gt;70,"No se siente parte del ambiente social",IF(M$87&lt;50,"Práctico, de pensamiento concreto",""))</f>
        <v>#N/A</v>
      </c>
    </row>
    <row r="383" spans="1:2" x14ac:dyDescent="0.2">
      <c r="A383" s="23">
        <v>8</v>
      </c>
      <c r="B383" s="40" t="e">
        <f>IF(M$87&gt;70,"Se siente aislado, apartado, incomprendido",IF(M$87&lt;50,"Preocupado por el éxito, la posición, el poder",""))</f>
        <v>#N/A</v>
      </c>
    </row>
    <row r="384" spans="1:2" x14ac:dyDescent="0.2">
      <c r="A384" s="23">
        <v>9</v>
      </c>
      <c r="B384" s="40" t="e">
        <f>IF(M$87&gt;70,"Se siente rechazado por sus compañeros",IF(M$87&lt;50,"Reacio a involucrarse en situaciones claramente competitivas",""))</f>
        <v>#N/A</v>
      </c>
    </row>
    <row r="385" spans="1:2" x14ac:dyDescent="0.2">
      <c r="A385" s="23">
        <v>10</v>
      </c>
      <c r="B385" s="40" t="e">
        <f>IF(M$87&gt;70,"Retraído, solitario, reservado, inaccesible",IF(M$87&lt;50,"",""))</f>
        <v>#N/A</v>
      </c>
    </row>
    <row r="386" spans="1:2" x14ac:dyDescent="0.2">
      <c r="A386" s="23">
        <v>11</v>
      </c>
      <c r="B386" s="40" t="e">
        <f>IF(M$87&gt;70,"Evita enfrentarse con personas y situaciones nuevas",IF(M$87&lt;50,"",""))</f>
        <v>#N/A</v>
      </c>
    </row>
    <row r="387" spans="1:2" x14ac:dyDescent="0.2">
      <c r="A387" s="23">
        <v>12</v>
      </c>
      <c r="B387" s="40" t="e">
        <f>IF(M$87&gt;70,"Tímido, alejado, no comprometido",IF(M$87&lt;50,"",""))</f>
        <v>#N/A</v>
      </c>
    </row>
    <row r="388" spans="1:2" x14ac:dyDescent="0.2">
      <c r="A388" s="23">
        <v>13</v>
      </c>
      <c r="B388" s="40" t="e">
        <f>IF(M$87&gt;70,"Experimenta ansiedad generalizada",IF(M$87&lt;50,"",""))</f>
        <v>#N/A</v>
      </c>
    </row>
    <row r="389" spans="1:2" x14ac:dyDescent="0.2">
      <c r="A389" s="23">
        <v>14</v>
      </c>
      <c r="B389" s="40" t="e">
        <f>IF(M$87&gt;70,"Se siente resentido, hostil, agresivo",IF(M$87&lt;50,"",""))</f>
        <v>#N/A</v>
      </c>
    </row>
    <row r="390" spans="1:2" x14ac:dyDescent="0.2">
      <c r="A390" s="23">
        <v>15</v>
      </c>
      <c r="B390" s="40" t="e">
        <f>IF(M$87&gt;70,"Incapaz de expresar sus sentimientos",IF(M$87&lt;50,"",""))</f>
        <v>#N/A</v>
      </c>
    </row>
    <row r="391" spans="1:2" x14ac:dyDescent="0.2">
      <c r="A391" s="23">
        <v>16</v>
      </c>
      <c r="B391" s="40" t="e">
        <f>IF(M$87&gt;70,"Reacciona a la tensión aislándose en ensoñasiones y fantasías",IF(M$87&lt;50,"",""))</f>
        <v>#N/A</v>
      </c>
    </row>
    <row r="392" spans="1:2" x14ac:dyDescent="0.2">
      <c r="A392" s="23">
        <v>17</v>
      </c>
      <c r="B392" s="40" t="e">
        <f>IF(M$87&gt;70,"Tiene dificultad para separar la realidad de la fantasía",IF(M$87&lt;50,"",""))</f>
        <v>#N/A</v>
      </c>
    </row>
    <row r="393" spans="1:2" x14ac:dyDescent="0.2">
      <c r="A393" s="23">
        <v>18</v>
      </c>
      <c r="B393" s="40" t="e">
        <f>IF(M$87&gt;70,"Está plagado de dudas sobre sí mismo",IF(M$87&lt;50,"",""))</f>
        <v>#N/A</v>
      </c>
    </row>
    <row r="394" spans="1:2" x14ac:dyDescent="0.2">
      <c r="A394" s="23">
        <v>19</v>
      </c>
      <c r="B394" s="40" t="e">
        <f>IF(M$87&gt;70,"Se siente inferior, incompetente, insatisfecho",IF(M$87&lt;50,"",""))</f>
        <v>#N/A</v>
      </c>
    </row>
    <row r="395" spans="1:2" x14ac:dyDescent="0.2">
      <c r="A395" s="23">
        <v>20</v>
      </c>
      <c r="B395" s="40" t="e">
        <f>IF(M$87&gt;70,"Tiene preocupaciones y confusión del papel sexual",IF(M$87&lt;50,"",""))</f>
        <v>#N/A</v>
      </c>
    </row>
    <row r="396" spans="1:2" x14ac:dyDescent="0.2">
      <c r="A396" s="23">
        <v>21</v>
      </c>
      <c r="B396" s="40" t="e">
        <f>IF(M$87&gt;70,"Inconformista, poco usual, no convencional, excéntrico",IF(M$87&lt;50,"",""))</f>
        <v>#N/A</v>
      </c>
    </row>
    <row r="397" spans="1:2" x14ac:dyDescent="0.2">
      <c r="A397" s="23">
        <v>22</v>
      </c>
      <c r="B397" s="40" t="e">
        <f>IF(M$87&gt;70,"Quejas físicas permanentes, vagas",IF(M$87&lt;50,"",""))</f>
        <v>#N/A</v>
      </c>
    </row>
    <row r="398" spans="1:2" x14ac:dyDescent="0.2">
      <c r="A398" s="23">
        <v>23</v>
      </c>
      <c r="B398" s="40" t="e">
        <f>IF(M$87&gt;70,"Obstibado, malhumorado, testarudo",IF(M$87&lt;50,"",""))</f>
        <v>#N/A</v>
      </c>
    </row>
    <row r="399" spans="1:2" x14ac:dyDescent="0.2">
      <c r="A399" s="23">
        <v>24</v>
      </c>
      <c r="B399" s="40" t="e">
        <f>IF(M$87&gt;70,"Generoso, pacífico, sentimental",IF(M$87&lt;50,"",""))</f>
        <v>#N/A</v>
      </c>
    </row>
    <row r="400" spans="1:2" x14ac:dyDescent="0.2">
      <c r="A400" s="23">
        <v>25</v>
      </c>
      <c r="B400" s="40" t="e">
        <f>IF(M$87&gt;70,"Inmaduro, impulsivo",IF(M$87&lt;50,"",""))</f>
        <v>#N/A</v>
      </c>
    </row>
    <row r="401" spans="1:2" x14ac:dyDescent="0.2">
      <c r="A401" s="23">
        <v>26</v>
      </c>
      <c r="B401" s="40" t="e">
        <f>IF(M$87&gt;70,"Aventurado",IF(M$87&lt;50,"",""))</f>
        <v>#N/A</v>
      </c>
    </row>
    <row r="402" spans="1:2" x14ac:dyDescent="0.2">
      <c r="A402" s="23">
        <v>27</v>
      </c>
      <c r="B402" s="40" t="e">
        <f>IF(M$87&gt;70,"Suspicaz",IF(M$87&lt;50,"",""))</f>
        <v>#N/A</v>
      </c>
    </row>
    <row r="403" spans="1:2" x14ac:dyDescent="0.2">
      <c r="A403" s="23">
        <v>28</v>
      </c>
      <c r="B403" s="40" t="e">
        <f>IF(M$87&gt;70,"Concienzudo",IF(M$87&lt;50,"",""))</f>
        <v>#N/A</v>
      </c>
    </row>
    <row r="404" spans="1:2" x14ac:dyDescent="0.2">
      <c r="A404" s="23">
        <v>29</v>
      </c>
      <c r="B404" s="40" t="e">
        <f>IF(M$87&gt;70,"Nervioso",IF(M$87&lt;50,"",""))</f>
        <v>#N/A</v>
      </c>
    </row>
    <row r="405" spans="1:2" x14ac:dyDescent="0.2">
      <c r="A405" s="23">
        <v>30</v>
      </c>
      <c r="B405" s="40" t="e">
        <f>IF(M$87&gt;70,"Tiene un amplio rango de intereses",IF(M$87&lt;50,"",""))</f>
        <v>#N/A</v>
      </c>
    </row>
    <row r="406" spans="1:2" x14ac:dyDescent="0.2">
      <c r="A406" s="23">
        <v>31</v>
      </c>
      <c r="B406" s="40" t="e">
        <f>IF(M$87&gt;70,"Creativo e imaginativo",IF(M$87&lt;50,"",""))</f>
        <v>#N/A</v>
      </c>
    </row>
    <row r="407" spans="1:2" x14ac:dyDescent="0.2">
      <c r="A407" s="23">
        <v>32</v>
      </c>
      <c r="B407" s="40" t="e">
        <f>IF(M$87&gt;70,"Tiene onjetivos vagos, abstractos",IF(M$87&lt;50,"",""))</f>
        <v>#N/A</v>
      </c>
    </row>
    <row r="408" spans="1:2" x14ac:dyDescent="0.2">
      <c r="A408" s="23">
        <v>33</v>
      </c>
      <c r="B408" s="40" t="e">
        <f>IF(M$87&gt;70,"Carece de la información básica requerida para la solución de problemas",IF(M$87&lt;50,"",""))</f>
        <v>#N/A</v>
      </c>
    </row>
    <row r="409" spans="1:2" x14ac:dyDescent="0.2">
      <c r="A409" s="23">
        <v>34</v>
      </c>
      <c r="B409" s="40" t="e">
        <f>IF(M$87&gt;70,"Tiene un mal pronóstico en la psicoterapia",IF(M$87&lt;50,"",""))</f>
        <v>#N/A</v>
      </c>
    </row>
    <row r="410" spans="1:2" x14ac:dyDescent="0.2">
      <c r="A410" s="23">
        <v>35</v>
      </c>
      <c r="B410" s="40" t="e">
        <f>IF(M$87&gt;70,"Renuente a relacionarse de manera significativa con el terapeuta",IF(M$87&lt;50,"",""))</f>
        <v>#N/A</v>
      </c>
    </row>
    <row r="411" spans="1:2" x14ac:dyDescent="0.2">
      <c r="A411" s="23">
        <v>36</v>
      </c>
      <c r="B411" s="40" t="e">
        <f>IF(M$87&gt;70,"Permanece en la psicoterapia más tiempo que la mayoría de los pacientes",IF(M$87&lt;50,"",""))</f>
        <v>#N/A</v>
      </c>
    </row>
    <row r="412" spans="1:2" x14ac:dyDescent="0.2">
      <c r="A412" s="23">
        <v>37</v>
      </c>
      <c r="B412" s="40" t="e">
        <f>IF(M$87&gt;70,"Finalmente puede llegar a confiar en el terapeuta",IF(M$87&lt;50,"",""))</f>
        <v>#N/A</v>
      </c>
    </row>
    <row r="414" spans="1:2" x14ac:dyDescent="0.2">
      <c r="A414" s="23">
        <v>1</v>
      </c>
      <c r="B414" s="40" t="str">
        <f>IF(N$87&gt;70,"Manifiesta actividad excesiva, sin propósito",IF(N$87&lt;50,"Tiene un nivel bajo de energía y actividad",""))</f>
        <v>Tiene un nivel bajo de energía y actividad</v>
      </c>
    </row>
    <row r="415" spans="1:2" x14ac:dyDescent="0.2">
      <c r="A415" s="23">
        <v>2</v>
      </c>
      <c r="B415" s="40" t="str">
        <f>IF(N$87&gt;70,"Habla aceleradamente",IF(N$87&lt;50,"Letárgico, indiferente, apático, flemático",""))</f>
        <v>Letárgico, indiferente, apático, flemático</v>
      </c>
    </row>
    <row r="416" spans="1:2" x14ac:dyDescent="0.2">
      <c r="A416" s="23">
        <v>3</v>
      </c>
      <c r="B416" s="40" t="str">
        <f>IF(N$87&gt;70,"Tiene alucinaciones, delirios de grandeza",IF(N$87&lt;50,"Difícil de motivar",""))</f>
        <v>Difícil de motivar</v>
      </c>
    </row>
    <row r="417" spans="1:2" x14ac:dyDescent="0.2">
      <c r="A417" s="23">
        <v>4</v>
      </c>
      <c r="B417" s="40" t="str">
        <f>IF(N$87&gt;70,"Enérgico, parlanchín",IF(N$87&lt;50,"Informa fatiga crónica, agotamiento físico",""))</f>
        <v>Informa fatiga crónica, agotamiento físico</v>
      </c>
    </row>
    <row r="418" spans="1:2" x14ac:dyDescent="0.2">
      <c r="A418" s="23">
        <v>5</v>
      </c>
      <c r="B418" s="40" t="str">
        <f>IF(N$87&gt;70,"Prefiere la acción al pensamiento",IF(N$87&lt;50,"Deprimido, ansioso, tenso",""))</f>
        <v>Deprimido, ansioso, tenso</v>
      </c>
    </row>
    <row r="419" spans="1:2" x14ac:dyDescent="0.2">
      <c r="A419" s="23">
        <v>6</v>
      </c>
      <c r="B419" s="40" t="str">
        <f>IF(N$87&gt;70,"Tiene un amplio rango de intereses; se involucra en muchas actividades",IF(N$87&lt;50,"Confiable, responsable, dependiente",""))</f>
        <v>Confiable, responsable, dependiente</v>
      </c>
    </row>
    <row r="420" spans="1:2" x14ac:dyDescent="0.2">
      <c r="A420" s="23">
        <v>7</v>
      </c>
      <c r="B420" s="40" t="str">
        <f>IF(N$87&gt;70,"No utiliza su energía prudente, no concluye sus proyectos",IF(N$87&lt;50,"Enfoca los problemas en una forma convencional, práctica y razonable",""))</f>
        <v>Enfoca los problemas en una forma convencional, práctica y razonable</v>
      </c>
    </row>
    <row r="421" spans="1:2" x14ac:dyDescent="0.2">
      <c r="A421" s="23">
        <v>8</v>
      </c>
      <c r="B421" s="40" t="str">
        <f>IF(N$87&gt;70,"Creativo, emprendedor, ingenioso",IF(N$87&lt;50,"Carece de seguridad en sí mismo",""))</f>
        <v>Carece de seguridad en sí mismo</v>
      </c>
    </row>
    <row r="422" spans="1:2" x14ac:dyDescent="0.2">
      <c r="A422" s="23">
        <v>9</v>
      </c>
      <c r="B422" s="40" t="str">
        <f>IF(N$87&gt;70,"Tiene poco interés en la rutina o los detalles",IF(N$87&lt;50,"Sincero, callado, modesto, humilde",""))</f>
        <v>Sincero, callado, modesto, humilde</v>
      </c>
    </row>
    <row r="423" spans="1:2" x14ac:dyDescent="0.2">
      <c r="A423" s="23">
        <v>10</v>
      </c>
      <c r="B423" s="40" t="str">
        <f>IF(N$87&gt;70,"Se aburre facilmente, impaciente; tiene dpoca tolerancia a la frustración",IF(N$87&lt;50,"Aislado, retraído",""))</f>
        <v>Aislado, retraído</v>
      </c>
    </row>
    <row r="424" spans="1:2" x14ac:dyDescent="0.2">
      <c r="A424" s="23">
        <v>11</v>
      </c>
      <c r="B424" s="40" t="str">
        <f>IF(N$87&gt;70,"Tiene dificultad para inhibir la expresión de sus impulsos",IF(N$87&lt;50,"Impopular",""))</f>
        <v>Impopular</v>
      </c>
    </row>
    <row r="425" spans="1:2" x14ac:dyDescent="0.2">
      <c r="A425" s="23">
        <v>12</v>
      </c>
      <c r="B425" s="40" t="str">
        <f>IF(N$87&gt;70,"Tiene episodios de irratibilidad, hostilidad, explosiones de agresividad",IF(N$87&lt;50,"Excesivamente controlado; incapaz de expresar abiertamente sus sentimientos",""))</f>
        <v>Excesivamente controlado; incapaz de expresar abiertamente sus sentimientos</v>
      </c>
    </row>
    <row r="426" spans="1:2" x14ac:dyDescent="0.2">
      <c r="A426" s="23">
        <v>13</v>
      </c>
      <c r="B426" s="40" t="str">
        <f>IF(N$87&gt;70,"Tiene un optimismo irreal, sin fundamento",IF(N$87&lt;50,"Si es hombre, tiene intereses familiares y hogareños; dispuestos a contraer matrimonio",""))</f>
        <v>Si es hombre, tiene intereses familiares y hogareños; dispuestos a contraer matrimonio</v>
      </c>
    </row>
    <row r="427" spans="1:2" x14ac:dyDescent="0.2">
      <c r="A427" s="23">
        <v>14</v>
      </c>
      <c r="B427" s="40" t="str">
        <f>IF(N$87&gt;70,"Tiene aspiraciones muy elevadas",IF(N$87&lt;50,"Si es un paciente psiquiátrico hospitalizado, tiene pronóstico favorable",""))</f>
        <v>Si es un paciente psiquiátrico hospitalizado, tiene pronóstico favorable</v>
      </c>
    </row>
    <row r="428" spans="1:2" x14ac:dyDescent="0.2">
      <c r="A428" s="23">
        <v>15</v>
      </c>
      <c r="B428" s="40" t="str">
        <f>IF(N$87&gt;70,"Exagera su dignidad y vanidad",IF(N$87&lt;50,"",""))</f>
        <v/>
      </c>
    </row>
    <row r="429" spans="1:2" x14ac:dyDescent="0.2">
      <c r="A429" s="23">
        <v>16</v>
      </c>
      <c r="B429" s="40" t="str">
        <f>IF(N$87&gt;70,"Incapaz de ver sus propias limitaciones",IF(N$87&lt;50,"",""))</f>
        <v/>
      </c>
    </row>
    <row r="430" spans="1:2" x14ac:dyDescent="0.2">
      <c r="A430" s="23">
        <v>17</v>
      </c>
      <c r="B430" s="40" t="str">
        <f>IF(N$87&gt;70,"Sociable.amistoso, gregario",IF(N$87&lt;50,"",""))</f>
        <v/>
      </c>
    </row>
    <row r="431" spans="1:2" x14ac:dyDescent="0.2">
      <c r="A431" s="23">
        <v>18</v>
      </c>
      <c r="B431" s="40" t="str">
        <f>IF(N$87&gt;70,"Le agrada estar rodeado de personas",IF(N$87&lt;50,"",""))</f>
        <v/>
      </c>
    </row>
    <row r="432" spans="1:2" x14ac:dyDescent="0.2">
      <c r="A432" s="23">
        <v>19</v>
      </c>
      <c r="B432" s="40" t="str">
        <f>IF(N$87&gt;70,"Crea una primera impresión buena",IF(N$87&lt;50,"",""))</f>
        <v/>
      </c>
    </row>
    <row r="433" spans="1:2" x14ac:dyDescent="0.2">
      <c r="A433" s="23">
        <v>20</v>
      </c>
      <c r="B433" s="40" t="str">
        <f>IF(N$87&gt;70,"Amistoso, agradable, entusiasta",IF(N$87&lt;50,"",""))</f>
        <v/>
      </c>
    </row>
    <row r="434" spans="1:2" x14ac:dyDescent="0.2">
      <c r="A434" s="23">
        <v>21</v>
      </c>
      <c r="B434" s="40" t="str">
        <f>IF(N$87&gt;70,"Equilibrado, seguro de sí mismo",IF(N$87&lt;50,"",""))</f>
        <v/>
      </c>
    </row>
    <row r="435" spans="1:2" x14ac:dyDescent="0.2">
      <c r="A435" s="23">
        <v>22</v>
      </c>
      <c r="B435" s="40" t="str">
        <f>IF(N$87&gt;70,"Tiene relaciones superficiales",IF(N$87&lt;50,"",""))</f>
        <v/>
      </c>
    </row>
    <row r="436" spans="1:2" x14ac:dyDescent="0.2">
      <c r="A436" s="23">
        <v>23</v>
      </c>
      <c r="B436" s="40" t="str">
        <f>IF(N$87&gt;70,"manipulador, engañoso, no confiable",IF(N$87&lt;50,"",""))</f>
        <v/>
      </c>
    </row>
    <row r="437" spans="1:2" x14ac:dyDescent="0.2">
      <c r="A437" s="23">
        <v>24</v>
      </c>
      <c r="B437" s="40" t="str">
        <f>IF(N$87&gt;70,"Encubre sentimientos de insatisfacción",IF(N$87&lt;50,"",""))</f>
        <v/>
      </c>
    </row>
    <row r="438" spans="1:2" x14ac:dyDescent="0.2">
      <c r="A438" s="23">
        <v>25</v>
      </c>
      <c r="B438" s="40" t="str">
        <f>IF(N$87&gt;70,"Se siente alterado, tenso, nervioso, ansioso",IF(N$87&lt;50,"",""))</f>
        <v/>
      </c>
    </row>
    <row r="439" spans="1:2" x14ac:dyDescent="0.2">
      <c r="A439" s="23">
        <v>26</v>
      </c>
      <c r="B439" s="40" t="str">
        <f>IF(N$87&gt;70,"Agitado,propenso a la preocupación",IF(N$87&lt;50,"",""))</f>
        <v/>
      </c>
    </row>
    <row r="440" spans="1:2" x14ac:dyDescent="0.2">
      <c r="A440" s="23">
        <v>27</v>
      </c>
      <c r="B440" s="40" t="str">
        <f>IF(N$87&gt;70,"Puede tener episodiod periódicos de depresión",IF(N$87&lt;50,"",""))</f>
        <v/>
      </c>
    </row>
    <row r="441" spans="1:2" x14ac:dyDescent="0.2">
      <c r="A441" s="23">
        <v>28</v>
      </c>
      <c r="B441" s="40" t="str">
        <f>IF(N$87&gt;70,"Tiene sentimientos negativos hacia los padres dominantes",IF(N$87&lt;50,"",""))</f>
        <v/>
      </c>
    </row>
    <row r="442" spans="1:2" x14ac:dyDescent="0.2">
      <c r="A442" s="23">
        <v>29</v>
      </c>
      <c r="B442" s="40" t="str">
        <f>IF(N$87&gt;70,"Tiene dificultades en la escuela o el trabajo; exhibe conductas delictivas",IF(N$87&lt;50,"",""))</f>
        <v/>
      </c>
    </row>
    <row r="443" spans="1:2" x14ac:dyDescent="0.2">
      <c r="A443" s="23">
        <v>30</v>
      </c>
      <c r="B443" s="40" t="str">
        <f>IF(N$87&gt;70,"Si es mujer, puede rechazar el papel femenino estereotipado",IF(N$87&lt;50,"",""))</f>
        <v/>
      </c>
    </row>
    <row r="444" spans="1:2" x14ac:dyDescent="0.2">
      <c r="A444" s="23">
        <v>31</v>
      </c>
      <c r="B444" s="40" t="str">
        <f>IF(N$87&gt;70,"Si es hombre, puede estar preocupado acerca de impulsos homosexuales",IF(N$87&lt;50,"",""))</f>
        <v/>
      </c>
    </row>
    <row r="445" spans="1:2" x14ac:dyDescent="0.2">
      <c r="A445" s="23">
        <v>32</v>
      </c>
      <c r="B445" s="40" t="str">
        <f>IF(N$87&gt;70,"Tiene un mal pronóstico para la terapia",IF(N$87&lt;50,"",""))</f>
        <v/>
      </c>
    </row>
    <row r="446" spans="1:2" x14ac:dyDescent="0.2">
      <c r="A446" s="23">
        <v>33</v>
      </c>
      <c r="B446" s="40" t="str">
        <f>IF(N$87&gt;70,"Se resiste a las interpretaciones en la psicoterapia",IF(N$87&lt;50,"",""))</f>
        <v/>
      </c>
    </row>
    <row r="447" spans="1:2" x14ac:dyDescent="0.2">
      <c r="A447" s="23">
        <v>34</v>
      </c>
      <c r="B447" s="40" t="str">
        <f>IF(N$87&gt;70,"Asiste irregularmente a la psicoterapia",IF(N$87&lt;50,"",""))</f>
        <v/>
      </c>
    </row>
    <row r="448" spans="1:2" x14ac:dyDescent="0.2">
      <c r="A448" s="23">
        <v>35</v>
      </c>
      <c r="B448" s="40" t="str">
        <f>IF(N$87&gt;70,"Puede dar por terminada la psicoterapia prematuramente",IF(N$87&lt;50,"",""))</f>
        <v/>
      </c>
    </row>
    <row r="449" spans="1:2" x14ac:dyDescent="0.2">
      <c r="A449" s="23">
        <v>36</v>
      </c>
      <c r="B449" s="40" t="str">
        <f>IF(N$87&gt;70,"Repite sus problemas de manera estereotipada",IF(N$87&lt;50,"",""))</f>
        <v/>
      </c>
    </row>
    <row r="450" spans="1:2" x14ac:dyDescent="0.2">
      <c r="A450" s="23">
        <v>37</v>
      </c>
      <c r="B450" s="40" t="str">
        <f>IF(N$87&gt;70,"No es probable que se vuelva dependiente del terapeuta",IF(N$87&lt;50,"",""))</f>
        <v/>
      </c>
    </row>
    <row r="451" spans="1:2" x14ac:dyDescent="0.2">
      <c r="A451" s="23">
        <v>38</v>
      </c>
      <c r="B451" s="40" t="str">
        <f>IF(N$87&gt;70,"Se vuelve hostil y agresivo hacia el terapeuta",IF(N$87&lt;50,"",""))</f>
        <v/>
      </c>
    </row>
    <row r="452" spans="1:2" x14ac:dyDescent="0.2">
      <c r="A452" s="46" t="s">
        <v>107</v>
      </c>
    </row>
    <row r="453" spans="1:2" x14ac:dyDescent="0.2">
      <c r="A453" s="47" t="s">
        <v>108</v>
      </c>
      <c r="B453" s="40" t="str">
        <f>IF(G$87&gt;70^H87&gt;70,"xxx ","zzz")</f>
        <v xml:space="preserve">xxx </v>
      </c>
    </row>
  </sheetData>
  <phoneticPr fontId="12" type="noConversion"/>
  <pageMargins left="0.75" right="0.75" top="1" bottom="1" header="0.511811024" footer="0.511811024"/>
  <pageSetup paperSize="9" orientation="portrait" horizontalDpi="120" verticalDpi="144" copies="0" r:id="rId1"/>
  <headerFooter alignWithMargins="0">
    <oddHeader>&amp;A</oddHead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450"/>
  <sheetViews>
    <sheetView zoomScale="75" workbookViewId="0">
      <selection activeCell="A176" sqref="A176"/>
    </sheetView>
  </sheetViews>
  <sheetFormatPr baseColWidth="10" defaultRowHeight="12.75" x14ac:dyDescent="0.2"/>
  <cols>
    <col min="3" max="3" width="7.7109375" customWidth="1"/>
    <col min="4" max="4" width="8.140625" customWidth="1"/>
    <col min="5" max="5" width="8.7109375" customWidth="1"/>
    <col min="6" max="6" width="8.28515625" customWidth="1"/>
    <col min="7" max="7" width="7.7109375" customWidth="1"/>
    <col min="8" max="8" width="9.7109375" customWidth="1"/>
    <col min="9" max="9" width="7.7109375" customWidth="1"/>
    <col min="10" max="10" width="6.7109375" customWidth="1"/>
    <col min="11" max="11" width="8.28515625" customWidth="1"/>
    <col min="12" max="12" width="9.5703125" customWidth="1"/>
    <col min="14" max="14" width="10.7109375" customWidth="1"/>
  </cols>
  <sheetData>
    <row r="1" spans="1:15" x14ac:dyDescent="0.2">
      <c r="A1" s="67" t="s">
        <v>109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1:15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">
      <c r="A3" s="12"/>
      <c r="B3" s="12"/>
      <c r="C3" s="12"/>
      <c r="D3" s="12"/>
      <c r="E3" s="12"/>
      <c r="F3" s="12" t="s">
        <v>110</v>
      </c>
      <c r="G3" s="12"/>
      <c r="H3" s="9">
        <f>+INGRESO!B78</f>
        <v>0</v>
      </c>
      <c r="I3" s="12"/>
      <c r="J3" s="12"/>
      <c r="K3" s="12"/>
      <c r="L3" s="12"/>
      <c r="M3" s="12"/>
      <c r="N3" s="12"/>
      <c r="O3" s="12"/>
    </row>
    <row r="4" spans="1:15" x14ac:dyDescent="0.2">
      <c r="A4" s="12"/>
      <c r="B4" s="12"/>
      <c r="C4" s="12"/>
      <c r="D4" s="12" t="s">
        <v>111</v>
      </c>
      <c r="E4" s="12" t="s">
        <v>112</v>
      </c>
      <c r="F4" s="12" t="s">
        <v>113</v>
      </c>
      <c r="G4" s="12" t="s">
        <v>114</v>
      </c>
      <c r="H4" s="12" t="s">
        <v>115</v>
      </c>
      <c r="I4" s="12" t="s">
        <v>116</v>
      </c>
      <c r="J4" s="12" t="s">
        <v>117</v>
      </c>
      <c r="K4" s="12" t="s">
        <v>118</v>
      </c>
      <c r="L4" s="12" t="s">
        <v>119</v>
      </c>
      <c r="M4" s="12" t="s">
        <v>120</v>
      </c>
      <c r="N4" s="12" t="s">
        <v>121</v>
      </c>
      <c r="O4" s="12"/>
    </row>
    <row r="5" spans="1:15" x14ac:dyDescent="0.2">
      <c r="A5" s="16"/>
      <c r="B5" s="1"/>
      <c r="C5" s="17" t="s">
        <v>97</v>
      </c>
      <c r="D5" s="15" t="s">
        <v>80</v>
      </c>
      <c r="E5" s="15" t="s">
        <v>81</v>
      </c>
      <c r="F5" s="15" t="s">
        <v>82</v>
      </c>
      <c r="G5" s="15">
        <v>1</v>
      </c>
      <c r="H5" s="15">
        <v>2</v>
      </c>
      <c r="I5" s="15">
        <v>3</v>
      </c>
      <c r="J5" s="15">
        <v>4</v>
      </c>
      <c r="K5" s="15">
        <v>6</v>
      </c>
      <c r="L5" s="15">
        <v>7</v>
      </c>
      <c r="M5" s="15">
        <v>8</v>
      </c>
      <c r="N5" s="15">
        <v>9</v>
      </c>
      <c r="O5" s="12"/>
    </row>
    <row r="6" spans="1:15" x14ac:dyDescent="0.2">
      <c r="A6" s="3" t="s">
        <v>98</v>
      </c>
      <c r="B6" s="5"/>
      <c r="C6" s="4"/>
      <c r="D6" s="2">
        <f>SUM(INTERPRETACION!D80)</f>
        <v>0</v>
      </c>
      <c r="E6" s="2">
        <f>SUM(INTERPRETACION!E80)</f>
        <v>0</v>
      </c>
      <c r="F6" s="2">
        <f>SUM(INTERPRETACION!F80)</f>
        <v>0</v>
      </c>
      <c r="G6" s="2">
        <f>SUM(INTERPRETACION!G80)</f>
        <v>0</v>
      </c>
      <c r="H6" s="2">
        <f>SUM(INTERPRETACION!H80)</f>
        <v>0</v>
      </c>
      <c r="I6" s="2">
        <f>SUM(INTERPRETACION!I80)</f>
        <v>0</v>
      </c>
      <c r="J6" s="2">
        <f>SUM(INTERPRETACION!J80)</f>
        <v>0</v>
      </c>
      <c r="K6" s="2">
        <f>SUM(INTERPRETACION!K80)</f>
        <v>0</v>
      </c>
      <c r="L6" s="2">
        <f>SUM(INTERPRETACION!L80)</f>
        <v>0</v>
      </c>
      <c r="M6" s="2">
        <f>SUM(INTERPRETACION!M80)</f>
        <v>0</v>
      </c>
      <c r="N6" s="2">
        <f>SUM(INTERPRETACION!N80)</f>
        <v>0</v>
      </c>
      <c r="O6" s="12"/>
    </row>
    <row r="7" spans="1:15" x14ac:dyDescent="0.2">
      <c r="A7" s="3" t="s">
        <v>99</v>
      </c>
      <c r="B7" s="5"/>
      <c r="C7" s="4"/>
      <c r="D7" s="2">
        <f>SUM(INTERPRETACION!D81)</f>
        <v>2</v>
      </c>
      <c r="E7" s="2">
        <f>SUM(INTERPRETACION!E81)</f>
        <v>2</v>
      </c>
      <c r="F7" s="2">
        <f>SUM(INTERPRETACION!F81)</f>
        <v>4</v>
      </c>
      <c r="G7" s="2">
        <f>SUM(INTERPRETACION!G81)</f>
        <v>2</v>
      </c>
      <c r="H7" s="2">
        <f>SUM(INTERPRETACION!H81)</f>
        <v>13</v>
      </c>
      <c r="I7" s="2">
        <f>SUM(INTERPRETACION!I81)</f>
        <v>10</v>
      </c>
      <c r="J7" s="2">
        <f>SUM(INTERPRETACION!J81)</f>
        <v>9</v>
      </c>
      <c r="K7" s="2">
        <f>SUM(INTERPRETACION!K81)</f>
        <v>5</v>
      </c>
      <c r="L7" s="2">
        <f>SUM(INTERPRETACION!L81)</f>
        <v>2</v>
      </c>
      <c r="M7" s="2">
        <f>SUM(INTERPRETACION!M81)</f>
        <v>2</v>
      </c>
      <c r="N7" s="2">
        <f>SUM(INTERPRETACION!N81)</f>
        <v>8</v>
      </c>
      <c r="O7" s="12"/>
    </row>
    <row r="8" spans="1:15" x14ac:dyDescent="0.2">
      <c r="A8" s="3" t="s">
        <v>100</v>
      </c>
      <c r="B8" s="5"/>
      <c r="C8" s="4"/>
      <c r="D8" s="2">
        <f>SUM(INTERPRETACION!D82)</f>
        <v>0</v>
      </c>
      <c r="E8" s="2">
        <f>SUM(INTERPRETACION!E82)</f>
        <v>0</v>
      </c>
      <c r="F8" s="2">
        <f>SUM(INTERPRETACION!F82)</f>
        <v>0</v>
      </c>
      <c r="G8" s="2">
        <f>SUM(INTERPRETACION!G82)</f>
        <v>2</v>
      </c>
      <c r="H8" s="2">
        <f>SUM(INTERPRETACION!H82)</f>
        <v>0</v>
      </c>
      <c r="I8" s="2">
        <f>SUM(INTERPRETACION!I82)</f>
        <v>0</v>
      </c>
      <c r="J8" s="2">
        <f>SUM(INTERPRETACION!J82)</f>
        <v>2</v>
      </c>
      <c r="K8" s="2">
        <f>SUM(INTERPRETACION!K82)</f>
        <v>0</v>
      </c>
      <c r="L8" s="2">
        <f>SUM(INTERPRETACION!L82)</f>
        <v>4</v>
      </c>
      <c r="M8" s="2">
        <f>SUM(INTERPRETACION!M82)</f>
        <v>4</v>
      </c>
      <c r="N8" s="2">
        <f>SUM(INTERPRETACION!N82)</f>
        <v>1</v>
      </c>
      <c r="O8" s="12"/>
    </row>
    <row r="9" spans="1:15" x14ac:dyDescent="0.2">
      <c r="A9" s="3" t="s">
        <v>101</v>
      </c>
      <c r="B9" s="5"/>
      <c r="C9" s="4"/>
      <c r="D9" s="2">
        <f>SUM(INTERPRETACION!D83)</f>
        <v>2</v>
      </c>
      <c r="E9" s="2">
        <f>SUM(INTERPRETACION!E83)</f>
        <v>2</v>
      </c>
      <c r="F9" s="2">
        <f>SUM(INTERPRETACION!F83)</f>
        <v>4</v>
      </c>
      <c r="G9" s="2">
        <f>SUM(INTERPRETACION!G83)</f>
        <v>4</v>
      </c>
      <c r="H9" s="2">
        <f>SUM(INTERPRETACION!H83)</f>
        <v>13</v>
      </c>
      <c r="I9" s="2">
        <f>SUM(INTERPRETACION!I83)</f>
        <v>10</v>
      </c>
      <c r="J9" s="2">
        <f>SUM(INTERPRETACION!J83)</f>
        <v>11</v>
      </c>
      <c r="K9" s="2">
        <f>SUM(INTERPRETACION!K83)</f>
        <v>5</v>
      </c>
      <c r="L9" s="2">
        <f>SUM(INTERPRETACION!L83)</f>
        <v>6</v>
      </c>
      <c r="M9" s="2">
        <f>SUM(INTERPRETACION!M83)</f>
        <v>6</v>
      </c>
      <c r="N9" s="2">
        <f>SUM(INTERPRETACION!N83)</f>
        <v>9</v>
      </c>
      <c r="O9" s="12"/>
    </row>
    <row r="10" spans="1:15" x14ac:dyDescent="0.2">
      <c r="A10" s="3" t="s">
        <v>102</v>
      </c>
      <c r="B10" s="5"/>
      <c r="C10" s="4"/>
      <c r="D10" s="15" t="e">
        <f>SUM(INTERPRETACION!D87)</f>
        <v>#N/A</v>
      </c>
      <c r="E10" s="15" t="e">
        <f>SUM(INTERPRETACION!E87)</f>
        <v>#N/A</v>
      </c>
      <c r="F10" s="15">
        <f>SUM(INTERPRETACION!F87)</f>
        <v>35</v>
      </c>
      <c r="G10" s="15">
        <f>SUM(INTERPRETACION!G87)</f>
        <v>31</v>
      </c>
      <c r="H10" s="15">
        <f>SUM(INTERPRETACION!H87)</f>
        <v>41</v>
      </c>
      <c r="I10" s="15">
        <f>SUM(INTERPRETACION!I87)</f>
        <v>38</v>
      </c>
      <c r="J10" s="15">
        <f>SUM(INTERPRETACION!J87)</f>
        <v>32</v>
      </c>
      <c r="K10" s="15">
        <f>SUM(INTERPRETACION!K87)</f>
        <v>41</v>
      </c>
      <c r="L10" s="15" t="e">
        <f>SUM(INTERPRETACION!L87)</f>
        <v>#N/A</v>
      </c>
      <c r="M10" s="15" t="e">
        <f>SUM(INTERPRETACION!M87)</f>
        <v>#N/A</v>
      </c>
      <c r="N10" s="15">
        <f>SUM(INTERPRETACION!N87)</f>
        <v>30</v>
      </c>
      <c r="O10" s="12"/>
    </row>
    <row r="11" spans="1:15" x14ac:dyDescent="0.2">
      <c r="A11" s="12"/>
      <c r="B11" s="12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2"/>
    </row>
    <row r="12" spans="1:15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x14ac:dyDescent="0.2">
      <c r="A13" s="6" t="s">
        <v>122</v>
      </c>
    </row>
    <row r="14" spans="1:15" x14ac:dyDescent="0.2">
      <c r="A14" s="8" t="s">
        <v>111</v>
      </c>
    </row>
    <row r="15" spans="1:15" x14ac:dyDescent="0.2">
      <c r="A15" s="7" t="str">
        <f>+INTERPRETACION!B149</f>
        <v>RESPONDE FRANCAMENTE A LOS REACTIVOS, CONFIA LO SUFICIENTE EN SI MISMO COMO PARA</v>
      </c>
    </row>
    <row r="16" spans="1:15" x14ac:dyDescent="0.2">
      <c r="A16" s="7" t="str">
        <f>+INTERPRETACION!B150</f>
        <v>SER CAPAZ DE ADMITIR DEFECTOS Y DESVENTAJAS MENORES</v>
      </c>
    </row>
    <row r="17" spans="1:1" x14ac:dyDescent="0.2">
      <c r="A17" s="7" t="str">
        <f>+INTERPRETACION!B151</f>
        <v>PERCEPTIVO, SOCIALMENTE RESPONSIVO, SEGURO DE SI MISMO, INDEPENDIENTE, FUERTE,</v>
      </c>
    </row>
    <row r="18" spans="1:1" x14ac:dyDescent="0.2">
      <c r="A18" s="7" t="str">
        <f>+INTERPRETACION!B152</f>
        <v>NATURAL, RELAJADO, FUNCIONA CON EFICACIA COMO LIDER</v>
      </c>
    </row>
    <row r="19" spans="1:1" x14ac:dyDescent="0.2">
      <c r="A19" s="7" t="str">
        <f>+INTERPRETACION!B153</f>
        <v>COMUNICA SUS IDEAS EFICAZMENTE, DESCRITO POR LOS DEMAS COMO CINICO, SARCASTICO</v>
      </c>
    </row>
    <row r="20" spans="1:1" x14ac:dyDescent="0.2">
      <c r="A20" s="7" t="str">
        <f>+INTERPRETACION!B154</f>
        <v/>
      </c>
    </row>
    <row r="21" spans="1:1" x14ac:dyDescent="0.2">
      <c r="A21" s="7" t="str">
        <f>+INTERPRETACION!B155</f>
        <v/>
      </c>
    </row>
    <row r="22" spans="1:1" x14ac:dyDescent="0.2">
      <c r="A22" s="7" t="str">
        <f>+INTERPRETACION!B156</f>
        <v/>
      </c>
    </row>
    <row r="23" spans="1:1" x14ac:dyDescent="0.2">
      <c r="A23" s="8" t="s">
        <v>112</v>
      </c>
    </row>
    <row r="24" spans="1:1" x14ac:dyDescent="0.2">
      <c r="A24" s="7" t="e">
        <f>+INTERPRETACION!B158</f>
        <v>#N/A</v>
      </c>
    </row>
    <row r="25" spans="1:1" x14ac:dyDescent="0.2">
      <c r="A25" s="7" t="e">
        <f>+INTERPRETACION!B159</f>
        <v>#N/A</v>
      </c>
    </row>
    <row r="26" spans="1:1" x14ac:dyDescent="0.2">
      <c r="A26" s="7" t="e">
        <f>+INTERPRETACION!B160</f>
        <v>#N/A</v>
      </c>
    </row>
    <row r="27" spans="1:1" x14ac:dyDescent="0.2">
      <c r="A27" s="7" t="e">
        <f>+INTERPRETACION!B161</f>
        <v>#N/A</v>
      </c>
    </row>
    <row r="28" spans="1:1" x14ac:dyDescent="0.2">
      <c r="A28" s="7" t="e">
        <f>+INTERPRETACION!B162</f>
        <v>#N/A</v>
      </c>
    </row>
    <row r="29" spans="1:1" x14ac:dyDescent="0.2">
      <c r="A29" s="7" t="e">
        <f>+INTERPRETACION!B163</f>
        <v>#N/A</v>
      </c>
    </row>
    <row r="30" spans="1:1" x14ac:dyDescent="0.2">
      <c r="A30" s="7" t="e">
        <f>+INTERPRETACION!B164</f>
        <v>#N/A</v>
      </c>
    </row>
    <row r="31" spans="1:1" x14ac:dyDescent="0.2">
      <c r="A31" s="7" t="e">
        <f>+INTERPRETACION!B165</f>
        <v>#N/A</v>
      </c>
    </row>
    <row r="32" spans="1:1" x14ac:dyDescent="0.2">
      <c r="A32" s="7" t="e">
        <f>+INTERPRETACION!B166</f>
        <v>#N/A</v>
      </c>
    </row>
    <row r="33" spans="1:1" x14ac:dyDescent="0.2">
      <c r="A33" s="7" t="e">
        <f>+INTERPRETACION!B167</f>
        <v>#N/A</v>
      </c>
    </row>
    <row r="34" spans="1:1" x14ac:dyDescent="0.2">
      <c r="A34" s="8" t="s">
        <v>113</v>
      </c>
    </row>
    <row r="35" spans="1:1" x14ac:dyDescent="0.2">
      <c r="A35" s="7" t="str">
        <f>+INTERPRETACION!B169</f>
        <v>PUEDE HABER RESPONDIDO CIERTO A LA MAYOR PARTE DE LOS REACTIVOS DEL MMPI</v>
      </c>
    </row>
    <row r="36" spans="1:1" x14ac:dyDescent="0.2">
      <c r="A36" s="7" t="str">
        <f>+INTERPRETACION!B170</f>
        <v>TRATA DE FINGIR UN PERFIL MALO</v>
      </c>
    </row>
    <row r="37" spans="1:1" x14ac:dyDescent="0.2">
      <c r="A37" s="7" t="str">
        <f>+INTERPRETACION!B171</f>
        <v>PUEDE ESTAR EXAGERANDO LOS PROBLEMAS COMO UNA SUPLICA DE AYUDA</v>
      </c>
    </row>
    <row r="38" spans="1:1" x14ac:dyDescent="0.2">
      <c r="A38" s="7" t="str">
        <f>+INTERPRETACION!B172</f>
        <v>MUESTRA CONFUSION YA SEA ORGANICA O PSICOTICA AGUDA ABIERTA</v>
      </c>
    </row>
    <row r="39" spans="1:1" x14ac:dyDescent="0.2">
      <c r="A39" s="7" t="str">
        <f>+INTERPRETACION!B173</f>
        <v>CRITICO DE SI MISMO Y DE LOS DEMAS, INSATISFECHO DE SI MISMO</v>
      </c>
    </row>
    <row r="40" spans="1:1" x14ac:dyDescent="0.2">
      <c r="A40" s="7" t="str">
        <f>+INTERPRETACION!B174</f>
        <v>INEFICAZ PARA ENFRENTARSE CON LOS PROBLEMAS DE LA VIDA DIARIA</v>
      </c>
    </row>
    <row r="41" spans="1:1" x14ac:dyDescent="0.2">
      <c r="A41" s="7" t="str">
        <f>+INTERPRETACION!B175</f>
        <v>MUESTRA POCO CONOCIMIENTO DE SUS PROPIAS MOTIVACIONES Y CONDUCTA</v>
      </c>
    </row>
    <row r="42" spans="1:1" x14ac:dyDescent="0.2">
      <c r="A42" s="7" t="str">
        <f>+INTERPRETACION!B176</f>
        <v>SOCIALMENTE CONFORMISTA</v>
      </c>
    </row>
    <row r="43" spans="1:1" x14ac:dyDescent="0.2">
      <c r="A43" s="7" t="str">
        <f>+INTERPRETACION!B177</f>
        <v>EXAGERADAMENTE SUMISO CON LA AUTORIDAD</v>
      </c>
    </row>
    <row r="44" spans="1:1" x14ac:dyDescent="0.2">
      <c r="A44" s="7" t="str">
        <f>+INTERPRETACION!B178</f>
        <v>INHIBIDO, RETRAIDO, SUPERFICIAL</v>
      </c>
    </row>
    <row r="45" spans="1:1" x14ac:dyDescent="0.2">
      <c r="A45" s="7" t="str">
        <f>+INTERPRETACION!B179</f>
        <v>TIENE UN RITMO PERSONAL LENTO</v>
      </c>
    </row>
    <row r="46" spans="1:1" x14ac:dyDescent="0.2">
      <c r="A46" s="7" t="str">
        <f>+INTERPRETACION!B180</f>
        <v>SOCIALMENTE TORPE</v>
      </c>
    </row>
    <row r="47" spans="1:1" x14ac:dyDescent="0.2">
      <c r="A47" s="7" t="str">
        <f>+INTERPRETACION!B181</f>
        <v>FRANCO Y VIOLENTO EN LAS SITUACIONES SOCIALES</v>
      </c>
    </row>
    <row r="48" spans="1:1" x14ac:dyDescent="0.2">
      <c r="A48" s="7" t="str">
        <f>+INTERPRETACION!B182</f>
        <v>CINICO, ESCEPTICO, CAUSTICO, INCREDULO</v>
      </c>
    </row>
    <row r="49" spans="1:1" x14ac:dyDescent="0.2">
      <c r="A49" s="7" t="str">
        <f>+INTERPRETACION!B183</f>
        <v>SUSPICAZ SOBRE LAS MOTIVACIONES DE LOS DEMAS</v>
      </c>
    </row>
    <row r="50" spans="1:1" x14ac:dyDescent="0.2">
      <c r="A50" s="8" t="s">
        <v>114</v>
      </c>
    </row>
    <row r="51" spans="1:1" x14ac:dyDescent="0.2">
      <c r="A51" s="7" t="str">
        <f>+INTERPRETACION!B185</f>
        <v>Libre de preocupación somática</v>
      </c>
    </row>
    <row r="52" spans="1:1" x14ac:dyDescent="0.2">
      <c r="A52" s="7" t="str">
        <f>+INTERPRETACION!B186</f>
        <v>Optimista</v>
      </c>
    </row>
    <row r="53" spans="1:1" x14ac:dyDescent="0.2">
      <c r="A53" s="7" t="str">
        <f>+INTERPRETACION!B187</f>
        <v>Sensible</v>
      </c>
    </row>
    <row r="54" spans="1:1" x14ac:dyDescent="0.2">
      <c r="A54" s="7" t="str">
        <f>+INTERPRETACION!B188</f>
        <v>Tiene &lt;&lt;insight&gt;&gt;</v>
      </c>
    </row>
    <row r="55" spans="1:1" x14ac:dyDescent="0.2">
      <c r="A55" s="7" t="str">
        <f>+INTERPRETACION!B189</f>
        <v>Generalmente efectivo en la vida diaria</v>
      </c>
    </row>
    <row r="56" spans="1:1" x14ac:dyDescent="0.2">
      <c r="A56" s="7" t="str">
        <f>+INTERPRETACION!B190</f>
        <v/>
      </c>
    </row>
    <row r="57" spans="1:1" x14ac:dyDescent="0.2">
      <c r="A57" s="7" t="str">
        <f>+INTERPRETACION!B191</f>
        <v/>
      </c>
    </row>
    <row r="58" spans="1:1" x14ac:dyDescent="0.2">
      <c r="A58" s="7" t="str">
        <f>+INTERPRETACION!B192</f>
        <v/>
      </c>
    </row>
    <row r="59" spans="1:1" x14ac:dyDescent="0.2">
      <c r="A59" s="7" t="str">
        <f>+INTERPRETACION!B193</f>
        <v/>
      </c>
    </row>
    <row r="60" spans="1:1" x14ac:dyDescent="0.2">
      <c r="A60" s="7" t="str">
        <f>+INTERPRETACION!B194</f>
        <v/>
      </c>
    </row>
    <row r="61" spans="1:1" x14ac:dyDescent="0.2">
      <c r="A61" s="7" t="str">
        <f>+INTERPRETACION!B195</f>
        <v/>
      </c>
    </row>
    <row r="62" spans="1:1" x14ac:dyDescent="0.2">
      <c r="A62" s="7" t="str">
        <f>+INTERPRETACION!B196</f>
        <v/>
      </c>
    </row>
    <row r="63" spans="1:1" x14ac:dyDescent="0.2">
      <c r="A63" s="7" t="str">
        <f>+INTERPRETACION!B197</f>
        <v/>
      </c>
    </row>
    <row r="64" spans="1:1" x14ac:dyDescent="0.2">
      <c r="A64" s="7" t="str">
        <f>+INTERPRETACION!B198</f>
        <v/>
      </c>
    </row>
    <row r="65" spans="1:1" x14ac:dyDescent="0.2">
      <c r="A65" s="7" t="str">
        <f>+INTERPRETACION!B199</f>
        <v/>
      </c>
    </row>
    <row r="66" spans="1:1" x14ac:dyDescent="0.2">
      <c r="A66" s="7" t="str">
        <f>+INTERPRETACION!B200</f>
        <v/>
      </c>
    </row>
    <row r="67" spans="1:1" x14ac:dyDescent="0.2">
      <c r="A67" s="7" t="str">
        <f>+INTERPRETACION!B201</f>
        <v/>
      </c>
    </row>
    <row r="68" spans="1:1" x14ac:dyDescent="0.2">
      <c r="A68" s="7" t="str">
        <f>+INTERPRETACION!B202</f>
        <v/>
      </c>
    </row>
    <row r="69" spans="1:1" x14ac:dyDescent="0.2">
      <c r="A69" s="7" t="str">
        <f>+INTERPRETACION!B203</f>
        <v/>
      </c>
    </row>
    <row r="70" spans="1:1" x14ac:dyDescent="0.2">
      <c r="A70" s="7" t="str">
        <f>+INTERPRETACION!B204</f>
        <v/>
      </c>
    </row>
    <row r="71" spans="1:1" x14ac:dyDescent="0.2">
      <c r="A71" s="7" t="str">
        <f>+INTERPRETACION!B205</f>
        <v/>
      </c>
    </row>
    <row r="72" spans="1:1" x14ac:dyDescent="0.2">
      <c r="A72" s="8" t="s">
        <v>115</v>
      </c>
    </row>
    <row r="73" spans="1:1" x14ac:dyDescent="0.2">
      <c r="A73" s="7" t="str">
        <f>+INTERPRETACION!B207</f>
        <v>Está libre de tensión, ansiedad, culpa y depresión</v>
      </c>
    </row>
    <row r="74" spans="1:1" x14ac:dyDescent="0.2">
      <c r="A74" s="7" t="str">
        <f>+INTERPRETACION!B208</f>
        <v>Se siente relajado y a gusto</v>
      </c>
    </row>
    <row r="75" spans="1:1" x14ac:dyDescent="0.2">
      <c r="A75" s="7" t="str">
        <f>+INTERPRETACION!B209</f>
        <v>Seguro de sí mismo</v>
      </c>
    </row>
    <row r="76" spans="1:1" x14ac:dyDescent="0.2">
      <c r="A76" s="7" t="str">
        <f>+INTERPRETACION!B210</f>
        <v>Emocionalmente estable</v>
      </c>
    </row>
    <row r="77" spans="1:1" x14ac:dyDescent="0.2">
      <c r="A77" s="7" t="str">
        <f>+INTERPRETACION!B211</f>
        <v>Funciona en forma eficiente en la mayor parte de las situaciones</v>
      </c>
    </row>
    <row r="78" spans="1:1" x14ac:dyDescent="0.2">
      <c r="A78" s="7" t="str">
        <f>+INTERPRETACION!B212</f>
        <v>Alegre, optimista</v>
      </c>
    </row>
    <row r="79" spans="1:1" x14ac:dyDescent="0.2">
      <c r="A79" s="7" t="str">
        <f>+INTERPRETACION!B213</f>
        <v>Tiene pocas dificultades con su expresión verbal</v>
      </c>
    </row>
    <row r="80" spans="1:1" x14ac:dyDescent="0.2">
      <c r="A80" s="7" t="str">
        <f>+INTERPRETACION!B214</f>
        <v>Alerta, activo, dinámico</v>
      </c>
    </row>
    <row r="81" spans="1:1" x14ac:dyDescent="0.2">
      <c r="A81" s="7" t="str">
        <f>+INTERPRETACION!B215</f>
        <v>Competitivo</v>
      </c>
    </row>
    <row r="82" spans="1:1" x14ac:dyDescent="0.2">
      <c r="A82" s="7" t="str">
        <f>+INTERPRETACION!B216</f>
        <v>Busca responsabilidades</v>
      </c>
    </row>
    <row r="83" spans="1:1" x14ac:dyDescent="0.2">
      <c r="A83" s="7" t="str">
        <f>+INTERPRETACION!B217</f>
        <v>Está cómodo en las situaciones sociales</v>
      </c>
    </row>
    <row r="84" spans="1:1" x14ac:dyDescent="0.2">
      <c r="A84" s="7" t="str">
        <f>+INTERPRETACION!B218</f>
        <v>Asume el liderazgo</v>
      </c>
    </row>
    <row r="85" spans="1:1" x14ac:dyDescent="0.2">
      <c r="A85" s="7" t="str">
        <f>+INTERPRETACION!B219</f>
        <v>Ingenioso, de tensión, ansiedad, culpa y depresión</v>
      </c>
    </row>
    <row r="86" spans="1:1" x14ac:dyDescent="0.2">
      <c r="A86" s="7" t="str">
        <f>+INTERPRETACION!B220</f>
        <v>Crea una primera impresión favorable</v>
      </c>
    </row>
    <row r="87" spans="1:1" x14ac:dyDescent="0.2">
      <c r="A87" s="7" t="str">
        <f>+INTERPRETACION!B221</f>
        <v>Impulsivo, con poco control</v>
      </c>
    </row>
    <row r="88" spans="1:1" x14ac:dyDescent="0.2">
      <c r="A88" s="7" t="str">
        <f>+INTERPRETACION!B222</f>
        <v>Desinhibido, presumido, exhibicionista</v>
      </c>
    </row>
    <row r="89" spans="1:1" x14ac:dyDescent="0.2">
      <c r="A89" s="7" t="str">
        <f>+INTERPRETACION!B223</f>
        <v>Crea hostilidad y resentimiento en los demás</v>
      </c>
    </row>
    <row r="90" spans="1:1" x14ac:dyDescent="0.2">
      <c r="A90" s="7" t="str">
        <f>+INTERPRETACION!B224</f>
        <v>Tiene conflictos con las figuras de autoridad</v>
      </c>
    </row>
    <row r="91" spans="1:1" x14ac:dyDescent="0.2">
      <c r="A91" s="7" t="str">
        <f>+INTERPRETACION!B225</f>
        <v/>
      </c>
    </row>
    <row r="92" spans="1:1" x14ac:dyDescent="0.2">
      <c r="A92" s="7" t="str">
        <f>+INTERPRETACION!B226</f>
        <v/>
      </c>
    </row>
    <row r="93" spans="1:1" x14ac:dyDescent="0.2">
      <c r="A93" s="7" t="str">
        <f>+INTERPRETACION!B227</f>
        <v/>
      </c>
    </row>
    <row r="94" spans="1:1" x14ac:dyDescent="0.2">
      <c r="A94" s="7" t="str">
        <f>+INTERPRETACION!B228</f>
        <v/>
      </c>
    </row>
    <row r="95" spans="1:1" x14ac:dyDescent="0.2">
      <c r="A95" s="7" t="str">
        <f>+INTERPRETACION!B229</f>
        <v/>
      </c>
    </row>
    <row r="96" spans="1:1" x14ac:dyDescent="0.2">
      <c r="A96" s="7" t="str">
        <f>+INTERPRETACION!B230</f>
        <v/>
      </c>
    </row>
    <row r="97" spans="1:1" x14ac:dyDescent="0.2">
      <c r="A97" s="7" t="str">
        <f>+INTERPRETACION!B231</f>
        <v/>
      </c>
    </row>
    <row r="98" spans="1:1" x14ac:dyDescent="0.2">
      <c r="A98" s="7" t="str">
        <f>+INTERPRETACION!B232</f>
        <v/>
      </c>
    </row>
    <row r="99" spans="1:1" x14ac:dyDescent="0.2">
      <c r="A99" s="7" t="str">
        <f>+INTERPRETACION!B233</f>
        <v/>
      </c>
    </row>
    <row r="100" spans="1:1" x14ac:dyDescent="0.2">
      <c r="A100" t="s">
        <v>116</v>
      </c>
    </row>
    <row r="101" spans="1:1" x14ac:dyDescent="0.2">
      <c r="A101" s="7" t="str">
        <f>+INTERPRETACION!B235</f>
        <v>Limitado, convencional, conformista</v>
      </c>
    </row>
    <row r="102" spans="1:1" x14ac:dyDescent="0.2">
      <c r="A102" s="7" t="str">
        <f>+INTERPRETACION!B236</f>
        <v>Nose arriega; no es laborioso</v>
      </c>
    </row>
    <row r="103" spans="1:1" x14ac:dyDescent="0.2">
      <c r="A103" s="7" t="str">
        <f>+INTERPRETACION!B237</f>
        <v>Tiene un rango estrecho de intereses</v>
      </c>
    </row>
    <row r="104" spans="1:1" x14ac:dyDescent="0.2">
      <c r="A104" s="7" t="str">
        <f>+INTERPRETACION!B238</f>
        <v>Tiene una participación social limitada</v>
      </c>
    </row>
    <row r="105" spans="1:1" x14ac:dyDescent="0.2">
      <c r="A105" s="7" t="str">
        <f>+INTERPRETACION!B239</f>
        <v>Evita el papel de líder</v>
      </c>
    </row>
    <row r="106" spans="1:1" x14ac:dyDescent="0.2">
      <c r="A106" s="7" t="str">
        <f>+INTERPRETACION!B240</f>
        <v>Poco sociable, testarudo, difícil de conocer</v>
      </c>
    </row>
    <row r="107" spans="1:1" x14ac:dyDescent="0.2">
      <c r="A107" s="7" t="str">
        <f>+INTERPRETACION!B241</f>
        <v>Suspicaz, tiene dificultades para confiar en los demás</v>
      </c>
    </row>
    <row r="108" spans="1:1" x14ac:dyDescent="0.2">
      <c r="A108" s="7" t="str">
        <f>+INTERPRETACION!B242</f>
        <v>Realista, lógico y centrado en su enfoque de los problemas</v>
      </c>
    </row>
    <row r="109" spans="1:1" x14ac:dyDescent="0.2">
      <c r="A109" s="7" t="str">
        <f>+INTERPRETACION!B243</f>
        <v>Parece contento con una situación en la vida sin cambios y sin incidentes</v>
      </c>
    </row>
    <row r="110" spans="1:1" x14ac:dyDescent="0.2">
      <c r="A110" s="7" t="str">
        <f>+INTERPRETACION!B244</f>
        <v/>
      </c>
    </row>
    <row r="111" spans="1:1" x14ac:dyDescent="0.2">
      <c r="A111" s="7" t="str">
        <f>+INTERPRETACION!B245</f>
        <v/>
      </c>
    </row>
    <row r="112" spans="1:1" x14ac:dyDescent="0.2">
      <c r="A112" s="7" t="str">
        <f>+INTERPRETACION!B246</f>
        <v/>
      </c>
    </row>
    <row r="113" spans="1:1" x14ac:dyDescent="0.2">
      <c r="A113" s="7" t="str">
        <f>+INTERPRETACION!B247</f>
        <v/>
      </c>
    </row>
    <row r="114" spans="1:1" x14ac:dyDescent="0.2">
      <c r="A114" s="7" t="str">
        <f>+INTERPRETACION!B248</f>
        <v/>
      </c>
    </row>
    <row r="115" spans="1:1" x14ac:dyDescent="0.2">
      <c r="A115" s="7" t="str">
        <f>+INTERPRETACION!B249</f>
        <v/>
      </c>
    </row>
    <row r="116" spans="1:1" x14ac:dyDescent="0.2">
      <c r="A116" s="7" t="str">
        <f>+INTERPRETACION!B250</f>
        <v/>
      </c>
    </row>
    <row r="117" spans="1:1" x14ac:dyDescent="0.2">
      <c r="A117" s="7" t="str">
        <f>+INTERPRETACION!B251</f>
        <v/>
      </c>
    </row>
    <row r="118" spans="1:1" x14ac:dyDescent="0.2">
      <c r="A118" s="7" t="str">
        <f>+INTERPRETACION!B252</f>
        <v/>
      </c>
    </row>
    <row r="119" spans="1:1" x14ac:dyDescent="0.2">
      <c r="A119" s="7" t="str">
        <f>+INTERPRETACION!B253</f>
        <v/>
      </c>
    </row>
    <row r="120" spans="1:1" x14ac:dyDescent="0.2">
      <c r="A120" s="7" t="str">
        <f>+INTERPRETACION!B254</f>
        <v/>
      </c>
    </row>
    <row r="121" spans="1:1" x14ac:dyDescent="0.2">
      <c r="A121" s="7" t="str">
        <f>+INTERPRETACION!B255</f>
        <v/>
      </c>
    </row>
    <row r="122" spans="1:1" x14ac:dyDescent="0.2">
      <c r="A122" s="7" t="str">
        <f>+INTERPRETACION!B256</f>
        <v/>
      </c>
    </row>
    <row r="123" spans="1:1" x14ac:dyDescent="0.2">
      <c r="A123" s="7" t="str">
        <f>+INTERPRETACION!B257</f>
        <v/>
      </c>
    </row>
    <row r="124" spans="1:1" x14ac:dyDescent="0.2">
      <c r="A124" s="7" t="str">
        <f>+INTERPRETACION!B258</f>
        <v/>
      </c>
    </row>
    <row r="125" spans="1:1" x14ac:dyDescent="0.2">
      <c r="A125" s="7" t="str">
        <f>+INTERPRETACION!B259</f>
        <v/>
      </c>
    </row>
    <row r="126" spans="1:1" x14ac:dyDescent="0.2">
      <c r="A126" s="7" t="str">
        <f>+INTERPRETACION!B260</f>
        <v/>
      </c>
    </row>
    <row r="127" spans="1:1" x14ac:dyDescent="0.2">
      <c r="A127" s="7" t="str">
        <f>+INTERPRETACION!B261</f>
        <v/>
      </c>
    </row>
    <row r="128" spans="1:1" x14ac:dyDescent="0.2">
      <c r="A128" s="7" t="str">
        <f>+INTERPRETACION!B262</f>
        <v/>
      </c>
    </row>
    <row r="129" spans="1:1" x14ac:dyDescent="0.2">
      <c r="A129" s="7" t="str">
        <f>+INTERPRETACION!B263</f>
        <v/>
      </c>
    </row>
    <row r="130" spans="1:1" x14ac:dyDescent="0.2">
      <c r="A130" s="8" t="s">
        <v>117</v>
      </c>
    </row>
    <row r="131" spans="1:1" x14ac:dyDescent="0.2">
      <c r="A131" s="7" t="str">
        <f>+INTERPRETACION!B265</f>
        <v>Convencional, conformista</v>
      </c>
    </row>
    <row r="132" spans="1:1" x14ac:dyDescent="0.2">
      <c r="A132" s="7" t="str">
        <f>+INTERPRETACION!B266</f>
        <v>Acepta a la autoridad</v>
      </c>
    </row>
    <row r="133" spans="1:1" x14ac:dyDescent="0.2">
      <c r="A133" s="7" t="str">
        <f>+INTERPRETACION!B267</f>
        <v>Pasivo, sumiso, tímido</v>
      </c>
    </row>
    <row r="134" spans="1:1" x14ac:dyDescent="0.2">
      <c r="A134" s="7" t="str">
        <f>+INTERPRETACION!B268</f>
        <v>Preocupado por la forma en que reaccionan los demás</v>
      </c>
    </row>
    <row r="135" spans="1:1" x14ac:dyDescent="0.2">
      <c r="A135" s="7" t="str">
        <f>+INTERPRETACION!B269</f>
        <v>Sincero, confiado</v>
      </c>
    </row>
    <row r="136" spans="1:1" x14ac:dyDescent="0.2">
      <c r="A136" s="7" t="str">
        <f>+INTERPRETACION!B270</f>
        <v>Tiene impulsos lentos, no es competitivo</v>
      </c>
    </row>
    <row r="137" spans="1:1" x14ac:dyDescent="0.2">
      <c r="A137" s="7" t="str">
        <f>+INTERPRETACION!B271</f>
        <v>Preocupado por su nivel yseguridad</v>
      </c>
    </row>
    <row r="138" spans="1:1" x14ac:dyDescent="0.2">
      <c r="A138" s="7" t="str">
        <f>+INTERPRETACION!B272</f>
        <v>Tiene un rango limitado de intereses</v>
      </c>
    </row>
    <row r="139" spans="1:1" x14ac:dyDescent="0.2">
      <c r="A139" s="7" t="str">
        <f>+INTERPRETACION!B273</f>
        <v>No es creativo o espontáneo</v>
      </c>
    </row>
    <row r="140" spans="1:1" x14ac:dyDescent="0.2">
      <c r="A140" s="7" t="str">
        <f>+INTERPRETACION!B274</f>
        <v>Persistente</v>
      </c>
    </row>
    <row r="141" spans="1:1" x14ac:dyDescent="0.2">
      <c r="A141" s="7" t="str">
        <f>+INTERPRETACION!B275</f>
        <v>Moralista, rígido</v>
      </c>
    </row>
    <row r="142" spans="1:1" x14ac:dyDescent="0.2">
      <c r="A142" s="7" t="str">
        <f>+INTERPRETACION!B276</f>
        <v>Si es hombre, no está muy interesado en el sexo; teme a las mujeres</v>
      </c>
    </row>
    <row r="143" spans="1:1" x14ac:dyDescent="0.2">
      <c r="A143" s="7" t="str">
        <f>+INTERPRETACION!B277</f>
        <v>Crítica de sí mismo, insatisfecho consigo mismo</v>
      </c>
    </row>
    <row r="144" spans="1:1" x14ac:dyDescent="0.2">
      <c r="A144" s="7" t="str">
        <f>+INTERPRETACION!B278</f>
        <v>Acepta los consejos y las sugerencias</v>
      </c>
    </row>
    <row r="145" spans="1:1" x14ac:dyDescent="0.2">
      <c r="A145" s="7" t="str">
        <f>+INTERPRETACION!B279</f>
        <v>Puede volverse muy dependiente del tratamiento</v>
      </c>
    </row>
    <row r="146" spans="1:1" x14ac:dyDescent="0.2">
      <c r="A146" s="7" t="str">
        <f>+INTERPRETACION!B280</f>
        <v>Teme aceptar la responsabilidad de su propia conducta</v>
      </c>
    </row>
    <row r="147" spans="1:1" x14ac:dyDescent="0.2">
      <c r="A147" s="7" t="str">
        <f>+INTERPRETACION!B281</f>
        <v/>
      </c>
    </row>
    <row r="148" spans="1:1" x14ac:dyDescent="0.2">
      <c r="A148" s="7" t="str">
        <f>+INTERPRETACION!B282</f>
        <v/>
      </c>
    </row>
    <row r="149" spans="1:1" x14ac:dyDescent="0.2">
      <c r="A149" s="7" t="str">
        <f>+INTERPRETACION!B283</f>
        <v/>
      </c>
    </row>
    <row r="150" spans="1:1" x14ac:dyDescent="0.2">
      <c r="A150" s="7" t="str">
        <f>+INTERPRETACION!B284</f>
        <v/>
      </c>
    </row>
    <row r="151" spans="1:1" x14ac:dyDescent="0.2">
      <c r="A151" s="7" t="str">
        <f>+INTERPRETACION!B285</f>
        <v/>
      </c>
    </row>
    <row r="152" spans="1:1" x14ac:dyDescent="0.2">
      <c r="A152" s="7" t="str">
        <f>+INTERPRETACION!B286</f>
        <v/>
      </c>
    </row>
    <row r="153" spans="1:1" x14ac:dyDescent="0.2">
      <c r="A153" s="7" t="str">
        <f>+INTERPRETACION!B287</f>
        <v/>
      </c>
    </row>
    <row r="154" spans="1:1" x14ac:dyDescent="0.2">
      <c r="A154" s="7" t="str">
        <f>+INTERPRETACION!B288</f>
        <v/>
      </c>
    </row>
    <row r="155" spans="1:1" x14ac:dyDescent="0.2">
      <c r="A155" s="7" t="str">
        <f>+INTERPRETACION!B289</f>
        <v/>
      </c>
    </row>
    <row r="156" spans="1:1" x14ac:dyDescent="0.2">
      <c r="A156" s="7" t="str">
        <f>+INTERPRETACION!B290</f>
        <v/>
      </c>
    </row>
    <row r="157" spans="1:1" x14ac:dyDescent="0.2">
      <c r="A157" s="7" t="str">
        <f>+INTERPRETACION!B291</f>
        <v/>
      </c>
    </row>
    <row r="158" spans="1:1" x14ac:dyDescent="0.2">
      <c r="A158" s="7" t="str">
        <f>+INTERPRETACION!B292</f>
        <v/>
      </c>
    </row>
    <row r="159" spans="1:1" x14ac:dyDescent="0.2">
      <c r="A159" s="7" t="str">
        <f>+INTERPRETACION!B293</f>
        <v/>
      </c>
    </row>
    <row r="160" spans="1:1" x14ac:dyDescent="0.2">
      <c r="A160" s="7" t="str">
        <f>+INTERPRETACION!B294</f>
        <v/>
      </c>
    </row>
    <row r="161" spans="1:1" x14ac:dyDescent="0.2">
      <c r="A161" s="7" t="str">
        <f>+INTERPRETACION!B295</f>
        <v/>
      </c>
    </row>
    <row r="162" spans="1:1" x14ac:dyDescent="0.2">
      <c r="A162" s="7" t="str">
        <f>+INTERPRETACION!B296</f>
        <v/>
      </c>
    </row>
    <row r="163" spans="1:1" x14ac:dyDescent="0.2">
      <c r="A163" s="7" t="str">
        <f>+INTERPRETACION!B297</f>
        <v/>
      </c>
    </row>
    <row r="164" spans="1:1" x14ac:dyDescent="0.2">
      <c r="A164" s="7" t="str">
        <f>+INTERPRETACION!B298</f>
        <v/>
      </c>
    </row>
    <row r="165" spans="1:1" x14ac:dyDescent="0.2">
      <c r="A165" s="7" t="str">
        <f>+INTERPRETACION!B299</f>
        <v/>
      </c>
    </row>
    <row r="166" spans="1:1" x14ac:dyDescent="0.2">
      <c r="A166" s="7" t="str">
        <f>+INTERPRETACION!B300</f>
        <v/>
      </c>
    </row>
    <row r="167" spans="1:1" x14ac:dyDescent="0.2">
      <c r="A167" s="7" t="str">
        <f>+INTERPRETACION!B301</f>
        <v/>
      </c>
    </row>
    <row r="168" spans="1:1" x14ac:dyDescent="0.2">
      <c r="A168" s="7" t="str">
        <f>+INTERPRETACION!B302</f>
        <v/>
      </c>
    </row>
    <row r="169" spans="1:1" x14ac:dyDescent="0.2">
      <c r="A169" s="7" t="str">
        <f>+INTERPRETACION!B303</f>
        <v/>
      </c>
    </row>
    <row r="170" spans="1:1" x14ac:dyDescent="0.2">
      <c r="A170" s="7" t="str">
        <f>+INTERPRETACION!B304</f>
        <v/>
      </c>
    </row>
    <row r="171" spans="1:1" x14ac:dyDescent="0.2">
      <c r="A171" s="7" t="str">
        <f>+INTERPRETACION!B305</f>
        <v/>
      </c>
    </row>
    <row r="172" spans="1:1" x14ac:dyDescent="0.2">
      <c r="A172" s="7" t="str">
        <f>+INTERPRETACION!B306</f>
        <v/>
      </c>
    </row>
    <row r="173" spans="1:1" x14ac:dyDescent="0.2">
      <c r="A173" s="7" t="str">
        <f>+INTERPRETACION!B307</f>
        <v/>
      </c>
    </row>
    <row r="174" spans="1:1" x14ac:dyDescent="0.2">
      <c r="A174" s="7" t="str">
        <f>+INTERPRETACION!B308</f>
        <v/>
      </c>
    </row>
    <row r="175" spans="1:1" x14ac:dyDescent="0.2">
      <c r="A175" s="8" t="s">
        <v>118</v>
      </c>
    </row>
    <row r="176" spans="1:1" x14ac:dyDescent="0.2">
      <c r="A176" s="7" t="str">
        <f>+INTERPRETACION!B310</f>
        <v>Si no es un paciente psiquiátrico y no tiene otras evidencias de inadaptación:</v>
      </c>
    </row>
    <row r="177" spans="1:1" x14ac:dyDescent="0.2">
      <c r="A177" s="7" t="str">
        <f>+INTERPRETACION!B311</f>
        <v>Alegre</v>
      </c>
    </row>
    <row r="178" spans="1:1" x14ac:dyDescent="0.2">
      <c r="A178" s="7" t="str">
        <f>+INTERPRETACION!B312</f>
        <v>Equilibrado</v>
      </c>
    </row>
    <row r="179" spans="1:1" x14ac:dyDescent="0.2">
      <c r="A179" s="7" t="str">
        <f>+INTERPRETACION!B313</f>
        <v>Ordenado</v>
      </c>
    </row>
    <row r="180" spans="1:1" x14ac:dyDescent="0.2">
      <c r="A180" s="7" t="str">
        <f>+INTERPRETACION!B314</f>
        <v>Serio, maduro, razonable</v>
      </c>
    </row>
    <row r="181" spans="1:1" x14ac:dyDescent="0.2">
      <c r="A181" s="7" t="str">
        <f>+INTERPRETACION!B315</f>
        <v>Prudente, decisivo, perseverante</v>
      </c>
    </row>
    <row r="182" spans="1:1" x14ac:dyDescent="0.2">
      <c r="A182" s="7" t="str">
        <f>+INTERPRETACION!B316</f>
        <v>Socialmente interesado</v>
      </c>
    </row>
    <row r="183" spans="1:1" x14ac:dyDescent="0.2">
      <c r="A183" s="7" t="str">
        <f>+INTERPRETACION!B317</f>
        <v>Enfrenta adecuadamente las situaciones de la vida</v>
      </c>
    </row>
    <row r="184" spans="1:1" x14ac:dyDescent="0.2">
      <c r="A184" s="7" t="str">
        <f>+INTERPRETACION!B318</f>
        <v>Confiado, leal</v>
      </c>
    </row>
    <row r="185" spans="1:1" x14ac:dyDescent="0.2">
      <c r="A185" s="7" t="str">
        <f>+INTERPRETACION!B319</f>
        <v>Cauteloso, convencional, autocontrolado</v>
      </c>
    </row>
    <row r="186" spans="1:1" x14ac:dyDescent="0.2">
      <c r="A186" s="7" t="str">
        <f>+INTERPRETACION!B320</f>
        <v>Si es un paciente psiquiátrico o tiene alguna otra evidencia de inadaptación:</v>
      </c>
    </row>
    <row r="187" spans="1:1" x14ac:dyDescent="0.2">
      <c r="A187" s="7" t="str">
        <f>+INTERPRETACION!B321</f>
        <v>a. Obstinado, evasivo, cauteloso</v>
      </c>
    </row>
    <row r="188" spans="1:1" x14ac:dyDescent="0.2">
      <c r="A188" s="7" t="str">
        <f>+INTERPRETACION!B322</f>
        <v>Egocéntrico</v>
      </c>
    </row>
    <row r="189" spans="1:1" x14ac:dyDescent="0.2">
      <c r="A189" s="7" t="str">
        <f>+INTERPRETACION!B323</f>
        <v>Muestra poco interés en las cosas que no le afectan de manera directa</v>
      </c>
    </row>
    <row r="190" spans="1:1" x14ac:dyDescent="0.2">
      <c r="A190" s="7" t="str">
        <f>+INTERPRETACION!B324</f>
        <v>Insatisfecho de sí mismo</v>
      </c>
    </row>
    <row r="191" spans="1:1" x14ac:dyDescent="0.2">
      <c r="A191" s="7" t="str">
        <f>+INTERPRETACION!B325</f>
        <v>Extremadamente sencible a las reacciones de los demás</v>
      </c>
    </row>
    <row r="192" spans="1:1" x14ac:dyDescent="0.2">
      <c r="A192" s="7" t="str">
        <f>+INTERPRETACION!B326</f>
        <v>Carece de &lt;&lt;insight&gt;&gt;</v>
      </c>
    </row>
    <row r="193" spans="1:1" x14ac:dyDescent="0.2">
      <c r="A193" s="7" t="str">
        <f>+INTERPRETACION!B327</f>
        <v>Carece de intereses y habilidades sociales</v>
      </c>
    </row>
    <row r="194" spans="1:1" x14ac:dyDescent="0.2">
      <c r="A194" s="7" t="str">
        <f>+INTERPRETACION!B328</f>
        <v>No tiene principios morales muy rígidos</v>
      </c>
    </row>
    <row r="195" spans="1:1" x14ac:dyDescent="0.2">
      <c r="A195" s="7" t="str">
        <f>+INTERPRETACION!B329</f>
        <v>Rudo, torpe</v>
      </c>
    </row>
    <row r="196" spans="1:1" x14ac:dyDescent="0.2">
      <c r="A196" s="7" t="str">
        <f>+INTERPRETACION!B330</f>
        <v>Inseguro</v>
      </c>
    </row>
    <row r="197" spans="1:1" x14ac:dyDescent="0.2">
      <c r="A197" s="7" t="str">
        <f>+INTERPRETACION!B331</f>
        <v>Con poco éxito</v>
      </c>
    </row>
    <row r="198" spans="1:1" x14ac:dyDescent="0.2">
      <c r="A198" s="7" t="str">
        <f>+INTERPRETACION!B332</f>
        <v>Suceptible, antagónico</v>
      </c>
    </row>
    <row r="199" spans="1:1" x14ac:dyDescent="0.2">
      <c r="A199" s="7" t="str">
        <f>+INTERPRETACION!B333</f>
        <v>No es probable que manifieste síntomas psicóticos; no es común el diagnóstico psicótico</v>
      </c>
    </row>
    <row r="200" spans="1:1" x14ac:dyDescent="0.2">
      <c r="A200" s="8" t="s">
        <v>119</v>
      </c>
    </row>
    <row r="201" spans="1:1" x14ac:dyDescent="0.2">
      <c r="A201" s="7" t="e">
        <f>+INTERPRETACION!B335</f>
        <v>#N/A</v>
      </c>
    </row>
    <row r="202" spans="1:1" x14ac:dyDescent="0.2">
      <c r="A202" s="7" t="e">
        <f>+INTERPRETACION!B336</f>
        <v>#N/A</v>
      </c>
    </row>
    <row r="203" spans="1:1" x14ac:dyDescent="0.2">
      <c r="A203" s="7" t="e">
        <f>+INTERPRETACION!B337</f>
        <v>#N/A</v>
      </c>
    </row>
    <row r="204" spans="1:1" x14ac:dyDescent="0.2">
      <c r="A204" s="7" t="e">
        <f>+INTERPRETACION!B338</f>
        <v>#N/A</v>
      </c>
    </row>
    <row r="205" spans="1:1" x14ac:dyDescent="0.2">
      <c r="A205" s="7" t="e">
        <f>+INTERPRETACION!B339</f>
        <v>#N/A</v>
      </c>
    </row>
    <row r="206" spans="1:1" x14ac:dyDescent="0.2">
      <c r="A206" s="7" t="e">
        <f>+INTERPRETACION!B340</f>
        <v>#N/A</v>
      </c>
    </row>
    <row r="207" spans="1:1" x14ac:dyDescent="0.2">
      <c r="A207" s="7" t="e">
        <f>+INTERPRETACION!B341</f>
        <v>#N/A</v>
      </c>
    </row>
    <row r="208" spans="1:1" x14ac:dyDescent="0.2">
      <c r="A208" s="7" t="e">
        <f>+INTERPRETACION!B342</f>
        <v>#N/A</v>
      </c>
    </row>
    <row r="209" spans="1:1" x14ac:dyDescent="0.2">
      <c r="A209" s="7" t="e">
        <f>+INTERPRETACION!B343</f>
        <v>#N/A</v>
      </c>
    </row>
    <row r="210" spans="1:1" x14ac:dyDescent="0.2">
      <c r="A210" s="7" t="e">
        <f>+INTERPRETACION!B344</f>
        <v>#N/A</v>
      </c>
    </row>
    <row r="211" spans="1:1" x14ac:dyDescent="0.2">
      <c r="A211" s="7" t="e">
        <f>+INTERPRETACION!B345</f>
        <v>#N/A</v>
      </c>
    </row>
    <row r="212" spans="1:1" x14ac:dyDescent="0.2">
      <c r="A212" s="7" t="e">
        <f>+INTERPRETACION!B346</f>
        <v>#N/A</v>
      </c>
    </row>
    <row r="213" spans="1:1" x14ac:dyDescent="0.2">
      <c r="A213" s="7" t="e">
        <f>+INTERPRETACION!B347</f>
        <v>#N/A</v>
      </c>
    </row>
    <row r="214" spans="1:1" x14ac:dyDescent="0.2">
      <c r="A214" s="7" t="e">
        <f>+INTERPRETACION!B348</f>
        <v>#N/A</v>
      </c>
    </row>
    <row r="215" spans="1:1" x14ac:dyDescent="0.2">
      <c r="A215" s="7" t="e">
        <f>+INTERPRETACION!B349</f>
        <v>#N/A</v>
      </c>
    </row>
    <row r="216" spans="1:1" x14ac:dyDescent="0.2">
      <c r="A216" s="7" t="e">
        <f>+INTERPRETACION!B350</f>
        <v>#N/A</v>
      </c>
    </row>
    <row r="217" spans="1:1" x14ac:dyDescent="0.2">
      <c r="A217" s="7" t="e">
        <f>+INTERPRETACION!B351</f>
        <v>#N/A</v>
      </c>
    </row>
    <row r="218" spans="1:1" x14ac:dyDescent="0.2">
      <c r="A218" s="7" t="e">
        <f>+INTERPRETACION!B352</f>
        <v>#N/A</v>
      </c>
    </row>
    <row r="219" spans="1:1" x14ac:dyDescent="0.2">
      <c r="A219" s="7" t="e">
        <f>+INTERPRETACION!B353</f>
        <v>#N/A</v>
      </c>
    </row>
    <row r="220" spans="1:1" x14ac:dyDescent="0.2">
      <c r="A220" s="7" t="e">
        <f>+INTERPRETACION!B354</f>
        <v>#N/A</v>
      </c>
    </row>
    <row r="221" spans="1:1" x14ac:dyDescent="0.2">
      <c r="A221" s="7" t="e">
        <f>+INTERPRETACION!B355</f>
        <v>#N/A</v>
      </c>
    </row>
    <row r="222" spans="1:1" x14ac:dyDescent="0.2">
      <c r="A222" s="7" t="e">
        <f>+INTERPRETACION!B356</f>
        <v>#N/A</v>
      </c>
    </row>
    <row r="223" spans="1:1" x14ac:dyDescent="0.2">
      <c r="A223" s="7" t="e">
        <f>+INTERPRETACION!B357</f>
        <v>#N/A</v>
      </c>
    </row>
    <row r="224" spans="1:1" x14ac:dyDescent="0.2">
      <c r="A224" s="7" t="e">
        <f>+INTERPRETACION!B358</f>
        <v>#N/A</v>
      </c>
    </row>
    <row r="225" spans="1:1" x14ac:dyDescent="0.2">
      <c r="A225" s="7" t="e">
        <f>+INTERPRETACION!B359</f>
        <v>#N/A</v>
      </c>
    </row>
    <row r="226" spans="1:1" x14ac:dyDescent="0.2">
      <c r="A226" s="7" t="e">
        <f>+INTERPRETACION!B360</f>
        <v>#N/A</v>
      </c>
    </row>
    <row r="227" spans="1:1" x14ac:dyDescent="0.2">
      <c r="A227" s="7" t="e">
        <f>+INTERPRETACION!B361</f>
        <v>#N/A</v>
      </c>
    </row>
    <row r="228" spans="1:1" x14ac:dyDescent="0.2">
      <c r="A228" s="7" t="e">
        <f>+INTERPRETACION!B362</f>
        <v>#N/A</v>
      </c>
    </row>
    <row r="229" spans="1:1" x14ac:dyDescent="0.2">
      <c r="A229" s="7" t="e">
        <f>+INTERPRETACION!B363</f>
        <v>#N/A</v>
      </c>
    </row>
    <row r="230" spans="1:1" x14ac:dyDescent="0.2">
      <c r="A230" s="7" t="e">
        <f>+INTERPRETACION!B364</f>
        <v>#N/A</v>
      </c>
    </row>
    <row r="231" spans="1:1" x14ac:dyDescent="0.2">
      <c r="A231" s="7" t="e">
        <f>+INTERPRETACION!B365</f>
        <v>#N/A</v>
      </c>
    </row>
    <row r="232" spans="1:1" x14ac:dyDescent="0.2">
      <c r="A232" s="7" t="e">
        <f>+INTERPRETACION!B366</f>
        <v>#N/A</v>
      </c>
    </row>
    <row r="233" spans="1:1" x14ac:dyDescent="0.2">
      <c r="A233" s="7" t="e">
        <f>+INTERPRETACION!B367</f>
        <v>#N/A</v>
      </c>
    </row>
    <row r="234" spans="1:1" x14ac:dyDescent="0.2">
      <c r="A234" s="7" t="e">
        <f>+INTERPRETACION!B368</f>
        <v>#N/A</v>
      </c>
    </row>
    <row r="235" spans="1:1" x14ac:dyDescent="0.2">
      <c r="A235" s="7" t="e">
        <f>+INTERPRETACION!B369</f>
        <v>#N/A</v>
      </c>
    </row>
    <row r="236" spans="1:1" x14ac:dyDescent="0.2">
      <c r="A236" s="7" t="e">
        <f>+INTERPRETACION!B370</f>
        <v>#N/A</v>
      </c>
    </row>
    <row r="237" spans="1:1" x14ac:dyDescent="0.2">
      <c r="A237" s="7" t="e">
        <f>+INTERPRETACION!B371</f>
        <v>#N/A</v>
      </c>
    </row>
    <row r="238" spans="1:1" x14ac:dyDescent="0.2">
      <c r="A238" s="7" t="e">
        <f>+INTERPRETACION!B372</f>
        <v>#N/A</v>
      </c>
    </row>
    <row r="239" spans="1:1" x14ac:dyDescent="0.2">
      <c r="A239" s="7" t="e">
        <f>+INTERPRETACION!B373</f>
        <v>#N/A</v>
      </c>
    </row>
    <row r="240" spans="1:1" x14ac:dyDescent="0.2">
      <c r="A240" s="7" t="e">
        <f>+INTERPRETACION!B374</f>
        <v>#N/A</v>
      </c>
    </row>
    <row r="241" spans="1:1" x14ac:dyDescent="0.2">
      <c r="A241" s="8" t="s">
        <v>120</v>
      </c>
    </row>
    <row r="242" spans="1:1" x14ac:dyDescent="0.2">
      <c r="A242" s="7" t="e">
        <f>+INTERPRETACION!B376</f>
        <v>#N/A</v>
      </c>
    </row>
    <row r="243" spans="1:1" x14ac:dyDescent="0.2">
      <c r="A243" s="7" t="e">
        <f>+INTERPRETACION!B377</f>
        <v>#N/A</v>
      </c>
    </row>
    <row r="244" spans="1:1" x14ac:dyDescent="0.2">
      <c r="A244" s="7" t="e">
        <f>+INTERPRETACION!B378</f>
        <v>#N/A</v>
      </c>
    </row>
    <row r="245" spans="1:1" x14ac:dyDescent="0.2">
      <c r="A245" s="7" t="e">
        <f>+INTERPRETACION!B379</f>
        <v>#N/A</v>
      </c>
    </row>
    <row r="246" spans="1:1" x14ac:dyDescent="0.2">
      <c r="A246" s="7" t="e">
        <f>+INTERPRETACION!B380</f>
        <v>#N/A</v>
      </c>
    </row>
    <row r="247" spans="1:1" x14ac:dyDescent="0.2">
      <c r="A247" s="7" t="e">
        <f>+INTERPRETACION!B381</f>
        <v>#N/A</v>
      </c>
    </row>
    <row r="248" spans="1:1" x14ac:dyDescent="0.2">
      <c r="A248" s="7" t="e">
        <f>+INTERPRETACION!B382</f>
        <v>#N/A</v>
      </c>
    </row>
    <row r="249" spans="1:1" x14ac:dyDescent="0.2">
      <c r="A249" s="7" t="e">
        <f>+INTERPRETACION!B383</f>
        <v>#N/A</v>
      </c>
    </row>
    <row r="250" spans="1:1" x14ac:dyDescent="0.2">
      <c r="A250" s="7" t="e">
        <f>+INTERPRETACION!B384</f>
        <v>#N/A</v>
      </c>
    </row>
    <row r="251" spans="1:1" x14ac:dyDescent="0.2">
      <c r="A251" s="7" t="e">
        <f>+INTERPRETACION!B385</f>
        <v>#N/A</v>
      </c>
    </row>
    <row r="252" spans="1:1" x14ac:dyDescent="0.2">
      <c r="A252" s="7" t="e">
        <f>+INTERPRETACION!B386</f>
        <v>#N/A</v>
      </c>
    </row>
    <row r="253" spans="1:1" x14ac:dyDescent="0.2">
      <c r="A253" s="7" t="e">
        <f>+INTERPRETACION!B387</f>
        <v>#N/A</v>
      </c>
    </row>
    <row r="254" spans="1:1" x14ac:dyDescent="0.2">
      <c r="A254" s="7" t="e">
        <f>+INTERPRETACION!B388</f>
        <v>#N/A</v>
      </c>
    </row>
    <row r="255" spans="1:1" x14ac:dyDescent="0.2">
      <c r="A255" s="7" t="e">
        <f>+INTERPRETACION!B389</f>
        <v>#N/A</v>
      </c>
    </row>
    <row r="256" spans="1:1" x14ac:dyDescent="0.2">
      <c r="A256" s="7" t="e">
        <f>+INTERPRETACION!B390</f>
        <v>#N/A</v>
      </c>
    </row>
    <row r="257" spans="1:1" x14ac:dyDescent="0.2">
      <c r="A257" s="7" t="e">
        <f>+INTERPRETACION!B391</f>
        <v>#N/A</v>
      </c>
    </row>
    <row r="258" spans="1:1" x14ac:dyDescent="0.2">
      <c r="A258" s="7" t="e">
        <f>+INTERPRETACION!B392</f>
        <v>#N/A</v>
      </c>
    </row>
    <row r="259" spans="1:1" x14ac:dyDescent="0.2">
      <c r="A259" s="7" t="e">
        <f>+INTERPRETACION!B393</f>
        <v>#N/A</v>
      </c>
    </row>
    <row r="260" spans="1:1" x14ac:dyDescent="0.2">
      <c r="A260" s="7" t="e">
        <f>+INTERPRETACION!B394</f>
        <v>#N/A</v>
      </c>
    </row>
    <row r="261" spans="1:1" x14ac:dyDescent="0.2">
      <c r="A261" s="7" t="e">
        <f>+INTERPRETACION!B395</f>
        <v>#N/A</v>
      </c>
    </row>
    <row r="262" spans="1:1" x14ac:dyDescent="0.2">
      <c r="A262" s="7" t="e">
        <f>+INTERPRETACION!B396</f>
        <v>#N/A</v>
      </c>
    </row>
    <row r="263" spans="1:1" x14ac:dyDescent="0.2">
      <c r="A263" s="7" t="e">
        <f>+INTERPRETACION!B397</f>
        <v>#N/A</v>
      </c>
    </row>
    <row r="264" spans="1:1" x14ac:dyDescent="0.2">
      <c r="A264" s="7" t="e">
        <f>+INTERPRETACION!B398</f>
        <v>#N/A</v>
      </c>
    </row>
    <row r="265" spans="1:1" x14ac:dyDescent="0.2">
      <c r="A265" s="7" t="e">
        <f>+INTERPRETACION!B399</f>
        <v>#N/A</v>
      </c>
    </row>
    <row r="266" spans="1:1" x14ac:dyDescent="0.2">
      <c r="A266" s="7" t="e">
        <f>+INTERPRETACION!B400</f>
        <v>#N/A</v>
      </c>
    </row>
    <row r="267" spans="1:1" x14ac:dyDescent="0.2">
      <c r="A267" s="7" t="e">
        <f>+INTERPRETACION!B401</f>
        <v>#N/A</v>
      </c>
    </row>
    <row r="268" spans="1:1" x14ac:dyDescent="0.2">
      <c r="A268" s="7" t="e">
        <f>+INTERPRETACION!B402</f>
        <v>#N/A</v>
      </c>
    </row>
    <row r="269" spans="1:1" x14ac:dyDescent="0.2">
      <c r="A269" s="7" t="e">
        <f>+INTERPRETACION!B403</f>
        <v>#N/A</v>
      </c>
    </row>
    <row r="270" spans="1:1" x14ac:dyDescent="0.2">
      <c r="A270" s="7" t="e">
        <f>+INTERPRETACION!B404</f>
        <v>#N/A</v>
      </c>
    </row>
    <row r="271" spans="1:1" x14ac:dyDescent="0.2">
      <c r="A271" s="7" t="e">
        <f>+INTERPRETACION!B405</f>
        <v>#N/A</v>
      </c>
    </row>
    <row r="272" spans="1:1" x14ac:dyDescent="0.2">
      <c r="A272" s="7" t="e">
        <f>+INTERPRETACION!B406</f>
        <v>#N/A</v>
      </c>
    </row>
    <row r="273" spans="1:1" x14ac:dyDescent="0.2">
      <c r="A273" s="7" t="e">
        <f>+INTERPRETACION!B407</f>
        <v>#N/A</v>
      </c>
    </row>
    <row r="274" spans="1:1" x14ac:dyDescent="0.2">
      <c r="A274" s="7" t="e">
        <f>+INTERPRETACION!B408</f>
        <v>#N/A</v>
      </c>
    </row>
    <row r="275" spans="1:1" x14ac:dyDescent="0.2">
      <c r="A275" s="7" t="e">
        <f>+INTERPRETACION!B409</f>
        <v>#N/A</v>
      </c>
    </row>
    <row r="276" spans="1:1" x14ac:dyDescent="0.2">
      <c r="A276" s="7" t="e">
        <f>+INTERPRETACION!B410</f>
        <v>#N/A</v>
      </c>
    </row>
    <row r="277" spans="1:1" x14ac:dyDescent="0.2">
      <c r="A277" s="7" t="e">
        <f>+INTERPRETACION!B411</f>
        <v>#N/A</v>
      </c>
    </row>
    <row r="278" spans="1:1" x14ac:dyDescent="0.2">
      <c r="A278" s="7" t="e">
        <f>+INTERPRETACION!B412</f>
        <v>#N/A</v>
      </c>
    </row>
    <row r="279" spans="1:1" x14ac:dyDescent="0.2">
      <c r="A279" s="8" t="s">
        <v>121</v>
      </c>
    </row>
    <row r="280" spans="1:1" x14ac:dyDescent="0.2">
      <c r="A280" s="7" t="str">
        <f>+INTERPRETACION!B414</f>
        <v>Tiene un nivel bajo de energía y actividad</v>
      </c>
    </row>
    <row r="281" spans="1:1" x14ac:dyDescent="0.2">
      <c r="A281" s="7" t="str">
        <f>+INTERPRETACION!B415</f>
        <v>Letárgico, indiferente, apático, flemático</v>
      </c>
    </row>
    <row r="282" spans="1:1" x14ac:dyDescent="0.2">
      <c r="A282" s="7" t="str">
        <f>+INTERPRETACION!B416</f>
        <v>Difícil de motivar</v>
      </c>
    </row>
    <row r="283" spans="1:1" x14ac:dyDescent="0.2">
      <c r="A283" s="7" t="str">
        <f>+INTERPRETACION!B417</f>
        <v>Informa fatiga crónica, agotamiento físico</v>
      </c>
    </row>
    <row r="284" spans="1:1" x14ac:dyDescent="0.2">
      <c r="A284" s="7" t="str">
        <f>+INTERPRETACION!B418</f>
        <v>Deprimido, ansioso, tenso</v>
      </c>
    </row>
    <row r="285" spans="1:1" x14ac:dyDescent="0.2">
      <c r="A285" s="7" t="str">
        <f>+INTERPRETACION!B419</f>
        <v>Confiable, responsable, dependiente</v>
      </c>
    </row>
    <row r="286" spans="1:1" x14ac:dyDescent="0.2">
      <c r="A286" s="7" t="str">
        <f>+INTERPRETACION!B420</f>
        <v>Enfoca los problemas en una forma convencional, práctica y razonable</v>
      </c>
    </row>
    <row r="287" spans="1:1" x14ac:dyDescent="0.2">
      <c r="A287" s="7" t="str">
        <f>+INTERPRETACION!B421</f>
        <v>Carece de seguridad en sí mismo</v>
      </c>
    </row>
    <row r="288" spans="1:1" x14ac:dyDescent="0.2">
      <c r="A288" s="7" t="str">
        <f>+INTERPRETACION!B422</f>
        <v>Sincero, callado, modesto, humilde</v>
      </c>
    </row>
    <row r="289" spans="1:1" x14ac:dyDescent="0.2">
      <c r="A289" s="7" t="str">
        <f>+INTERPRETACION!B423</f>
        <v>Aislado, retraído</v>
      </c>
    </row>
    <row r="290" spans="1:1" x14ac:dyDescent="0.2">
      <c r="A290" s="7" t="str">
        <f>+INTERPRETACION!B424</f>
        <v>Impopular</v>
      </c>
    </row>
    <row r="291" spans="1:1" x14ac:dyDescent="0.2">
      <c r="A291" s="7" t="str">
        <f>+INTERPRETACION!B425</f>
        <v>Excesivamente controlado; incapaz de expresar abiertamente sus sentimientos</v>
      </c>
    </row>
    <row r="292" spans="1:1" x14ac:dyDescent="0.2">
      <c r="A292" s="7" t="str">
        <f>+INTERPRETACION!B426</f>
        <v>Si es hombre, tiene intereses familiares y hogareños; dispuestos a contraer matrimonio</v>
      </c>
    </row>
    <row r="293" spans="1:1" x14ac:dyDescent="0.2">
      <c r="A293" s="7" t="str">
        <f>+INTERPRETACION!B427</f>
        <v>Si es un paciente psiquiátrico hospitalizado, tiene pronóstico favorable</v>
      </c>
    </row>
    <row r="294" spans="1:1" x14ac:dyDescent="0.2">
      <c r="A294" s="7" t="str">
        <f>+INTERPRETACION!B428</f>
        <v/>
      </c>
    </row>
    <row r="295" spans="1:1" x14ac:dyDescent="0.2">
      <c r="A295" s="7" t="str">
        <f>+INTERPRETACION!B429</f>
        <v/>
      </c>
    </row>
    <row r="296" spans="1:1" x14ac:dyDescent="0.2">
      <c r="A296" s="7" t="str">
        <f>+INTERPRETACION!B430</f>
        <v/>
      </c>
    </row>
    <row r="297" spans="1:1" x14ac:dyDescent="0.2">
      <c r="A297" s="7" t="str">
        <f>+INTERPRETACION!B431</f>
        <v/>
      </c>
    </row>
    <row r="298" spans="1:1" x14ac:dyDescent="0.2">
      <c r="A298" s="7" t="str">
        <f>+INTERPRETACION!B432</f>
        <v/>
      </c>
    </row>
    <row r="299" spans="1:1" x14ac:dyDescent="0.2">
      <c r="A299" s="7" t="str">
        <f>+INTERPRETACION!B433</f>
        <v/>
      </c>
    </row>
    <row r="300" spans="1:1" x14ac:dyDescent="0.2">
      <c r="A300" s="7" t="str">
        <f>+INTERPRETACION!B434</f>
        <v/>
      </c>
    </row>
    <row r="301" spans="1:1" x14ac:dyDescent="0.2">
      <c r="A301" s="7" t="str">
        <f>+INTERPRETACION!B435</f>
        <v/>
      </c>
    </row>
    <row r="302" spans="1:1" x14ac:dyDescent="0.2">
      <c r="A302" s="7" t="str">
        <f>+INTERPRETACION!B436</f>
        <v/>
      </c>
    </row>
    <row r="303" spans="1:1" x14ac:dyDescent="0.2">
      <c r="A303" s="7" t="str">
        <f>+INTERPRETACION!B437</f>
        <v/>
      </c>
    </row>
    <row r="304" spans="1:1" x14ac:dyDescent="0.2">
      <c r="A304" s="7" t="str">
        <f>+INTERPRETACION!B438</f>
        <v/>
      </c>
    </row>
    <row r="305" spans="1:4" x14ac:dyDescent="0.2">
      <c r="A305" s="7" t="str">
        <f>+INTERPRETACION!B439</f>
        <v/>
      </c>
    </row>
    <row r="306" spans="1:4" x14ac:dyDescent="0.2">
      <c r="A306" s="7" t="str">
        <f>+INTERPRETACION!B440</f>
        <v/>
      </c>
    </row>
    <row r="307" spans="1:4" x14ac:dyDescent="0.2">
      <c r="A307" s="7" t="str">
        <f>+INTERPRETACION!B441</f>
        <v/>
      </c>
    </row>
    <row r="308" spans="1:4" x14ac:dyDescent="0.2">
      <c r="A308" s="7" t="str">
        <f>+INTERPRETACION!B442</f>
        <v/>
      </c>
    </row>
    <row r="309" spans="1:4" x14ac:dyDescent="0.2">
      <c r="A309" s="7" t="str">
        <f>+INTERPRETACION!B443</f>
        <v/>
      </c>
    </row>
    <row r="310" spans="1:4" x14ac:dyDescent="0.2">
      <c r="A310" s="7" t="str">
        <f>+INTERPRETACION!B444</f>
        <v/>
      </c>
    </row>
    <row r="311" spans="1:4" x14ac:dyDescent="0.2">
      <c r="A311" s="7" t="str">
        <f>+INTERPRETACION!B445</f>
        <v/>
      </c>
    </row>
    <row r="312" spans="1:4" x14ac:dyDescent="0.2">
      <c r="A312" s="7" t="str">
        <f>+INTERPRETACION!B446</f>
        <v/>
      </c>
    </row>
    <row r="313" spans="1:4" x14ac:dyDescent="0.2">
      <c r="A313" s="7" t="str">
        <f>+INTERPRETACION!B447</f>
        <v/>
      </c>
    </row>
    <row r="314" spans="1:4" x14ac:dyDescent="0.2">
      <c r="A314" s="7" t="str">
        <f>+INTERPRETACION!B448</f>
        <v/>
      </c>
    </row>
    <row r="315" spans="1:4" x14ac:dyDescent="0.2">
      <c r="A315" s="7" t="str">
        <f>+INTERPRETACION!B449</f>
        <v/>
      </c>
    </row>
    <row r="316" spans="1:4" x14ac:dyDescent="0.2">
      <c r="A316" s="7" t="str">
        <f>+INTERPRETACION!B450</f>
        <v/>
      </c>
    </row>
    <row r="317" spans="1:4" x14ac:dyDescent="0.2">
      <c r="A317" s="7" t="str">
        <f>+INTERPRETACION!B451</f>
        <v/>
      </c>
    </row>
    <row r="318" spans="1:4" x14ac:dyDescent="0.2">
      <c r="A318" s="11"/>
      <c r="D318" s="10"/>
    </row>
    <row r="319" spans="1:4" x14ac:dyDescent="0.2">
      <c r="A319" s="7"/>
    </row>
    <row r="320" spans="1:4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</sheetData>
  <mergeCells count="1">
    <mergeCell ref="A1:O1"/>
  </mergeCells>
  <phoneticPr fontId="12" type="noConversion"/>
  <pageMargins left="0.15748031496062992" right="0.15748031496062992" top="0.6" bottom="0.53" header="0" footer="0"/>
  <pageSetup paperSize="9" scale="60" orientation="portrait" horizontalDpi="120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A66"/>
  <sheetViews>
    <sheetView workbookViewId="0">
      <selection activeCell="H39" sqref="H39"/>
    </sheetView>
  </sheetViews>
  <sheetFormatPr baseColWidth="10" defaultColWidth="4.5703125" defaultRowHeight="12.75" x14ac:dyDescent="0.2"/>
  <cols>
    <col min="1" max="1" width="4.5703125" style="12" customWidth="1"/>
    <col min="2" max="2" width="7.140625" style="12" customWidth="1"/>
    <col min="3" max="3" width="5.5703125" style="12" customWidth="1"/>
    <col min="4" max="4" width="5" style="12" customWidth="1"/>
    <col min="5" max="5" width="5.85546875" style="12" customWidth="1"/>
    <col min="6" max="6" width="5" style="12" customWidth="1"/>
    <col min="7" max="7" width="5.5703125" style="12" customWidth="1"/>
    <col min="8" max="13" width="5" style="12" customWidth="1"/>
    <col min="14" max="14" width="6" style="12" customWidth="1"/>
    <col min="15" max="16384" width="4.5703125" style="12"/>
  </cols>
  <sheetData>
    <row r="1" spans="1:18" ht="28.5" customHeight="1" x14ac:dyDescent="0.3">
      <c r="A1" s="69" t="s">
        <v>124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3" spans="1:18" x14ac:dyDescent="0.2">
      <c r="B3" s="12" t="s">
        <v>123</v>
      </c>
      <c r="D3" s="13"/>
      <c r="E3" s="13"/>
      <c r="F3" s="13"/>
      <c r="G3" s="13"/>
      <c r="H3" s="13"/>
      <c r="J3" s="51" t="s">
        <v>234</v>
      </c>
    </row>
    <row r="5" spans="1:18" x14ac:dyDescent="0.2">
      <c r="D5" s="18" t="s">
        <v>141</v>
      </c>
      <c r="E5" s="18" t="s">
        <v>142</v>
      </c>
      <c r="F5" s="18" t="s">
        <v>143</v>
      </c>
      <c r="G5" s="18" t="s">
        <v>144</v>
      </c>
      <c r="H5" s="18" t="s">
        <v>145</v>
      </c>
      <c r="I5" s="18" t="s">
        <v>146</v>
      </c>
      <c r="J5" s="18" t="s">
        <v>147</v>
      </c>
      <c r="K5" s="18" t="s">
        <v>148</v>
      </c>
      <c r="L5" s="18" t="s">
        <v>151</v>
      </c>
      <c r="M5" s="18" t="s">
        <v>149</v>
      </c>
      <c r="N5" s="18" t="s">
        <v>150</v>
      </c>
    </row>
    <row r="6" spans="1:18" x14ac:dyDescent="0.2">
      <c r="B6" s="70" t="s">
        <v>97</v>
      </c>
      <c r="C6" s="70"/>
      <c r="D6" s="15" t="s">
        <v>80</v>
      </c>
      <c r="E6" s="15" t="s">
        <v>81</v>
      </c>
      <c r="F6" s="15" t="s">
        <v>82</v>
      </c>
      <c r="G6" s="15">
        <v>1</v>
      </c>
      <c r="H6" s="15">
        <v>2</v>
      </c>
      <c r="I6" s="15">
        <v>3</v>
      </c>
      <c r="J6" s="15">
        <v>4</v>
      </c>
      <c r="K6" s="15">
        <v>6</v>
      </c>
      <c r="L6" s="15">
        <v>7</v>
      </c>
      <c r="M6" s="15">
        <v>8</v>
      </c>
      <c r="N6" s="15">
        <v>9</v>
      </c>
    </row>
    <row r="7" spans="1:18" x14ac:dyDescent="0.2">
      <c r="B7" s="68" t="s">
        <v>125</v>
      </c>
      <c r="C7" s="68"/>
      <c r="D7" s="2">
        <f>REPORTE!D6</f>
        <v>0</v>
      </c>
      <c r="E7" s="2">
        <f>REPORTE!E6</f>
        <v>0</v>
      </c>
      <c r="F7" s="2">
        <f>REPORTE!F6</f>
        <v>0</v>
      </c>
      <c r="G7" s="2">
        <f>REPORTE!G6</f>
        <v>0</v>
      </c>
      <c r="H7" s="2">
        <f>REPORTE!H6</f>
        <v>0</v>
      </c>
      <c r="I7" s="2">
        <f>REPORTE!I6</f>
        <v>0</v>
      </c>
      <c r="J7" s="2">
        <f>REPORTE!J6</f>
        <v>0</v>
      </c>
      <c r="K7" s="2">
        <f>REPORTE!K6</f>
        <v>0</v>
      </c>
      <c r="L7" s="2">
        <f>REPORTE!L6</f>
        <v>0</v>
      </c>
      <c r="M7" s="2">
        <f>REPORTE!M6</f>
        <v>0</v>
      </c>
      <c r="N7" s="2">
        <f>REPORTE!N6</f>
        <v>0</v>
      </c>
    </row>
    <row r="8" spans="1:18" x14ac:dyDescent="0.2">
      <c r="B8" s="68" t="s">
        <v>126</v>
      </c>
      <c r="C8" s="68"/>
      <c r="D8" s="2">
        <f>REPORTE!D7</f>
        <v>2</v>
      </c>
      <c r="E8" s="2">
        <f>REPORTE!E7</f>
        <v>2</v>
      </c>
      <c r="F8" s="2">
        <f>REPORTE!F7</f>
        <v>4</v>
      </c>
      <c r="G8" s="2">
        <f>REPORTE!G7</f>
        <v>2</v>
      </c>
      <c r="H8" s="2">
        <f>REPORTE!H7</f>
        <v>13</v>
      </c>
      <c r="I8" s="2">
        <f>REPORTE!I7</f>
        <v>10</v>
      </c>
      <c r="J8" s="2">
        <f>REPORTE!J7</f>
        <v>9</v>
      </c>
      <c r="K8" s="2">
        <f>REPORTE!K7</f>
        <v>5</v>
      </c>
      <c r="L8" s="2">
        <f>REPORTE!L7</f>
        <v>2</v>
      </c>
      <c r="M8" s="2">
        <f>REPORTE!M7</f>
        <v>2</v>
      </c>
      <c r="N8" s="2">
        <f>REPORTE!N7</f>
        <v>8</v>
      </c>
    </row>
    <row r="9" spans="1:18" x14ac:dyDescent="0.2">
      <c r="B9" s="68" t="s">
        <v>127</v>
      </c>
      <c r="C9" s="68"/>
      <c r="D9" s="2">
        <f>REPORTE!D8</f>
        <v>0</v>
      </c>
      <c r="E9" s="2">
        <f>REPORTE!E8</f>
        <v>0</v>
      </c>
      <c r="F9" s="2">
        <f>REPORTE!F8</f>
        <v>0</v>
      </c>
      <c r="G9" s="2">
        <f>REPORTE!G8</f>
        <v>2</v>
      </c>
      <c r="H9" s="2">
        <f>REPORTE!H8</f>
        <v>0</v>
      </c>
      <c r="I9" s="2">
        <f>REPORTE!I8</f>
        <v>0</v>
      </c>
      <c r="J9" s="2">
        <f>REPORTE!J8</f>
        <v>2</v>
      </c>
      <c r="K9" s="2">
        <f>REPORTE!K8</f>
        <v>0</v>
      </c>
      <c r="L9" s="2">
        <f>REPORTE!L8</f>
        <v>4</v>
      </c>
      <c r="M9" s="2">
        <f>REPORTE!M8</f>
        <v>4</v>
      </c>
      <c r="N9" s="2">
        <f>REPORTE!N8</f>
        <v>1</v>
      </c>
    </row>
    <row r="10" spans="1:18" x14ac:dyDescent="0.2">
      <c r="B10" s="68" t="s">
        <v>128</v>
      </c>
      <c r="C10" s="68"/>
      <c r="D10" s="2">
        <f>REPORTE!D9</f>
        <v>2</v>
      </c>
      <c r="E10" s="2">
        <f>REPORTE!E9</f>
        <v>2</v>
      </c>
      <c r="F10" s="2">
        <f>REPORTE!F9</f>
        <v>4</v>
      </c>
      <c r="G10" s="2">
        <f>REPORTE!G9</f>
        <v>4</v>
      </c>
      <c r="H10" s="2">
        <f>REPORTE!H9</f>
        <v>13</v>
      </c>
      <c r="I10" s="2">
        <f>REPORTE!I9</f>
        <v>10</v>
      </c>
      <c r="J10" s="2">
        <f>REPORTE!J9</f>
        <v>11</v>
      </c>
      <c r="K10" s="2">
        <f>REPORTE!K9</f>
        <v>5</v>
      </c>
      <c r="L10" s="2">
        <f>REPORTE!L9</f>
        <v>6</v>
      </c>
      <c r="M10" s="2">
        <f>REPORTE!M9</f>
        <v>6</v>
      </c>
      <c r="N10" s="2">
        <f>REPORTE!N9</f>
        <v>9</v>
      </c>
    </row>
    <row r="11" spans="1:18" x14ac:dyDescent="0.2">
      <c r="B11" s="68" t="s">
        <v>102</v>
      </c>
      <c r="C11" s="68"/>
      <c r="D11" s="2" t="e">
        <f>REPORTE!D10</f>
        <v>#N/A</v>
      </c>
      <c r="E11" s="2" t="e">
        <f>REPORTE!E10</f>
        <v>#N/A</v>
      </c>
      <c r="F11" s="2">
        <f>REPORTE!F10</f>
        <v>35</v>
      </c>
      <c r="G11" s="2">
        <f>REPORTE!G10</f>
        <v>31</v>
      </c>
      <c r="H11" s="2">
        <f>REPORTE!H10</f>
        <v>41</v>
      </c>
      <c r="I11" s="2">
        <f>REPORTE!I10</f>
        <v>38</v>
      </c>
      <c r="J11" s="2">
        <f>REPORTE!J10</f>
        <v>32</v>
      </c>
      <c r="K11" s="2">
        <f>REPORTE!K10</f>
        <v>41</v>
      </c>
      <c r="L11" s="2" t="e">
        <f>REPORTE!L10</f>
        <v>#N/A</v>
      </c>
      <c r="M11" s="2" t="e">
        <f>REPORTE!M10</f>
        <v>#N/A</v>
      </c>
      <c r="N11" s="2">
        <f>REPORTE!N10</f>
        <v>30</v>
      </c>
    </row>
    <row r="15" spans="1:18" x14ac:dyDescent="0.2">
      <c r="B15" s="12" t="s">
        <v>111</v>
      </c>
      <c r="C15" s="12" t="s">
        <v>112</v>
      </c>
      <c r="D15" s="12" t="s">
        <v>113</v>
      </c>
      <c r="E15" s="12" t="s">
        <v>114</v>
      </c>
      <c r="F15" s="12" t="s">
        <v>115</v>
      </c>
      <c r="G15" s="12" t="s">
        <v>116</v>
      </c>
      <c r="H15" s="12" t="s">
        <v>117</v>
      </c>
      <c r="I15" s="12" t="s">
        <v>118</v>
      </c>
      <c r="J15" s="12" t="s">
        <v>119</v>
      </c>
      <c r="K15" s="12" t="s">
        <v>120</v>
      </c>
      <c r="L15" s="12" t="s">
        <v>121</v>
      </c>
    </row>
    <row r="16" spans="1:18" x14ac:dyDescent="0.2">
      <c r="B16" s="12" t="e">
        <f>REPORTE!D10</f>
        <v>#N/A</v>
      </c>
      <c r="C16" s="12" t="e">
        <f>REPORTE!E10</f>
        <v>#N/A</v>
      </c>
      <c r="D16" s="12">
        <f>REPORTE!F10</f>
        <v>35</v>
      </c>
      <c r="E16" s="12">
        <f>REPORTE!G10</f>
        <v>31</v>
      </c>
      <c r="F16" s="12">
        <f>REPORTE!H10</f>
        <v>41</v>
      </c>
      <c r="G16" s="12">
        <f>REPORTE!I10</f>
        <v>38</v>
      </c>
      <c r="H16" s="12">
        <f>REPORTE!J10</f>
        <v>32</v>
      </c>
      <c r="I16" s="12">
        <f>REPORTE!K10</f>
        <v>41</v>
      </c>
      <c r="J16" s="12" t="e">
        <f>REPORTE!L10</f>
        <v>#N/A</v>
      </c>
      <c r="K16" s="12" t="e">
        <f>REPORTE!M10</f>
        <v>#N/A</v>
      </c>
      <c r="L16" s="12">
        <f>REPORTE!N10</f>
        <v>30</v>
      </c>
    </row>
    <row r="28" spans="12:27" x14ac:dyDescent="0.2">
      <c r="L28" s="19" t="s">
        <v>129</v>
      </c>
      <c r="M28" s="19"/>
      <c r="N28" s="19"/>
      <c r="O28" s="19"/>
    </row>
    <row r="29" spans="12:27" x14ac:dyDescent="0.2">
      <c r="L29" s="19" t="s">
        <v>130</v>
      </c>
      <c r="M29" s="19"/>
      <c r="N29" s="19"/>
      <c r="O29" s="19"/>
    </row>
    <row r="30" spans="12:27" x14ac:dyDescent="0.2">
      <c r="L30" s="19" t="s">
        <v>131</v>
      </c>
      <c r="M30" s="19"/>
      <c r="N30" s="19"/>
      <c r="O30" s="19"/>
      <c r="U30" s="74" t="s">
        <v>230</v>
      </c>
      <c r="V30" s="74"/>
      <c r="W30" s="74"/>
      <c r="X30" s="74"/>
      <c r="Y30" s="74"/>
      <c r="Z30" s="74"/>
      <c r="AA30" s="74"/>
    </row>
    <row r="31" spans="12:27" x14ac:dyDescent="0.2">
      <c r="L31" s="19" t="s">
        <v>132</v>
      </c>
      <c r="M31" s="19"/>
      <c r="N31" s="19"/>
      <c r="O31" s="19"/>
      <c r="U31" s="74" t="s">
        <v>229</v>
      </c>
      <c r="V31" s="74"/>
      <c r="W31" s="74"/>
      <c r="X31" s="74"/>
      <c r="Y31" s="74"/>
      <c r="Z31" s="74"/>
      <c r="AA31" s="74"/>
    </row>
    <row r="32" spans="12:27" x14ac:dyDescent="0.2">
      <c r="L32" s="19" t="s">
        <v>133</v>
      </c>
      <c r="M32" s="19"/>
      <c r="N32" s="19"/>
      <c r="O32" s="19"/>
      <c r="U32" s="74" t="s">
        <v>231</v>
      </c>
      <c r="V32" s="74"/>
      <c r="W32" s="74"/>
      <c r="X32" s="74"/>
      <c r="Y32" s="74"/>
      <c r="Z32" s="74"/>
      <c r="AA32" s="74"/>
    </row>
    <row r="33" spans="1:27" x14ac:dyDescent="0.2">
      <c r="L33" s="19" t="s">
        <v>134</v>
      </c>
      <c r="M33" s="19"/>
      <c r="N33" s="19"/>
      <c r="O33" s="19"/>
      <c r="U33" s="74" t="s">
        <v>232</v>
      </c>
      <c r="V33" s="74"/>
      <c r="W33" s="74"/>
      <c r="X33" s="74"/>
      <c r="Y33" s="74"/>
      <c r="Z33" s="74"/>
      <c r="AA33" s="74"/>
    </row>
    <row r="34" spans="1:27" x14ac:dyDescent="0.2">
      <c r="L34" s="19" t="s">
        <v>135</v>
      </c>
      <c r="M34" s="19"/>
      <c r="N34" s="19"/>
      <c r="O34" s="19"/>
      <c r="U34" s="74" t="s">
        <v>233</v>
      </c>
      <c r="V34" s="74"/>
      <c r="W34" s="74"/>
      <c r="X34" s="74"/>
      <c r="Y34" s="74"/>
      <c r="Z34" s="74"/>
      <c r="AA34" s="74"/>
    </row>
    <row r="35" spans="1:27" x14ac:dyDescent="0.2">
      <c r="L35" s="19" t="s">
        <v>136</v>
      </c>
      <c r="M35" s="19"/>
      <c r="N35" s="19"/>
      <c r="O35" s="19"/>
      <c r="U35" s="71" t="s">
        <v>227</v>
      </c>
      <c r="V35" s="71"/>
      <c r="W35" s="71"/>
      <c r="X35" s="71"/>
      <c r="Y35" s="71"/>
      <c r="Z35" s="71"/>
      <c r="AA35" s="71"/>
    </row>
    <row r="36" spans="1:27" x14ac:dyDescent="0.2">
      <c r="C36" s="12" t="s">
        <v>152</v>
      </c>
      <c r="K36" s="12" t="s">
        <v>137</v>
      </c>
      <c r="L36" s="21" t="s">
        <v>136</v>
      </c>
      <c r="M36" s="5"/>
      <c r="N36" s="5"/>
      <c r="O36" s="5"/>
      <c r="P36" s="20"/>
    </row>
    <row r="37" spans="1:27" x14ac:dyDescent="0.2">
      <c r="K37" s="12" t="s">
        <v>138</v>
      </c>
      <c r="L37" s="21" t="s">
        <v>132</v>
      </c>
      <c r="M37" s="5"/>
      <c r="N37" s="5"/>
      <c r="O37" s="5"/>
      <c r="P37" s="20"/>
    </row>
    <row r="38" spans="1:27" x14ac:dyDescent="0.2">
      <c r="K38" s="12" t="s">
        <v>139</v>
      </c>
      <c r="L38" s="21" t="s">
        <v>130</v>
      </c>
      <c r="N38" s="5"/>
      <c r="O38" s="5"/>
      <c r="P38" s="20"/>
    </row>
    <row r="39" spans="1:27" x14ac:dyDescent="0.2">
      <c r="K39" s="12" t="s">
        <v>140</v>
      </c>
      <c r="L39" s="21" t="s">
        <v>135</v>
      </c>
      <c r="M39" s="5"/>
      <c r="N39" s="5"/>
      <c r="O39" s="5"/>
      <c r="P39" s="20"/>
      <c r="U39" s="72" t="s">
        <v>228</v>
      </c>
      <c r="V39" s="73"/>
      <c r="W39" s="73"/>
      <c r="X39" s="73"/>
      <c r="Y39" s="73"/>
      <c r="Z39" s="73"/>
      <c r="AA39" s="73"/>
    </row>
    <row r="42" spans="1:27" x14ac:dyDescent="0.2">
      <c r="A42" s="48"/>
      <c r="B42" s="8"/>
      <c r="C42"/>
      <c r="D42"/>
      <c r="E42"/>
      <c r="F42"/>
    </row>
    <row r="43" spans="1:27" x14ac:dyDescent="0.2">
      <c r="A43" s="50"/>
      <c r="B43" s="7"/>
      <c r="C43"/>
      <c r="D43"/>
      <c r="E43"/>
      <c r="F43"/>
    </row>
    <row r="44" spans="1:27" x14ac:dyDescent="0.2">
      <c r="A44" s="50"/>
      <c r="B44" s="7"/>
      <c r="C44"/>
      <c r="D44"/>
      <c r="E44"/>
      <c r="F44"/>
    </row>
    <row r="45" spans="1:27" x14ac:dyDescent="0.2">
      <c r="A45" s="50"/>
      <c r="B45" s="7"/>
      <c r="C45"/>
      <c r="D45"/>
      <c r="E45"/>
      <c r="F45"/>
    </row>
    <row r="46" spans="1:27" x14ac:dyDescent="0.2">
      <c r="A46" s="50"/>
      <c r="B46" s="7"/>
      <c r="C46"/>
      <c r="D46"/>
      <c r="E46"/>
      <c r="F46"/>
    </row>
    <row r="47" spans="1:27" x14ac:dyDescent="0.2">
      <c r="A47" s="50"/>
      <c r="B47" s="7"/>
      <c r="C47"/>
      <c r="D47"/>
      <c r="E47"/>
      <c r="F47"/>
    </row>
    <row r="48" spans="1:27" x14ac:dyDescent="0.2">
      <c r="A48" s="50"/>
      <c r="B48" s="7"/>
      <c r="C48"/>
      <c r="D48"/>
      <c r="E48"/>
      <c r="F48"/>
    </row>
    <row r="49" spans="1:6" x14ac:dyDescent="0.2">
      <c r="A49" s="50"/>
      <c r="B49" s="7"/>
      <c r="C49"/>
      <c r="D49"/>
      <c r="E49"/>
      <c r="F49"/>
    </row>
    <row r="50" spans="1:6" x14ac:dyDescent="0.2">
      <c r="A50" s="50"/>
      <c r="B50" s="7"/>
      <c r="C50"/>
      <c r="D50"/>
      <c r="E50"/>
      <c r="F50"/>
    </row>
    <row r="51" spans="1:6" x14ac:dyDescent="0.2">
      <c r="A51" s="50"/>
      <c r="B51" s="49"/>
      <c r="C51" s="49"/>
      <c r="D51" s="49"/>
      <c r="E51" s="49"/>
      <c r="F51" s="49"/>
    </row>
    <row r="52" spans="1:6" x14ac:dyDescent="0.2">
      <c r="A52" s="50"/>
      <c r="B52" s="49"/>
      <c r="C52" s="49"/>
      <c r="D52" s="49"/>
      <c r="E52" s="49"/>
      <c r="F52" s="49"/>
    </row>
    <row r="53" spans="1:6" x14ac:dyDescent="0.2">
      <c r="A53" s="50"/>
      <c r="B53" s="49"/>
      <c r="C53" s="49"/>
      <c r="D53" s="49"/>
      <c r="E53" s="49"/>
      <c r="F53" s="49"/>
    </row>
    <row r="54" spans="1:6" x14ac:dyDescent="0.2">
      <c r="A54" s="50"/>
      <c r="B54" s="49"/>
      <c r="C54" s="49"/>
      <c r="D54" s="49"/>
      <c r="E54" s="49"/>
      <c r="F54" s="49"/>
    </row>
    <row r="55" spans="1:6" x14ac:dyDescent="0.2">
      <c r="A55" s="50"/>
      <c r="B55" s="49"/>
      <c r="C55" s="49"/>
      <c r="D55" s="49"/>
      <c r="E55" s="49"/>
      <c r="F55" s="49"/>
    </row>
    <row r="56" spans="1:6" x14ac:dyDescent="0.2">
      <c r="A56" s="50"/>
      <c r="B56" s="49"/>
      <c r="C56" s="49"/>
      <c r="D56" s="49"/>
      <c r="E56" s="49"/>
      <c r="F56" s="49"/>
    </row>
    <row r="57" spans="1:6" x14ac:dyDescent="0.2">
      <c r="A57" s="50"/>
      <c r="B57" s="49"/>
      <c r="C57" s="49"/>
      <c r="D57" s="49"/>
      <c r="E57" s="49"/>
      <c r="F57" s="49"/>
    </row>
    <row r="58" spans="1:6" x14ac:dyDescent="0.2">
      <c r="A58" s="50"/>
      <c r="B58" s="49"/>
      <c r="C58" s="49"/>
      <c r="D58" s="49"/>
      <c r="E58" s="49"/>
      <c r="F58" s="49"/>
    </row>
    <row r="59" spans="1:6" x14ac:dyDescent="0.2">
      <c r="A59" s="50"/>
      <c r="B59" s="49"/>
      <c r="C59" s="49"/>
      <c r="D59" s="49"/>
      <c r="E59" s="49"/>
      <c r="F59" s="49"/>
    </row>
    <row r="60" spans="1:6" x14ac:dyDescent="0.2">
      <c r="A60" s="50"/>
      <c r="B60" s="49"/>
      <c r="C60" s="49"/>
      <c r="D60" s="49"/>
      <c r="E60" s="49"/>
      <c r="F60" s="49"/>
    </row>
    <row r="61" spans="1:6" x14ac:dyDescent="0.2">
      <c r="A61" s="50"/>
      <c r="B61" s="49"/>
      <c r="C61" s="49"/>
      <c r="D61" s="49"/>
      <c r="E61" s="49"/>
      <c r="F61" s="49"/>
    </row>
    <row r="62" spans="1:6" x14ac:dyDescent="0.2">
      <c r="A62" s="50"/>
      <c r="B62" s="49"/>
      <c r="C62" s="49"/>
      <c r="D62" s="49"/>
      <c r="E62" s="49"/>
      <c r="F62" s="49"/>
    </row>
    <row r="63" spans="1:6" x14ac:dyDescent="0.2">
      <c r="A63" s="50"/>
      <c r="B63" s="49"/>
      <c r="C63" s="49"/>
      <c r="D63" s="49"/>
      <c r="E63" s="49"/>
      <c r="F63" s="49"/>
    </row>
    <row r="64" spans="1:6" x14ac:dyDescent="0.2">
      <c r="A64" s="50"/>
      <c r="B64" s="49"/>
      <c r="C64" s="49"/>
      <c r="D64" s="49"/>
      <c r="E64" s="49"/>
      <c r="F64" s="49"/>
    </row>
    <row r="65" spans="1:6" x14ac:dyDescent="0.2">
      <c r="A65" s="50"/>
      <c r="B65" s="49"/>
      <c r="C65" s="49"/>
      <c r="D65" s="49"/>
      <c r="E65" s="49"/>
      <c r="F65" s="49"/>
    </row>
    <row r="66" spans="1:6" x14ac:dyDescent="0.2">
      <c r="A66" s="50"/>
      <c r="B66" s="49"/>
      <c r="C66" s="49"/>
      <c r="D66" s="49"/>
      <c r="E66" s="49"/>
      <c r="F66" s="49"/>
    </row>
  </sheetData>
  <mergeCells count="14">
    <mergeCell ref="U35:AA35"/>
    <mergeCell ref="U39:AA39"/>
    <mergeCell ref="U30:AA30"/>
    <mergeCell ref="U31:AA31"/>
    <mergeCell ref="U32:AA32"/>
    <mergeCell ref="U33:AA33"/>
    <mergeCell ref="U34:AA34"/>
    <mergeCell ref="B9:C9"/>
    <mergeCell ref="B10:C10"/>
    <mergeCell ref="B11:C11"/>
    <mergeCell ref="A1:R1"/>
    <mergeCell ref="B6:C6"/>
    <mergeCell ref="B7:C7"/>
    <mergeCell ref="B8:C8"/>
  </mergeCells>
  <phoneticPr fontId="12" type="noConversion"/>
  <pageMargins left="0.75" right="0.75" top="1" bottom="1" header="0.511811024" footer="0.511811024"/>
  <pageSetup paperSize="9" orientation="portrait" horizontalDpi="120" verticalDpi="144" r:id="rId1"/>
  <headerFooter alignWithMargins="0">
    <oddHeader>&amp;A</oddHead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INGRESO</vt:lpstr>
      <vt:lpstr>INTERPRETACION</vt:lpstr>
      <vt:lpstr>REPORTE</vt:lpstr>
      <vt:lpstr>PERFIL</vt:lpstr>
    </vt:vector>
  </TitlesOfParts>
  <Company>Organización desconocida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MICROSFOT  WINDOWS 95</dc:creator>
  <cp:keywords>peru</cp:keywords>
  <cp:lastModifiedBy>Consulters Home</cp:lastModifiedBy>
  <cp:lastPrinted>2015-08-10T22:07:06Z</cp:lastPrinted>
  <dcterms:created xsi:type="dcterms:W3CDTF">1998-02-20T18:05:43Z</dcterms:created>
  <dcterms:modified xsi:type="dcterms:W3CDTF">2022-05-20T14:33:24Z</dcterms:modified>
</cp:coreProperties>
</file>