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KakaoTalk Downloads\DemoS_004_13062024_2\DemoS_004_13062024\"/>
    </mc:Choice>
  </mc:AlternateContent>
  <xr:revisionPtr revIDLastSave="0" documentId="13_ncr:1_{31AED44F-38D6-4A9E-ACC4-2114DFB6A8CB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ands" sheetId="134" r:id="rId12"/>
    <sheet name="Emi" sheetId="147" r:id="rId13"/>
  </sheets>
  <externalReferences>
    <externalReference r:id="rId14"/>
    <externalReference r:id="rId15"/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37" l="1"/>
  <c r="I15" i="145"/>
  <c r="I16" i="145"/>
  <c r="D16" i="145"/>
  <c r="D15" i="145"/>
  <c r="C15" i="145"/>
  <c r="C16" i="145"/>
  <c r="C14" i="145"/>
  <c r="B16" i="145"/>
  <c r="B15" i="145"/>
  <c r="P15" i="145"/>
  <c r="Q15" i="145"/>
  <c r="P16" i="145"/>
  <c r="Q16" i="145"/>
  <c r="N14" i="145"/>
  <c r="N16" i="145"/>
  <c r="N15" i="145"/>
  <c r="O16" i="145"/>
  <c r="O15" i="145"/>
  <c r="O14" i="145"/>
  <c r="P6" i="145"/>
  <c r="P7" i="145"/>
  <c r="O7" i="145"/>
  <c r="O6" i="145"/>
  <c r="N7" i="145"/>
  <c r="N6" i="145"/>
  <c r="N5" i="145"/>
  <c r="N5" i="146"/>
  <c r="R21" i="143"/>
  <c r="R20" i="143"/>
  <c r="R19" i="143"/>
  <c r="R18" i="143"/>
  <c r="R14" i="143"/>
  <c r="E21" i="143"/>
  <c r="E20" i="143"/>
  <c r="E19" i="143"/>
  <c r="E18" i="143"/>
  <c r="E16" i="143"/>
  <c r="E14" i="143"/>
  <c r="E12" i="143"/>
  <c r="N13" i="143"/>
  <c r="Y19" i="143" l="1"/>
  <c r="Y20" i="143"/>
  <c r="Y21" i="143"/>
  <c r="C10" i="134"/>
  <c r="E6" i="147"/>
  <c r="D6" i="147"/>
  <c r="C6" i="147"/>
  <c r="B2" i="140"/>
  <c r="K10" i="140" s="1"/>
  <c r="K22" i="140" s="1"/>
  <c r="C2" i="140"/>
  <c r="L9" i="140" s="1"/>
  <c r="L21" i="140" s="1"/>
  <c r="D15" i="142"/>
  <c r="D14" i="142"/>
  <c r="D13" i="142"/>
  <c r="B13" i="142"/>
  <c r="B14" i="142"/>
  <c r="B15" i="142"/>
  <c r="M15" i="142"/>
  <c r="M14" i="142"/>
  <c r="M6" i="142"/>
  <c r="M5" i="142"/>
  <c r="C4" i="142"/>
  <c r="M7" i="142" s="1"/>
  <c r="C3" i="142"/>
  <c r="C2" i="142"/>
  <c r="E4" i="142"/>
  <c r="D4" i="142"/>
  <c r="E3" i="142"/>
  <c r="D3" i="142"/>
  <c r="E2" i="142"/>
  <c r="D2" i="142"/>
  <c r="J24" i="133"/>
  <c r="J14" i="133"/>
  <c r="J8" i="133"/>
  <c r="I24" i="133"/>
  <c r="H24" i="133"/>
  <c r="I14" i="133"/>
  <c r="H14" i="133"/>
  <c r="I8" i="133"/>
  <c r="H8" i="133"/>
  <c r="G2" i="142"/>
  <c r="D29" i="133"/>
  <c r="D22" i="140" l="1"/>
  <c r="K5" i="140"/>
  <c r="K7" i="140"/>
  <c r="K11" i="140"/>
  <c r="K6" i="140"/>
  <c r="L10" i="140"/>
  <c r="L22" i="140" s="1"/>
  <c r="K8" i="140"/>
  <c r="K9" i="140"/>
  <c r="L8" i="140"/>
  <c r="L20" i="140" s="1"/>
  <c r="I11" i="132"/>
  <c r="I15" i="136"/>
  <c r="K23" i="140" l="1"/>
  <c r="K17" i="140"/>
  <c r="D17" i="140"/>
  <c r="C17" i="140" s="1"/>
  <c r="K18" i="140"/>
  <c r="D18" i="140"/>
  <c r="K21" i="140"/>
  <c r="D21" i="140"/>
  <c r="C21" i="140" s="1"/>
  <c r="K20" i="140"/>
  <c r="D20" i="140"/>
  <c r="K19" i="140"/>
  <c r="D19" i="140"/>
  <c r="R16" i="143"/>
  <c r="N15" i="143"/>
  <c r="N27" i="143"/>
  <c r="N25" i="143"/>
  <c r="N23" i="143"/>
  <c r="N17" i="143"/>
  <c r="F2" i="146"/>
  <c r="E2" i="146"/>
  <c r="C2" i="146"/>
  <c r="B2" i="146"/>
  <c r="O10" i="134" s="1"/>
  <c r="F2" i="145"/>
  <c r="E2" i="145"/>
  <c r="E13" i="145" s="1"/>
  <c r="C2" i="145"/>
  <c r="B2" i="145"/>
  <c r="C9" i="134" s="1"/>
  <c r="I12" i="146"/>
  <c r="D2" i="146"/>
  <c r="O5" i="146" s="1"/>
  <c r="I14" i="145"/>
  <c r="D2" i="145"/>
  <c r="O5" i="145" s="1"/>
  <c r="F21" i="143"/>
  <c r="R12" i="143"/>
  <c r="I12" i="137"/>
  <c r="I11" i="137"/>
  <c r="I11" i="136"/>
  <c r="I12" i="132"/>
  <c r="N11" i="143"/>
  <c r="F11" i="143"/>
  <c r="E11" i="143"/>
  <c r="I15" i="132"/>
  <c r="N11" i="133"/>
  <c r="C18" i="140"/>
  <c r="F24" i="133"/>
  <c r="M24" i="133"/>
  <c r="E10" i="134" s="1"/>
  <c r="N23" i="133"/>
  <c r="N22" i="133"/>
  <c r="N20" i="133"/>
  <c r="N19" i="133"/>
  <c r="N18" i="133"/>
  <c r="N17" i="133"/>
  <c r="N16" i="133"/>
  <c r="M14" i="133"/>
  <c r="L14" i="133"/>
  <c r="K14" i="133"/>
  <c r="G14" i="133"/>
  <c r="F14" i="133"/>
  <c r="E14" i="133"/>
  <c r="D14" i="133"/>
  <c r="N13" i="133"/>
  <c r="N12" i="133"/>
  <c r="N10" i="133"/>
  <c r="N7" i="133"/>
  <c r="N6" i="133"/>
  <c r="N5" i="133"/>
  <c r="M8" i="133"/>
  <c r="L8" i="133"/>
  <c r="L21" i="133" s="1"/>
  <c r="L24" i="133" s="1"/>
  <c r="K8" i="133"/>
  <c r="K21" i="133" s="1"/>
  <c r="K24" i="133" s="1"/>
  <c r="G8" i="133"/>
  <c r="G21" i="133" s="1"/>
  <c r="G24" i="133" s="1"/>
  <c r="F8" i="133"/>
  <c r="E8" i="133"/>
  <c r="E24" i="133" s="1"/>
  <c r="D8" i="133"/>
  <c r="Y18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C2" i="143"/>
  <c r="B2" i="143"/>
  <c r="W5" i="143"/>
  <c r="V5" i="143"/>
  <c r="Y14" i="143"/>
  <c r="Y13" i="143"/>
  <c r="Y12" i="143"/>
  <c r="K13" i="142"/>
  <c r="F2" i="140"/>
  <c r="E2" i="140"/>
  <c r="G2" i="134"/>
  <c r="E2" i="134"/>
  <c r="E8" i="134" s="1"/>
  <c r="E2" i="137"/>
  <c r="O13" i="137" s="1"/>
  <c r="G2" i="137"/>
  <c r="E2" i="136"/>
  <c r="O13" i="136" s="1"/>
  <c r="G2" i="136"/>
  <c r="E2" i="132"/>
  <c r="G10" i="132" s="1"/>
  <c r="G2" i="132"/>
  <c r="K11" i="137"/>
  <c r="K11" i="136"/>
  <c r="K11" i="132"/>
  <c r="D2" i="137"/>
  <c r="N5" i="137" s="1"/>
  <c r="C2" i="137"/>
  <c r="M5" i="137" s="1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V21" i="143" l="1"/>
  <c r="V12" i="143"/>
  <c r="V20" i="143"/>
  <c r="B24" i="143" s="1"/>
  <c r="V19" i="143"/>
  <c r="B22" i="143" s="1"/>
  <c r="C21" i="143"/>
  <c r="C20" i="143"/>
  <c r="C18" i="143"/>
  <c r="C19" i="143"/>
  <c r="D20" i="143"/>
  <c r="D19" i="143"/>
  <c r="D18" i="143"/>
  <c r="V18" i="143"/>
  <c r="V16" i="143"/>
  <c r="V15" i="143"/>
  <c r="V17" i="143"/>
  <c r="X19" i="143"/>
  <c r="X21" i="143"/>
  <c r="X20" i="143"/>
  <c r="W12" i="143"/>
  <c r="M21" i="140"/>
  <c r="M20" i="140"/>
  <c r="V13" i="143"/>
  <c r="W13" i="143" s="1"/>
  <c r="V14" i="143"/>
  <c r="W14" i="143" s="1"/>
  <c r="L5" i="140"/>
  <c r="L17" i="140" s="1"/>
  <c r="L11" i="140"/>
  <c r="L23" i="140" s="1"/>
  <c r="M10" i="140"/>
  <c r="M8" i="140"/>
  <c r="M11" i="140"/>
  <c r="M9" i="140"/>
  <c r="M6" i="140"/>
  <c r="H10" i="132"/>
  <c r="G10" i="136"/>
  <c r="I11" i="146"/>
  <c r="Q12" i="146"/>
  <c r="X18" i="143"/>
  <c r="Q14" i="145"/>
  <c r="P12" i="146"/>
  <c r="P5" i="145"/>
  <c r="I13" i="145"/>
  <c r="H11" i="146"/>
  <c r="P14" i="145"/>
  <c r="P5" i="146"/>
  <c r="E11" i="146"/>
  <c r="M11" i="137"/>
  <c r="B11" i="137" s="1"/>
  <c r="H13" i="145"/>
  <c r="M13" i="137"/>
  <c r="B13" i="137" s="1"/>
  <c r="V6" i="143"/>
  <c r="H12" i="142"/>
  <c r="M11" i="132"/>
  <c r="B11" i="132" s="1"/>
  <c r="H10" i="137"/>
  <c r="O12" i="146"/>
  <c r="N12" i="146" s="1"/>
  <c r="B12" i="146" s="1"/>
  <c r="C12" i="146" s="1"/>
  <c r="W6" i="143"/>
  <c r="M13" i="136"/>
  <c r="B13" i="136" s="1"/>
  <c r="I12" i="142"/>
  <c r="D14" i="145"/>
  <c r="B14" i="145"/>
  <c r="X5" i="143"/>
  <c r="D14" i="136"/>
  <c r="D13" i="137"/>
  <c r="N21" i="140"/>
  <c r="M14" i="136"/>
  <c r="B14" i="136" s="1"/>
  <c r="M14" i="137"/>
  <c r="N14" i="137" s="1"/>
  <c r="N22" i="140"/>
  <c r="X12" i="143"/>
  <c r="D26" i="143"/>
  <c r="B17" i="140"/>
  <c r="C15" i="136"/>
  <c r="M15" i="137"/>
  <c r="B15" i="137" s="1"/>
  <c r="N13" i="137"/>
  <c r="O14" i="137"/>
  <c r="O14" i="132"/>
  <c r="D21" i="143"/>
  <c r="N17" i="140"/>
  <c r="G12" i="142"/>
  <c r="I10" i="136"/>
  <c r="O15" i="136"/>
  <c r="O12" i="136"/>
  <c r="M15" i="132"/>
  <c r="B15" i="132" s="1"/>
  <c r="K11" i="143"/>
  <c r="O14" i="136"/>
  <c r="O11" i="144"/>
  <c r="M12" i="136"/>
  <c r="B12" i="136" s="1"/>
  <c r="H10" i="136"/>
  <c r="I10" i="144"/>
  <c r="M11" i="144"/>
  <c r="B11" i="144" s="1"/>
  <c r="C22" i="140"/>
  <c r="M13" i="132"/>
  <c r="B22" i="140"/>
  <c r="D13" i="136"/>
  <c r="O5" i="136"/>
  <c r="H10" i="144"/>
  <c r="O11" i="136"/>
  <c r="M5" i="132"/>
  <c r="D12" i="132" s="1"/>
  <c r="M12" i="137"/>
  <c r="N12" i="137" s="1"/>
  <c r="M13" i="142"/>
  <c r="O5" i="144"/>
  <c r="N19" i="140"/>
  <c r="L7" i="140"/>
  <c r="L19" i="140" s="1"/>
  <c r="B18" i="140"/>
  <c r="O15" i="137"/>
  <c r="O5" i="132"/>
  <c r="O12" i="132"/>
  <c r="G10" i="137"/>
  <c r="D11" i="132"/>
  <c r="D12" i="137"/>
  <c r="D22" i="143"/>
  <c r="N20" i="140"/>
  <c r="M19" i="140"/>
  <c r="D14" i="143"/>
  <c r="D16" i="143"/>
  <c r="D24" i="143"/>
  <c r="M7" i="140"/>
  <c r="O11" i="132"/>
  <c r="I10" i="132"/>
  <c r="C15" i="137"/>
  <c r="D12" i="143"/>
  <c r="M5" i="140"/>
  <c r="N23" i="140"/>
  <c r="M12" i="132"/>
  <c r="X13" i="143"/>
  <c r="X14" i="143"/>
  <c r="N18" i="140"/>
  <c r="M17" i="140"/>
  <c r="M18" i="140"/>
  <c r="O13" i="132"/>
  <c r="O5" i="137"/>
  <c r="O15" i="132"/>
  <c r="M22" i="140"/>
  <c r="M14" i="132"/>
  <c r="N14" i="132" s="1"/>
  <c r="M15" i="136"/>
  <c r="N15" i="136" s="1"/>
  <c r="G10" i="134"/>
  <c r="I10" i="134"/>
  <c r="F10" i="134"/>
  <c r="H10" i="134"/>
  <c r="N14" i="133"/>
  <c r="N8" i="133"/>
  <c r="D24" i="133"/>
  <c r="E9" i="134" s="1"/>
  <c r="N21" i="133"/>
  <c r="N24" i="133" s="1"/>
  <c r="O11" i="143"/>
  <c r="O11" i="134"/>
  <c r="D12" i="146"/>
  <c r="M23" i="140"/>
  <c r="I10" i="137"/>
  <c r="O12" i="137"/>
  <c r="D14" i="137"/>
  <c r="D11" i="136"/>
  <c r="M11" i="136"/>
  <c r="O11" i="137"/>
  <c r="E16" i="140"/>
  <c r="L6" i="140"/>
  <c r="L18" i="140" s="1"/>
  <c r="I11" i="143"/>
  <c r="O12" i="134"/>
  <c r="O9" i="134"/>
  <c r="N14" i="136"/>
  <c r="W17" i="143" l="1"/>
  <c r="B20" i="143"/>
  <c r="W15" i="143"/>
  <c r="B18" i="143"/>
  <c r="W16" i="143"/>
  <c r="B19" i="143"/>
  <c r="D13" i="143"/>
  <c r="B8" i="147"/>
  <c r="D15" i="143"/>
  <c r="W19" i="143"/>
  <c r="W20" i="143"/>
  <c r="C12" i="143"/>
  <c r="B12" i="143"/>
  <c r="B20" i="140"/>
  <c r="B14" i="132"/>
  <c r="N11" i="144"/>
  <c r="N11" i="137"/>
  <c r="B15" i="136"/>
  <c r="D23" i="143"/>
  <c r="D17" i="143"/>
  <c r="B19" i="140"/>
  <c r="C19" i="140"/>
  <c r="C22" i="143"/>
  <c r="B21" i="143"/>
  <c r="C24" i="143"/>
  <c r="N11" i="132"/>
  <c r="B14" i="143"/>
  <c r="C20" i="140"/>
  <c r="N15" i="137"/>
  <c r="C14" i="143"/>
  <c r="B14" i="137"/>
  <c r="N15" i="132"/>
  <c r="D27" i="143"/>
  <c r="D25" i="143"/>
  <c r="N12" i="136"/>
  <c r="N13" i="136"/>
  <c r="D14" i="132"/>
  <c r="B23" i="140"/>
  <c r="D23" i="140"/>
  <c r="C23" i="140" s="1"/>
  <c r="B21" i="140"/>
  <c r="B12" i="137"/>
  <c r="C16" i="143"/>
  <c r="C26" i="143"/>
  <c r="D13" i="132"/>
  <c r="C15" i="132"/>
  <c r="N13" i="132"/>
  <c r="B13" i="132"/>
  <c r="B12" i="132"/>
  <c r="N12" i="132"/>
  <c r="N11" i="136"/>
  <c r="B11" i="136"/>
  <c r="W18" i="143" l="1"/>
  <c r="B26" i="143"/>
  <c r="W21" i="143"/>
  <c r="B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0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0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0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0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1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11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1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1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2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<sst xmlns="http://schemas.openxmlformats.org/spreadsheetml/2006/main" count="821" uniqueCount="233">
  <si>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</si>
  <si>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</si>
  <si>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</si>
  <si>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</si>
  <si>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</si>
  <si>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</si>
  <si>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</si>
  <si>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</si>
  <si>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</si>
  <si>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</si>
  <si>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</si>
  <si>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</si>
  <si>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</si>
  <si>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</si>
  <si>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</si>
  <si>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</si>
  <si>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</si>
  <si>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</si>
  <si>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</si>
  <si>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</si>
  <si>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</si>
  <si>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</si>
  <si>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</si>
  <si>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</si>
  <si>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</si>
  <si>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</si>
  <si>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</si>
  <si>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</si>
  <si>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</si>
  <si>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</si>
  <si>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</si>
  <si>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</si>
  <si>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</si>
  <si>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</si>
  <si>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</si>
  <si>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</si>
  <si>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</si>
  <si>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</si>
  <si>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</si>
  <si>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</si>
  <si>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</si>
  <si>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</si>
  <si>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</si>
  <si>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</si>
  <si>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</si>
  <si>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</si>
  <si>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</si>
  <si>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</si>
  <si>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</si>
  <si>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</si>
  <si>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</si>
  <si>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</si>
  <si>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</si>
  <si>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</si>
  <si>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</si>
  <si>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</si>
  <si>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</si>
  <si>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</si>
  <si>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</si>
  <si>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</si>
  <si>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</si>
  <si>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</si>
  <si>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</si>
  <si>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</si>
  <si>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</si>
  <si>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</si>
  <si>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</si>
  <si>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</si>
  <si>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</si>
  <si>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</si>
  <si>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</si>
  <si>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</si>
  <si>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</si>
  <si>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</si>
  <si>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</si>
  <si>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</si>
  <si>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</si>
  <si>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</si>
  <si>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</si>
  <si>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</si>
  <si>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</si>
  <si>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</si>
  <si>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</si>
  <si>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</si>
  <si>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</si>
  <si>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</si>
  <si>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</si>
  <si>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</si>
  <si>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</si>
  <si>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</si>
  <si>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</si>
  <si>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</si>
  <si>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</si>
  <si>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</si>
  <si>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</si>
  <si>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</si>
  <si>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</si>
  <si>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</si>
  <si>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</si>
  <si>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</si>
  <si>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</si>
  <si>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</si>
  <si>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</si>
  <si>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</si>
  <si>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</si>
  <si>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</si>
  <si>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</si>
  <si>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</si>
  <si>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</si>
  <si>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</si>
  <si>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</si>
  <si>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</si>
  <si>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</si>
  <si>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</si>
  <si>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</si>
  <si>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</si>
  <si>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</si>
  <si>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</si>
  <si>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</si>
  <si>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</si>
  <si>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</si>
  <si>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</si>
  <si>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</si>
  <si>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</si>
  <si>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</si>
  <si>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</si>
  <si>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</si>
  <si>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</si>
  <si>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</si>
  <si>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</si>
  <si>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</si>
  <si>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</si>
  <si>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</si>
  <si>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</si>
  <si>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</si>
  <si>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</si>
  <si>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</si>
  <si>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</si>
  <si>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</si>
  <si>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</si>
  <si>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</si>
  <si>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</si>
  <si>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</si>
  <si>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</si>
  <si>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</si>
  <si>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</si>
  <si>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</si>
  <si>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PRE</t>
  </si>
  <si>
    <t>Deafult unit</t>
  </si>
  <si>
    <t>Type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</si>
  <si>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</si>
  <si>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</si>
  <si>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</si>
  <si>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</si>
  <si>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</si>
  <si>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</si>
  <si>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</si>
  <si>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</si>
  <si>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</si>
  <si>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</si>
  <si>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</si>
  <si>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</si>
  <si>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</si>
  <si>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</si>
  <si>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</si>
  <si>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</si>
  <si>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</si>
  <si>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</si>
  <si>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</si>
  <si>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</si>
  <si>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</si>
  <si>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</si>
  <si>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</si>
  <si>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</si>
  <si>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</si>
  <si>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</si>
  <si>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</si>
  <si>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</si>
  <si>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</si>
  <si>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</si>
  <si>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</si>
  <si>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</si>
  <si>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</si>
  <si>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</si>
  <si>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</si>
  <si>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</si>
  <si>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</si>
  <si>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</si>
  <si>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</si>
  <si>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</si>
  <si>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</si>
  <si>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</si>
  <si>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</si>
  <si>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</si>
  <si>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</si>
  <si>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</si>
  <si>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</si>
  <si>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</si>
  <si>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</si>
  <si>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</si>
  <si>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</si>
  <si>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</si>
  <si>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</si>
  <si>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</si>
  <si>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</si>
  <si>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</si>
  <si>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</si>
  <si>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</si>
  <si>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</si>
  <si>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</si>
  <si>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</si>
  <si>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</si>
  <si>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Ktoe</t>
  </si>
  <si>
    <t>Conversion Unit</t>
  </si>
  <si>
    <t>Offshore</t>
  </si>
  <si>
    <t>M€2016</t>
  </si>
  <si>
    <t>BIO</t>
  </si>
  <si>
    <t>HYD</t>
  </si>
  <si>
    <t>SOL</t>
  </si>
  <si>
    <t>Biomass</t>
  </si>
  <si>
    <t>Hydro power</t>
  </si>
  <si>
    <t>Solar energy</t>
  </si>
  <si>
    <t>Domestic Supply of Biomass Step 1</t>
  </si>
  <si>
    <t>PJa</t>
  </si>
  <si>
    <t>Domestic Supply of Hydro power Step 1</t>
  </si>
  <si>
    <t>Domestic Supply of Solar energy Step 1</t>
  </si>
  <si>
    <t>Sector Fuel</t>
    <phoneticPr fontId="36" type="noConversion"/>
  </si>
  <si>
    <t>Dynamic coefficients for combustion emissions in power sector</t>
  </si>
  <si>
    <t>~COMEMI</t>
  </si>
  <si>
    <t>kt/PJ</t>
  </si>
  <si>
    <t>EURO</t>
    <phoneticPr fontId="36" type="noConversion"/>
  </si>
  <si>
    <t>USD</t>
    <phoneticPr fontId="36" type="noConversion"/>
  </si>
  <si>
    <t>DEM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</si>
</sst>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General_)"/>
    <numFmt numFmtId="168" formatCode="0.0"/>
    <numFmt numFmtId="169" formatCode="0.0000"/>
    <numFmt numFmtId="170" formatCode="0.000%"/>
    <numFmt numFmtId="171" formatCode="\Te\x\t"/>
    <numFmt numFmtId="172" formatCode="_ * #,##0.0_ ;_ * \-#,##0.0_ ;_ * &quot;-&quot;_ ;_ @_ 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  <family val="3"/>
      <charset val="129"/>
    </font>
    <font>
      <sz val="10"/>
      <color rgb="FF000000"/>
      <name val="Calibri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4"/>
      <color indexed="9"/>
      <name val="Arial"/>
      <family val="2"/>
    </font>
    <font>
      <sz val="10"/>
      <color theme="4"/>
      <name val="Arial"/>
      <family val="2"/>
    </font>
    <font>
      <sz val="10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5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  <xf numFmtId="164" fontId="35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" fillId="3" borderId="0" applyNumberFormat="0" applyBorder="0" applyAlignment="0" applyProtection="0"/>
    <xf numFmtId="0" fontId="2" fillId="0" borderId="0"/>
  </cellStyleXfs>
  <cellXfs count="239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0" borderId="0" xfId="12" applyAlignment="1">
      <alignment horizontal="right"/>
    </xf>
    <xf numFmtId="0" fontId="6" fillId="0" borderId="0" xfId="12" applyFont="1" applyAlignment="1">
      <alignment horizontal="left"/>
    </xf>
    <xf numFmtId="0" fontId="5" fillId="0" borderId="0" xfId="12" applyAlignment="1">
      <alignment horizontal="left"/>
    </xf>
    <xf numFmtId="0" fontId="0" fillId="0" borderId="2" xfId="0" applyBorder="1"/>
    <xf numFmtId="167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5" fillId="6" borderId="0" xfId="4"/>
    <xf numFmtId="0" fontId="20" fillId="0" borderId="0" xfId="7" applyFont="1" applyFill="1"/>
    <xf numFmtId="0" fontId="21" fillId="0" borderId="0" xfId="0" applyFont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0" fillId="11" borderId="0" xfId="7" applyFont="1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0"/>
    <xf numFmtId="0" fontId="5" fillId="0" borderId="0" xfId="10" applyAlignment="1">
      <alignment wrapText="1"/>
    </xf>
    <xf numFmtId="0" fontId="4" fillId="0" borderId="0" xfId="12" applyFont="1" applyAlignment="1">
      <alignment horizontal="right" vertical="center" wrapText="1"/>
    </xf>
    <xf numFmtId="1" fontId="5" fillId="0" borderId="0" xfId="10" applyNumberFormat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8" xfId="0" applyFont="1" applyBorder="1"/>
    <xf numFmtId="0" fontId="5" fillId="0" borderId="2" xfId="0" applyFont="1" applyBorder="1"/>
    <xf numFmtId="0" fontId="5" fillId="0" borderId="2" xfId="10" applyBorder="1"/>
    <xf numFmtId="0" fontId="22" fillId="12" borderId="3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28" fillId="0" borderId="0" xfId="0" applyFont="1"/>
    <xf numFmtId="0" fontId="20" fillId="11" borderId="0" xfId="7" applyFont="1" applyFill="1" applyAlignment="1">
      <alignment horizontal="left"/>
    </xf>
    <xf numFmtId="167" fontId="10" fillId="13" borderId="0" xfId="0" applyNumberFormat="1" applyFont="1" applyFill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7" fontId="10" fillId="15" borderId="0" xfId="0" applyNumberFormat="1" applyFont="1" applyFill="1" applyAlignment="1">
      <alignment horizontal="left" vertical="center"/>
    </xf>
    <xf numFmtId="0" fontId="0" fillId="16" borderId="0" xfId="0" applyFill="1"/>
    <xf numFmtId="167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1" fontId="4" fillId="15" borderId="0" xfId="0" applyNumberFormat="1" applyFont="1" applyFill="1"/>
    <xf numFmtId="1" fontId="4" fillId="15" borderId="2" xfId="0" applyNumberFormat="1" applyFont="1" applyFill="1" applyBorder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7" fontId="16" fillId="7" borderId="5" xfId="5" applyNumberFormat="1" applyBorder="1" applyAlignment="1">
      <alignment horizontal="right" vertical="center"/>
    </xf>
    <xf numFmtId="0" fontId="4" fillId="0" borderId="2" xfId="0" applyFont="1" applyBorder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7" fontId="10" fillId="16" borderId="6" xfId="0" applyNumberFormat="1" applyFont="1" applyFill="1" applyBorder="1" applyAlignment="1">
      <alignment horizontal="left" vertical="center"/>
    </xf>
    <xf numFmtId="167" fontId="10" fillId="16" borderId="12" xfId="0" applyNumberFormat="1" applyFont="1" applyFill="1" applyBorder="1" applyAlignment="1">
      <alignment horizontal="left" vertical="center"/>
    </xf>
    <xf numFmtId="167" fontId="10" fillId="15" borderId="6" xfId="0" applyNumberFormat="1" applyFont="1" applyFill="1" applyBorder="1" applyAlignment="1">
      <alignment horizontal="left" vertical="center"/>
    </xf>
    <xf numFmtId="167" fontId="10" fillId="15" borderId="12" xfId="0" applyNumberFormat="1" applyFont="1" applyFill="1" applyBorder="1" applyAlignment="1">
      <alignment horizontal="left" vertical="center"/>
    </xf>
    <xf numFmtId="167" fontId="10" fillId="15" borderId="7" xfId="0" applyNumberFormat="1" applyFont="1" applyFill="1" applyBorder="1" applyAlignment="1">
      <alignment horizontal="left" vertical="center"/>
    </xf>
    <xf numFmtId="167" fontId="10" fillId="15" borderId="9" xfId="0" applyNumberFormat="1" applyFont="1" applyFill="1" applyBorder="1" applyAlignment="1">
      <alignment horizontal="left" vertical="center"/>
    </xf>
    <xf numFmtId="167" fontId="10" fillId="15" borderId="10" xfId="0" applyNumberFormat="1" applyFont="1" applyFill="1" applyBorder="1" applyAlignment="1">
      <alignment horizontal="left" vertical="center"/>
    </xf>
    <xf numFmtId="167" fontId="10" fillId="15" borderId="1" xfId="0" applyNumberFormat="1" applyFont="1" applyFill="1" applyBorder="1" applyAlignment="1">
      <alignment horizontal="left" vertical="center"/>
    </xf>
    <xf numFmtId="167" fontId="10" fillId="15" borderId="13" xfId="0" applyNumberFormat="1" applyFont="1" applyFill="1" applyBorder="1" applyAlignment="1">
      <alignment horizontal="left" vertical="center"/>
    </xf>
    <xf numFmtId="167" fontId="10" fillId="15" borderId="14" xfId="0" applyNumberFormat="1" applyFont="1" applyFill="1" applyBorder="1" applyAlignment="1">
      <alignment horizontal="left" vertical="center"/>
    </xf>
    <xf numFmtId="167" fontId="10" fillId="15" borderId="15" xfId="0" applyNumberFormat="1" applyFont="1" applyFill="1" applyBorder="1" applyAlignment="1">
      <alignment horizontal="left" vertical="center"/>
    </xf>
    <xf numFmtId="167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7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7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5" fillId="16" borderId="0" xfId="0" applyNumberFormat="1" applyFont="1" applyFill="1"/>
    <xf numFmtId="1" fontId="0" fillId="16" borderId="8" xfId="0" applyNumberFormat="1" applyFill="1" applyBorder="1"/>
    <xf numFmtId="1" fontId="0" fillId="16" borderId="0" xfId="0" applyNumberFormat="1" applyFill="1"/>
    <xf numFmtId="0" fontId="5" fillId="16" borderId="0" xfId="10" applyFill="1"/>
    <xf numFmtId="2" fontId="5" fillId="16" borderId="0" xfId="10" applyNumberFormat="1" applyFill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21" fillId="0" borderId="0" xfId="10" applyFont="1"/>
    <xf numFmtId="2" fontId="5" fillId="0" borderId="0" xfId="10" applyNumberFormat="1"/>
    <xf numFmtId="1" fontId="5" fillId="17" borderId="0" xfId="10" applyNumberFormat="1" applyFill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66" fontId="5" fillId="16" borderId="0" xfId="10" applyNumberFormat="1" applyFill="1"/>
    <xf numFmtId="166" fontId="5" fillId="16" borderId="2" xfId="10" applyNumberFormat="1" applyFill="1" applyBorder="1"/>
    <xf numFmtId="170" fontId="16" fillId="0" borderId="0" xfId="17" applyNumberFormat="1" applyFont="1" applyFill="1" applyBorder="1" applyAlignment="1">
      <alignment horizontal="right"/>
    </xf>
    <xf numFmtId="166" fontId="5" fillId="0" borderId="0" xfId="10" applyNumberFormat="1"/>
    <xf numFmtId="169" fontId="5" fillId="0" borderId="0" xfId="10" applyNumberFormat="1"/>
    <xf numFmtId="171" fontId="6" fillId="0" borderId="0" xfId="0" applyNumberFormat="1" applyFont="1"/>
    <xf numFmtId="171" fontId="5" fillId="0" borderId="0" xfId="0" applyNumberFormat="1" applyFont="1"/>
    <xf numFmtId="171" fontId="4" fillId="2" borderId="1" xfId="0" applyNumberFormat="1" applyFont="1" applyFill="1" applyBorder="1" applyAlignment="1">
      <alignment horizontal="left"/>
    </xf>
    <xf numFmtId="171" fontId="4" fillId="2" borderId="4" xfId="0" applyNumberFormat="1" applyFont="1" applyFill="1" applyBorder="1" applyAlignment="1">
      <alignment horizontal="left"/>
    </xf>
    <xf numFmtId="171" fontId="22" fillId="3" borderId="3" xfId="1" applyNumberFormat="1" applyFont="1" applyBorder="1" applyAlignment="1">
      <alignment horizontal="left" wrapText="1"/>
    </xf>
    <xf numFmtId="171" fontId="0" fillId="0" borderId="0" xfId="0" applyNumberFormat="1"/>
    <xf numFmtId="171" fontId="22" fillId="3" borderId="3" xfId="1" applyNumberFormat="1" applyFont="1" applyBorder="1" applyAlignment="1">
      <alignment horizontal="center" wrapText="1"/>
    </xf>
    <xf numFmtId="171" fontId="0" fillId="0" borderId="0" xfId="0" applyNumberFormat="1" applyAlignment="1">
      <alignment wrapText="1"/>
    </xf>
    <xf numFmtId="171" fontId="5" fillId="0" borderId="0" xfId="10" applyNumberFormat="1"/>
    <xf numFmtId="171" fontId="6" fillId="0" borderId="0" xfId="10" applyNumberFormat="1" applyFont="1"/>
    <xf numFmtId="171" fontId="4" fillId="2" borderId="1" xfId="10" applyNumberFormat="1" applyFont="1" applyFill="1" applyBorder="1" applyAlignment="1">
      <alignment horizontal="left"/>
    </xf>
    <xf numFmtId="171" fontId="4" fillId="2" borderId="4" xfId="10" applyNumberFormat="1" applyFont="1" applyFill="1" applyBorder="1" applyAlignment="1">
      <alignment horizontal="left"/>
    </xf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/>
    <xf numFmtId="1" fontId="1" fillId="9" borderId="0" xfId="8" applyNumberFormat="1" applyFont="1" applyBorder="1" applyAlignment="1"/>
    <xf numFmtId="0" fontId="26" fillId="15" borderId="0" xfId="0" applyFont="1" applyFill="1"/>
    <xf numFmtId="1" fontId="26" fillId="15" borderId="2" xfId="0" applyNumberFormat="1" applyFont="1" applyFill="1" applyBorder="1"/>
    <xf numFmtId="1" fontId="26" fillId="16" borderId="0" xfId="0" applyNumberFormat="1" applyFont="1" applyFill="1"/>
    <xf numFmtId="0" fontId="26" fillId="16" borderId="0" xfId="0" applyFont="1" applyFill="1"/>
    <xf numFmtId="1" fontId="30" fillId="16" borderId="0" xfId="0" applyNumberFormat="1" applyFont="1" applyFill="1"/>
    <xf numFmtId="1" fontId="26" fillId="13" borderId="0" xfId="0" applyNumberFormat="1" applyFont="1" applyFill="1"/>
    <xf numFmtId="1" fontId="30" fillId="13" borderId="0" xfId="0" applyNumberFormat="1" applyFont="1" applyFill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/>
    <xf numFmtId="171" fontId="21" fillId="0" borderId="0" xfId="0" applyNumberFormat="1" applyFont="1"/>
    <xf numFmtId="171" fontId="21" fillId="0" borderId="0" xfId="0" applyNumberFormat="1" applyFont="1" applyAlignment="1">
      <alignment wrapText="1"/>
    </xf>
    <xf numFmtId="166" fontId="31" fillId="9" borderId="9" xfId="8" applyNumberFormat="1" applyFont="1" applyBorder="1" applyAlignment="1"/>
    <xf numFmtId="166" fontId="31" fillId="9" borderId="10" xfId="8" applyNumberFormat="1" applyFont="1" applyBorder="1" applyAlignment="1"/>
    <xf numFmtId="166" fontId="31" fillId="9" borderId="1" xfId="8" applyNumberFormat="1" applyFont="1" applyBorder="1" applyAlignment="1"/>
    <xf numFmtId="166" fontId="31" fillId="9" borderId="0" xfId="8" applyNumberFormat="1" applyFont="1" applyBorder="1" applyAlignment="1"/>
    <xf numFmtId="1" fontId="31" fillId="9" borderId="0" xfId="8" applyNumberFormat="1" applyFont="1" applyBorder="1" applyAlignment="1"/>
    <xf numFmtId="168" fontId="16" fillId="7" borderId="21" xfId="5" applyNumberFormat="1" applyBorder="1" applyAlignment="1">
      <alignment horizontal="right"/>
    </xf>
    <xf numFmtId="166" fontId="21" fillId="13" borderId="0" xfId="0" applyNumberFormat="1" applyFont="1" applyFill="1"/>
    <xf numFmtId="166" fontId="21" fillId="15" borderId="0" xfId="0" applyNumberFormat="1" applyFont="1" applyFill="1"/>
    <xf numFmtId="166" fontId="21" fillId="15" borderId="2" xfId="0" applyNumberFormat="1" applyFont="1" applyFill="1" applyBorder="1"/>
    <xf numFmtId="166" fontId="21" fillId="16" borderId="0" xfId="0" applyNumberFormat="1" applyFont="1" applyFill="1"/>
    <xf numFmtId="0" fontId="21" fillId="16" borderId="0" xfId="0" applyFont="1" applyFill="1"/>
    <xf numFmtId="166" fontId="0" fillId="15" borderId="2" xfId="0" applyNumberFormat="1" applyFill="1" applyBorder="1"/>
    <xf numFmtId="0" fontId="32" fillId="0" borderId="0" xfId="0" applyFont="1"/>
    <xf numFmtId="1" fontId="21" fillId="17" borderId="0" xfId="0" applyNumberFormat="1" applyFont="1" applyFill="1"/>
    <xf numFmtId="172" fontId="34" fillId="0" borderId="0" xfId="28" applyNumberFormat="1" applyFont="1" applyAlignment="1">
      <alignment vertical="center"/>
    </xf>
    <xf numFmtId="171" fontId="32" fillId="0" borderId="0" xfId="0" applyNumberFormat="1" applyFont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/>
    <xf numFmtId="0" fontId="32" fillId="16" borderId="0" xfId="9" applyFont="1" applyFill="1"/>
    <xf numFmtId="0" fontId="32" fillId="0" borderId="0" xfId="10" applyFont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  <xf numFmtId="2" fontId="5" fillId="17" borderId="0" xfId="10" applyNumberFormat="1" applyFill="1"/>
    <xf numFmtId="166" fontId="26" fillId="13" borderId="0" xfId="0" applyNumberFormat="1" applyFont="1" applyFill="1"/>
    <xf numFmtId="0" fontId="4" fillId="14" borderId="4" xfId="0" applyFont="1" applyFill="1" applyBorder="1" applyAlignment="1">
      <alignment wrapText="1"/>
    </xf>
    <xf numFmtId="1" fontId="0" fillId="13" borderId="0" xfId="0" applyNumberFormat="1" applyFill="1"/>
    <xf numFmtId="166" fontId="0" fillId="13" borderId="0" xfId="0" applyNumberFormat="1" applyFill="1"/>
    <xf numFmtId="166" fontId="16" fillId="7" borderId="21" xfId="5" applyNumberFormat="1" applyBorder="1" applyAlignment="1">
      <alignment horizontal="right"/>
    </xf>
    <xf numFmtId="166" fontId="0" fillId="0" borderId="2" xfId="0" applyNumberFormat="1" applyBorder="1"/>
    <xf numFmtId="166" fontId="0" fillId="16" borderId="0" xfId="0" applyNumberFormat="1" applyFill="1"/>
    <xf numFmtId="166" fontId="0" fillId="15" borderId="0" xfId="0" applyNumberFormat="1" applyFill="1"/>
    <xf numFmtId="166" fontId="16" fillId="7" borderId="4" xfId="5" applyNumberFormat="1" applyBorder="1" applyAlignment="1">
      <alignment horizontal="right"/>
    </xf>
    <xf numFmtId="0" fontId="37" fillId="19" borderId="0" xfId="30" quotePrefix="1" applyFont="1" applyFill="1"/>
    <xf numFmtId="0" fontId="2" fillId="0" borderId="0" xfId="30"/>
    <xf numFmtId="0" fontId="37" fillId="0" borderId="0" xfId="30" quotePrefix="1" applyFont="1"/>
    <xf numFmtId="0" fontId="6" fillId="0" borderId="0" xfId="30" applyFont="1" applyAlignment="1">
      <alignment horizontal="left"/>
    </xf>
    <xf numFmtId="0" fontId="37" fillId="0" borderId="0" xfId="30" applyFont="1"/>
    <xf numFmtId="0" fontId="4" fillId="2" borderId="3" xfId="31" applyFont="1" applyFill="1" applyBorder="1" applyAlignment="1">
      <alignment horizontal="left" vertical="center"/>
    </xf>
    <xf numFmtId="0" fontId="4" fillId="0" borderId="0" xfId="31" applyFont="1" applyAlignment="1">
      <alignment horizontal="left" vertical="center"/>
    </xf>
    <xf numFmtId="0" fontId="22" fillId="3" borderId="3" xfId="32" applyFont="1" applyBorder="1" applyAlignment="1">
      <alignment horizontal="left" wrapText="1"/>
    </xf>
    <xf numFmtId="0" fontId="22" fillId="0" borderId="0" xfId="32" applyFont="1" applyFill="1" applyBorder="1" applyAlignment="1">
      <alignment horizontal="left" wrapText="1"/>
    </xf>
    <xf numFmtId="0" fontId="2" fillId="0" borderId="0" xfId="33"/>
    <xf numFmtId="2" fontId="2" fillId="16" borderId="0" xfId="30" applyNumberFormat="1" applyFill="1"/>
    <xf numFmtId="2" fontId="2" fillId="0" borderId="0" xfId="30" applyNumberFormat="1"/>
    <xf numFmtId="0" fontId="2" fillId="16" borderId="0" xfId="30" applyFill="1"/>
    <xf numFmtId="0" fontId="2" fillId="17" borderId="0" xfId="30" applyFill="1"/>
    <xf numFmtId="0" fontId="2" fillId="0" borderId="0" xfId="10" applyFont="1"/>
    <xf numFmtId="2" fontId="38" fillId="16" borderId="0" xfId="10" applyNumberFormat="1" applyFont="1" applyFill="1"/>
    <xf numFmtId="164" fontId="38" fillId="16" borderId="0" xfId="29" applyFont="1" applyFill="1" applyAlignment="1"/>
    <xf numFmtId="1" fontId="38" fillId="16" borderId="0" xfId="10" applyNumberFormat="1" applyFont="1" applyFill="1"/>
    <xf numFmtId="166" fontId="38" fillId="16" borderId="0" xfId="10" applyNumberFormat="1" applyFont="1" applyFill="1"/>
    <xf numFmtId="2" fontId="26" fillId="12" borderId="0" xfId="2" applyNumberFormat="1" applyFont="1" applyFill="1" applyBorder="1" applyAlignment="1">
      <alignment horizontal="right" wrapText="1"/>
    </xf>
    <xf numFmtId="2" fontId="26" fillId="12" borderId="2" xfId="2" applyNumberFormat="1" applyFont="1" applyFill="1" applyBorder="1" applyAlignment="1">
      <alignment horizontal="right" wrapText="1"/>
    </xf>
    <xf numFmtId="2" fontId="38" fillId="12" borderId="0" xfId="2" applyNumberFormat="1" applyFont="1" applyFill="1" applyBorder="1" applyAlignment="1">
      <alignment horizontal="right" wrapText="1"/>
    </xf>
    <xf numFmtId="2" fontId="38" fillId="16" borderId="0" xfId="0" applyNumberFormat="1" applyFont="1" applyFill="1"/>
    <xf numFmtId="9" fontId="38" fillId="16" borderId="2" xfId="17" applyFont="1" applyFill="1" applyBorder="1"/>
    <xf numFmtId="171" fontId="2" fillId="0" borderId="0" xfId="10" applyNumberFormat="1" applyFont="1"/>
    <xf numFmtId="171" fontId="39" fillId="0" borderId="0" xfId="10" applyNumberFormat="1" applyFont="1"/>
    <xf numFmtId="0" fontId="39" fillId="0" borderId="0" xfId="10" applyFont="1"/>
    <xf numFmtId="1" fontId="39" fillId="0" borderId="0" xfId="10" applyNumberFormat="1" applyFont="1"/>
    <xf numFmtId="2" fontId="39" fillId="16" borderId="0" xfId="10" applyNumberFormat="1" applyFont="1" applyFill="1"/>
    <xf numFmtId="0" fontId="39" fillId="16" borderId="0" xfId="10" applyFont="1" applyFill="1"/>
    <xf numFmtId="0" fontId="39" fillId="0" borderId="0" xfId="10" applyFont="1" applyAlignment="1">
      <alignment wrapText="1"/>
    </xf>
  </cellXfs>
  <cellStyles count="34">
    <cellStyle name="20% - Accent5" xfId="1" builtinId="46"/>
    <cellStyle name="20% - 강조색5 2" xfId="32" xr:uid="{1C0A76D1-CC5B-4474-A4F5-8CE7D2E91D11}"/>
    <cellStyle name="40% - Accent3" xfId="2" builtinId="39"/>
    <cellStyle name="60% - Accent2" xfId="3" builtinId="36"/>
    <cellStyle name="Accent2" xfId="4" builtinId="33"/>
    <cellStyle name="Calculation" xfId="5" builtinId="22"/>
    <cellStyle name="Comma [0]" xfId="29" builtinId="6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10 2" xfId="33" xr:uid="{4BC93695-BE22-4397-B6C9-ECF8CA67A12C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4 3" xfId="31" xr:uid="{C598C025-6766-40AA-B773-5B61697049FD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  <cellStyle name="표준 2" xfId="28" xr:uid="{00000000-0005-0000-0000-00001C000000}"/>
    <cellStyle name="표준 3" xfId="30" xr:uid="{4A85BAAD-724F-49D7-970A-71E46396D3B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13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33</xdr:row>
      <xdr:rowOff>168064</xdr:rowOff>
    </xdr:from>
    <xdr:to>
      <xdr:col>15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16</xdr:row>
      <xdr:rowOff>144780</xdr:rowOff>
    </xdr:from>
    <xdr:to>
      <xdr:col>17</xdr:col>
      <xdr:colOff>57254</xdr:colOff>
      <xdr:row>21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260350</xdr:colOff>
      <xdr:row>15</xdr:row>
      <xdr:rowOff>50726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E28161-7791-4DD1-8B3C-5814988CCCBF}"/>
            </a:ext>
          </a:extLst>
        </xdr:cNvPr>
        <xdr:cNvSpPr txBox="1"/>
      </xdr:nvSpPr>
      <xdr:spPr>
        <a:xfrm>
          <a:off x="609600" y="2124075"/>
          <a:ext cx="4314825" cy="5333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17</xdr:row>
      <xdr:rowOff>9525</xdr:rowOff>
    </xdr:from>
    <xdr:to>
      <xdr:col>13</xdr:col>
      <xdr:colOff>2695515</xdr:colOff>
      <xdr:row>22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26</xdr:row>
      <xdr:rowOff>19050</xdr:rowOff>
    </xdr:from>
    <xdr:to>
      <xdr:col>12</xdr:col>
      <xdr:colOff>17145</xdr:colOff>
      <xdr:row>32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24</xdr:row>
      <xdr:rowOff>11854</xdr:rowOff>
    </xdr:from>
    <xdr:to>
      <xdr:col>26</xdr:col>
      <xdr:colOff>38080</xdr:colOff>
      <xdr:row>30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10</xdr:col>
      <xdr:colOff>552855</xdr:colOff>
      <xdr:row>38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won/OneDrive/Desktop/For%202024/University/1.%20&#49688;&#50629;/2.%20&#51200;&#53444;&#49548;&#44592;&#49696;&#44284;&#50640;&#45320;&#51648;&#44592;&#49696;&#51221;&#52293;/2.%20&#45936;&#47784;%20&#50672;&#49845;/VEDA-TIMES%20Demo%20Models/VEDA-TIMES%20Demo%20Models/ETSAP_DemoS_VFE/DemoS_009/VT_REG1_PRI_V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won/OneDrive/Desktop/For%202024/University/1.%20&#49688;&#50629;/2.%20&#51200;&#53444;&#49548;&#44592;&#49696;&#44284;&#50640;&#45320;&#51648;&#44592;&#49696;&#51221;&#52293;/2.%20&#45936;&#47784;%20&#50672;&#49845;/VEDA-TIMES%20Demo%20Models/VEDA-TIMES%20Demo%20Models/ETSAP_DemoS_VFE/DemoS_009/VT_REG1_ELC_V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Z2" t="str">
            <v>PJ</v>
          </cell>
        </row>
        <row r="3">
          <cell r="O3" t="str">
            <v>Biomass</v>
          </cell>
          <cell r="P3" t="str">
            <v>Hydro power</v>
          </cell>
          <cell r="R3" t="str">
            <v>Solar energy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Con_ELC"/>
      <sheetName val="Emi"/>
    </sheetNames>
    <sheetDataSet>
      <sheetData sheetId="0">
        <row r="3">
          <cell r="O3" t="str">
            <v>Biomass</v>
          </cell>
          <cell r="P3" t="str">
            <v>Hydro power</v>
          </cell>
          <cell r="R3" t="str">
            <v>Solar energy</v>
          </cell>
        </row>
      </sheetData>
      <sheetData sheetId="1"/>
      <sheetData sheetId="2">
        <row r="5">
          <cell r="L5" t="str">
            <v>ELCCOA</v>
          </cell>
        </row>
        <row r="6">
          <cell r="L6" t="str">
            <v>ELCGAS</v>
          </cell>
        </row>
        <row r="7">
          <cell r="L7" t="str">
            <v>ELCOIL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7"/>
  <sheetViews>
    <sheetView zoomScaleNormal="100" workbookViewId="0">
      <selection activeCell="F7" sqref="F7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3" width="13" customWidth="1"/>
    <col min="14" max="15" width="10.88671875" customWidth="1"/>
    <col min="16" max="16" width="12.5546875" bestFit="1" customWidth="1"/>
    <col min="17" max="17" width="2" bestFit="1" customWidth="1"/>
    <col min="18" max="18" width="12.33203125" bestFit="1" customWidth="1"/>
    <col min="20" max="20" width="6.6640625" bestFit="1" customWidth="1"/>
    <col min="21" max="21" width="9.33203125" bestFit="1" customWidth="1"/>
    <col min="22" max="22" width="2" bestFit="1" customWidth="1"/>
  </cols>
  <sheetData>
    <row r="1" spans="2:21">
      <c r="R1" s="25" t="s">
        <v>116</v>
      </c>
      <c r="S1" s="1" t="s">
        <v>117</v>
      </c>
      <c r="T1" s="1" t="s">
        <v>118</v>
      </c>
      <c r="U1" s="1" t="s">
        <v>138</v>
      </c>
    </row>
    <row r="2" spans="2:21" ht="15.6">
      <c r="D2" s="53" t="s">
        <v>47</v>
      </c>
      <c r="E2" s="53" t="s">
        <v>48</v>
      </c>
      <c r="F2" s="53" t="s">
        <v>49</v>
      </c>
      <c r="G2" s="53" t="s">
        <v>50</v>
      </c>
      <c r="H2" s="53" t="s">
        <v>216</v>
      </c>
      <c r="I2" s="53" t="s">
        <v>217</v>
      </c>
      <c r="J2" s="53" t="s">
        <v>218</v>
      </c>
      <c r="K2" s="53" t="s">
        <v>51</v>
      </c>
      <c r="L2" s="53" t="s">
        <v>52</v>
      </c>
      <c r="M2" s="53" t="s">
        <v>53</v>
      </c>
      <c r="N2" s="34"/>
      <c r="S2" s="51" t="s">
        <v>215</v>
      </c>
      <c r="T2" s="14" t="s">
        <v>95</v>
      </c>
      <c r="U2" s="14" t="s">
        <v>139</v>
      </c>
    </row>
    <row r="3" spans="2:21" ht="26.4">
      <c r="C3" s="8"/>
      <c r="D3" s="54" t="s">
        <v>54</v>
      </c>
      <c r="E3" s="54" t="s">
        <v>55</v>
      </c>
      <c r="F3" s="54" t="s">
        <v>210</v>
      </c>
      <c r="G3" s="54" t="s">
        <v>56</v>
      </c>
      <c r="H3" s="200" t="s">
        <v>219</v>
      </c>
      <c r="I3" s="200" t="s">
        <v>220</v>
      </c>
      <c r="J3" s="200" t="s">
        <v>221</v>
      </c>
      <c r="K3" s="54" t="s">
        <v>57</v>
      </c>
      <c r="L3" s="54" t="s">
        <v>58</v>
      </c>
      <c r="M3" s="54" t="s">
        <v>109</v>
      </c>
      <c r="N3" s="49" t="s">
        <v>59</v>
      </c>
    </row>
    <row r="4" spans="2:21">
      <c r="C4" s="9" t="s">
        <v>60</v>
      </c>
      <c r="G4" s="8"/>
      <c r="H4" s="8"/>
      <c r="I4" s="8"/>
      <c r="J4" s="8"/>
      <c r="K4" s="8"/>
      <c r="L4" s="8"/>
      <c r="M4" s="8"/>
      <c r="N4" s="8"/>
    </row>
    <row r="5" spans="2:21" ht="14.4">
      <c r="B5" s="55" t="s">
        <v>61</v>
      </c>
      <c r="C5" s="52" t="s">
        <v>62</v>
      </c>
      <c r="D5" s="173">
        <v>8.75</v>
      </c>
      <c r="E5" s="175">
        <v>689.39800000000002</v>
      </c>
      <c r="F5" s="175">
        <v>25.414000000000001</v>
      </c>
      <c r="G5" s="163">
        <v>0</v>
      </c>
      <c r="H5" s="202">
        <v>379.70089199999398</v>
      </c>
      <c r="I5" s="202">
        <v>43.668323999999259</v>
      </c>
      <c r="J5" s="202">
        <v>4.1867999999999288E-2</v>
      </c>
      <c r="K5" s="163">
        <v>0</v>
      </c>
      <c r="L5" s="163">
        <v>0</v>
      </c>
      <c r="M5" s="163">
        <v>0</v>
      </c>
      <c r="N5" s="164">
        <f>SUM(D5:M5)</f>
        <v>1146.9730839999934</v>
      </c>
      <c r="R5" s="10"/>
    </row>
    <row r="6" spans="2:21" ht="14.4">
      <c r="B6" s="55" t="s">
        <v>63</v>
      </c>
      <c r="C6" s="52" t="s">
        <v>64</v>
      </c>
      <c r="D6" s="174">
        <v>8.7089999999999996</v>
      </c>
      <c r="E6" s="177">
        <v>0</v>
      </c>
      <c r="F6" s="177">
        <v>0</v>
      </c>
      <c r="G6" s="163">
        <v>0</v>
      </c>
      <c r="H6" s="201">
        <v>0</v>
      </c>
      <c r="I6" s="201">
        <v>0</v>
      </c>
      <c r="J6" s="201">
        <v>0</v>
      </c>
      <c r="K6" s="199">
        <v>7.0000000000000001E-3</v>
      </c>
      <c r="L6" s="199">
        <v>0.153</v>
      </c>
      <c r="M6" s="163">
        <v>0</v>
      </c>
      <c r="N6" s="164">
        <f>SUM(D6:M6)</f>
        <v>8.8689999999999998</v>
      </c>
    </row>
    <row r="7" spans="2:21" ht="14.4">
      <c r="B7" s="55" t="s">
        <v>65</v>
      </c>
      <c r="C7" s="52" t="s">
        <v>66</v>
      </c>
      <c r="D7" s="174">
        <v>-0.16700000000000001</v>
      </c>
      <c r="E7" s="176">
        <v>-537.33399999999995</v>
      </c>
      <c r="F7" s="176">
        <v>-6.1130000000000004</v>
      </c>
      <c r="G7" s="163">
        <v>0</v>
      </c>
      <c r="H7" s="201">
        <v>0</v>
      </c>
      <c r="I7" s="201">
        <v>0</v>
      </c>
      <c r="J7" s="201">
        <v>0</v>
      </c>
      <c r="K7" s="163">
        <v>0</v>
      </c>
      <c r="L7" s="163">
        <v>-0.129</v>
      </c>
      <c r="M7" s="179">
        <v>8.5830000000000002</v>
      </c>
      <c r="N7" s="164">
        <f>SUM(D7:M7)</f>
        <v>-535.16000000000008</v>
      </c>
      <c r="R7" s="10"/>
    </row>
    <row r="8" spans="2:21" ht="14.4">
      <c r="B8" s="125" t="s">
        <v>204</v>
      </c>
      <c r="C8" s="68" t="s">
        <v>205</v>
      </c>
      <c r="D8" s="70">
        <f t="shared" ref="D8:N8" si="0">SUM(D5:D7)</f>
        <v>17.291999999999998</v>
      </c>
      <c r="E8" s="71">
        <f t="shared" si="0"/>
        <v>152.06400000000008</v>
      </c>
      <c r="F8" s="178">
        <f t="shared" si="0"/>
        <v>19.301000000000002</v>
      </c>
      <c r="G8" s="71">
        <f t="shared" si="0"/>
        <v>0</v>
      </c>
      <c r="H8" s="203">
        <f>SUM(H5:H7)</f>
        <v>379.70089199999398</v>
      </c>
      <c r="I8" s="203">
        <f>SUM(I5:I7)</f>
        <v>43.668323999999259</v>
      </c>
      <c r="J8" s="203">
        <f>SUM(J5:J7)</f>
        <v>4.1867999999999288E-2</v>
      </c>
      <c r="K8" s="71">
        <f t="shared" si="0"/>
        <v>7.0000000000000001E-3</v>
      </c>
      <c r="L8" s="71">
        <f t="shared" si="0"/>
        <v>2.3999999999999994E-2</v>
      </c>
      <c r="M8" s="71">
        <f t="shared" si="0"/>
        <v>8.5830000000000002</v>
      </c>
      <c r="N8" s="72">
        <f t="shared" si="0"/>
        <v>620.68208399999321</v>
      </c>
    </row>
    <row r="9" spans="2:21">
      <c r="B9" s="50"/>
      <c r="C9" s="9" t="s">
        <v>67</v>
      </c>
      <c r="D9" s="8"/>
      <c r="E9" s="8"/>
      <c r="F9" s="8"/>
      <c r="G9" s="8"/>
      <c r="H9" s="204"/>
      <c r="I9" s="204"/>
      <c r="J9" s="204"/>
      <c r="K9" s="8"/>
      <c r="L9" s="8"/>
      <c r="M9" s="8"/>
      <c r="N9" s="69"/>
    </row>
    <row r="10" spans="2:21">
      <c r="B10" s="55" t="s">
        <v>68</v>
      </c>
      <c r="C10" s="74" t="s">
        <v>69</v>
      </c>
      <c r="D10" s="160">
        <v>0</v>
      </c>
      <c r="E10" s="182">
        <v>-18.045000000000002</v>
      </c>
      <c r="F10" s="160">
        <v>0</v>
      </c>
      <c r="G10" s="160">
        <v>0</v>
      </c>
      <c r="H10" s="102">
        <v>0</v>
      </c>
      <c r="I10" s="102">
        <v>0</v>
      </c>
      <c r="J10" s="102">
        <v>0</v>
      </c>
      <c r="K10" s="160">
        <v>0</v>
      </c>
      <c r="L10" s="161">
        <v>0</v>
      </c>
      <c r="M10" s="183">
        <v>-9.0429999999999993</v>
      </c>
      <c r="N10" s="162">
        <f>SUM(D10:M10)</f>
        <v>-27.088000000000001</v>
      </c>
      <c r="O10" s="13"/>
    </row>
    <row r="11" spans="2:21" ht="14.4">
      <c r="B11" s="55" t="s">
        <v>53</v>
      </c>
      <c r="C11" s="75" t="s">
        <v>70</v>
      </c>
      <c r="D11" s="157">
        <v>0</v>
      </c>
      <c r="E11" s="176">
        <v>-114.3</v>
      </c>
      <c r="F11" s="157">
        <v>0</v>
      </c>
      <c r="G11" s="157">
        <v>0</v>
      </c>
      <c r="H11" s="102">
        <v>0</v>
      </c>
      <c r="I11" s="205">
        <v>-43.668323999999302</v>
      </c>
      <c r="J11" s="205">
        <v>-4.1867999999999288E-2</v>
      </c>
      <c r="K11" s="160">
        <v>0</v>
      </c>
      <c r="L11" s="160">
        <v>0</v>
      </c>
      <c r="M11" s="176">
        <v>72.933999999999997</v>
      </c>
      <c r="N11" s="162">
        <f>SUM(D11:M11)</f>
        <v>-85.07619199999931</v>
      </c>
      <c r="O11" s="13"/>
    </row>
    <row r="12" spans="2:21">
      <c r="B12" s="55" t="s">
        <v>71</v>
      </c>
      <c r="C12" s="75" t="s">
        <v>72</v>
      </c>
      <c r="D12" s="160">
        <v>0</v>
      </c>
      <c r="E12" s="160">
        <v>0</v>
      </c>
      <c r="F12" s="160">
        <v>0</v>
      </c>
      <c r="G12" s="160">
        <v>0</v>
      </c>
      <c r="H12" s="102">
        <v>0</v>
      </c>
      <c r="I12" s="102">
        <v>0</v>
      </c>
      <c r="J12" s="102">
        <v>0</v>
      </c>
      <c r="K12" s="160">
        <v>0</v>
      </c>
      <c r="L12" s="160">
        <v>0</v>
      </c>
      <c r="M12" s="160">
        <v>0</v>
      </c>
      <c r="N12" s="162">
        <f>SUM(D12:M12)</f>
        <v>0</v>
      </c>
      <c r="O12" s="13"/>
    </row>
    <row r="13" spans="2:21">
      <c r="B13" s="55" t="s">
        <v>73</v>
      </c>
      <c r="C13" s="75" t="s">
        <v>74</v>
      </c>
      <c r="D13" s="161"/>
      <c r="E13" s="161"/>
      <c r="F13" s="182">
        <v>-17.050999999999998</v>
      </c>
      <c r="G13" s="161"/>
      <c r="H13" s="102">
        <v>0</v>
      </c>
      <c r="I13" s="102">
        <v>0</v>
      </c>
      <c r="J13" s="102">
        <v>0</v>
      </c>
      <c r="K13" s="161"/>
      <c r="L13" s="161"/>
      <c r="M13" s="161"/>
      <c r="N13" s="162">
        <f>SUM(D13:M13)</f>
        <v>-17.050999999999998</v>
      </c>
      <c r="O13" s="13"/>
    </row>
    <row r="14" spans="2:21" ht="14.4">
      <c r="B14" s="50"/>
      <c r="C14" s="68" t="s">
        <v>75</v>
      </c>
      <c r="D14" s="73">
        <f t="shared" ref="D14:N14" si="1">SUM(D10:D13)</f>
        <v>0</v>
      </c>
      <c r="E14" s="71">
        <f t="shared" si="1"/>
        <v>-132.345</v>
      </c>
      <c r="F14" s="71">
        <f t="shared" si="1"/>
        <v>-17.050999999999998</v>
      </c>
      <c r="G14" s="71">
        <f t="shared" si="1"/>
        <v>0</v>
      </c>
      <c r="H14" s="203">
        <f t="shared" ref="H14:J14" si="2">SUM(H10:H13)</f>
        <v>0</v>
      </c>
      <c r="I14" s="203">
        <f t="shared" si="2"/>
        <v>-43.668323999999302</v>
      </c>
      <c r="J14" s="203">
        <f t="shared" si="2"/>
        <v>-4.1867999999999288E-2</v>
      </c>
      <c r="K14" s="71">
        <f t="shared" si="1"/>
        <v>0</v>
      </c>
      <c r="L14" s="71">
        <f t="shared" si="1"/>
        <v>0</v>
      </c>
      <c r="M14" s="71">
        <f t="shared" si="1"/>
        <v>63.890999999999998</v>
      </c>
      <c r="N14" s="72">
        <f t="shared" si="1"/>
        <v>-129.21519199999929</v>
      </c>
    </row>
    <row r="15" spans="2:21">
      <c r="B15" s="50"/>
      <c r="C15" s="9" t="s">
        <v>76</v>
      </c>
      <c r="D15" s="8"/>
      <c r="E15" s="8"/>
      <c r="F15" s="8"/>
      <c r="G15" s="8"/>
      <c r="H15" s="204"/>
      <c r="I15" s="204"/>
      <c r="J15" s="204"/>
      <c r="K15" s="8"/>
      <c r="L15" s="8"/>
      <c r="M15" s="8"/>
      <c r="N15" s="69"/>
    </row>
    <row r="16" spans="2:21" ht="14.4">
      <c r="B16" s="55" t="s">
        <v>77</v>
      </c>
      <c r="C16" s="76" t="s">
        <v>78</v>
      </c>
      <c r="D16" s="156">
        <v>0</v>
      </c>
      <c r="E16" s="157">
        <v>0</v>
      </c>
      <c r="F16" s="156">
        <v>0</v>
      </c>
      <c r="G16" s="158">
        <v>0</v>
      </c>
      <c r="H16" s="206">
        <v>153.27874799999739</v>
      </c>
      <c r="I16" s="59">
        <v>0</v>
      </c>
      <c r="J16" s="59">
        <v>0</v>
      </c>
      <c r="K16" s="156">
        <v>0</v>
      </c>
      <c r="L16" s="59">
        <v>0</v>
      </c>
      <c r="M16" s="180">
        <v>27.256</v>
      </c>
      <c r="N16" s="61">
        <f t="shared" ref="N16:N23" si="3">SUM(D16:M16)</f>
        <v>180.53474799999739</v>
      </c>
    </row>
    <row r="17" spans="2:16">
      <c r="B17" s="55" t="s">
        <v>79</v>
      </c>
      <c r="C17" s="77" t="s">
        <v>80</v>
      </c>
      <c r="D17" s="156">
        <v>0</v>
      </c>
      <c r="E17" s="156">
        <v>0</v>
      </c>
      <c r="F17" s="156">
        <v>0</v>
      </c>
      <c r="G17" s="158">
        <v>0</v>
      </c>
      <c r="H17" s="206">
        <v>110.23844399999813</v>
      </c>
      <c r="I17" s="59">
        <v>0</v>
      </c>
      <c r="J17" s="59">
        <v>0</v>
      </c>
      <c r="K17" s="156">
        <v>0</v>
      </c>
      <c r="L17" s="59">
        <v>0</v>
      </c>
      <c r="M17" s="180">
        <v>10.866</v>
      </c>
      <c r="N17" s="61">
        <f t="shared" si="3"/>
        <v>121.10444399999813</v>
      </c>
    </row>
    <row r="18" spans="2:16">
      <c r="B18" s="55" t="s">
        <v>81</v>
      </c>
      <c r="C18" s="77" t="s">
        <v>82</v>
      </c>
      <c r="D18" s="180">
        <v>17.04</v>
      </c>
      <c r="E18" s="180">
        <v>11.095000000000001</v>
      </c>
      <c r="F18" s="156">
        <v>0</v>
      </c>
      <c r="G18" s="158">
        <v>0</v>
      </c>
      <c r="H18" s="206">
        <v>110.23844399999813</v>
      </c>
      <c r="I18" s="59">
        <v>0</v>
      </c>
      <c r="J18" s="59">
        <v>0</v>
      </c>
      <c r="K18" s="156">
        <v>0</v>
      </c>
      <c r="L18" s="59">
        <v>0</v>
      </c>
      <c r="M18" s="180">
        <v>16.747</v>
      </c>
      <c r="N18" s="61">
        <f t="shared" si="3"/>
        <v>155.12044399999814</v>
      </c>
    </row>
    <row r="19" spans="2:16">
      <c r="B19" s="55" t="s">
        <v>83</v>
      </c>
      <c r="C19" s="77" t="s">
        <v>84</v>
      </c>
      <c r="D19" s="156">
        <v>0</v>
      </c>
      <c r="E19" s="156">
        <v>0</v>
      </c>
      <c r="F19" s="156">
        <v>0</v>
      </c>
      <c r="G19" s="158">
        <v>0</v>
      </c>
      <c r="H19" s="59">
        <v>0</v>
      </c>
      <c r="I19" s="59">
        <v>0</v>
      </c>
      <c r="J19" s="59">
        <v>0</v>
      </c>
      <c r="K19" s="156">
        <v>1E-3</v>
      </c>
      <c r="L19" s="59">
        <v>0</v>
      </c>
      <c r="M19" s="59">
        <v>0</v>
      </c>
      <c r="N19" s="61">
        <f t="shared" si="3"/>
        <v>1E-3</v>
      </c>
    </row>
    <row r="20" spans="2:16" ht="14.4">
      <c r="B20" s="55" t="s">
        <v>85</v>
      </c>
      <c r="C20" s="77" t="s">
        <v>86</v>
      </c>
      <c r="D20" s="156">
        <v>0</v>
      </c>
      <c r="E20" s="180">
        <v>6.8659999999999997</v>
      </c>
      <c r="F20" s="157">
        <v>0</v>
      </c>
      <c r="G20" s="158">
        <v>0</v>
      </c>
      <c r="H20" s="59">
        <v>0</v>
      </c>
      <c r="I20" s="59">
        <v>0</v>
      </c>
      <c r="J20" s="59">
        <v>0</v>
      </c>
      <c r="K20" s="156">
        <v>0</v>
      </c>
      <c r="L20" s="59">
        <v>0</v>
      </c>
      <c r="M20" s="59">
        <v>0</v>
      </c>
      <c r="N20" s="61">
        <f t="shared" si="3"/>
        <v>6.8659999999999997</v>
      </c>
    </row>
    <row r="21" spans="2:16">
      <c r="B21" s="55" t="s">
        <v>87</v>
      </c>
      <c r="C21" s="78" t="s">
        <v>88</v>
      </c>
      <c r="D21" s="159">
        <v>0</v>
      </c>
      <c r="E21" s="181">
        <v>14.968999999999999</v>
      </c>
      <c r="F21" s="159">
        <v>0</v>
      </c>
      <c r="G21" s="159">
        <f>IF((SUM(G16:G20,G22:G23)-SUM(G10:G12))&gt;G8,0,(G8-SUM(G16:G20,G22:G23)+SUM(G10:G12)))</f>
        <v>0</v>
      </c>
      <c r="H21" s="60">
        <v>0</v>
      </c>
      <c r="I21" s="60">
        <v>0</v>
      </c>
      <c r="J21" s="60">
        <v>0</v>
      </c>
      <c r="K21" s="159">
        <f>IF((SUM(K16:K20,K22:K23)-SUM(K10:K12))&gt;K8,0,(K8-SUM(K16:K20,K22:K23)+SUM(K10:K12)))</f>
        <v>6.0000000000000001E-3</v>
      </c>
      <c r="L21" s="60">
        <f>IF((SUM(L16:L20,L22:L23)-SUM(L10:L12))&gt;L8,0,(L8-SUM(L16:L20,L22:L23)+SUM(L10:L12)))</f>
        <v>2.3999999999999994E-2</v>
      </c>
      <c r="M21" s="184">
        <v>0.41899999999999998</v>
      </c>
      <c r="N21" s="62">
        <f t="shared" si="3"/>
        <v>15.417999999999999</v>
      </c>
    </row>
    <row r="22" spans="2:16">
      <c r="B22" s="55" t="s">
        <v>107</v>
      </c>
      <c r="C22" s="77" t="s">
        <v>89</v>
      </c>
      <c r="D22" s="156">
        <v>0</v>
      </c>
      <c r="E22" s="180">
        <v>4.3959999999999999</v>
      </c>
      <c r="F22" s="156">
        <v>0</v>
      </c>
      <c r="G22" s="158"/>
      <c r="H22" s="59">
        <v>0</v>
      </c>
      <c r="I22" s="59">
        <v>0</v>
      </c>
      <c r="J22" s="59">
        <v>0</v>
      </c>
      <c r="K22" s="156">
        <v>0</v>
      </c>
      <c r="L22" s="59">
        <v>0</v>
      </c>
      <c r="M22" s="59">
        <v>0</v>
      </c>
      <c r="N22" s="61">
        <f t="shared" si="3"/>
        <v>4.3959999999999999</v>
      </c>
    </row>
    <row r="23" spans="2:16">
      <c r="B23" s="55" t="s">
        <v>108</v>
      </c>
      <c r="C23" s="77" t="s">
        <v>90</v>
      </c>
      <c r="D23" s="156">
        <v>0</v>
      </c>
      <c r="E23" s="156">
        <v>0</v>
      </c>
      <c r="F23" s="156">
        <v>0</v>
      </c>
      <c r="G23" s="158"/>
      <c r="H23" s="59">
        <v>0</v>
      </c>
      <c r="I23" s="59">
        <v>0</v>
      </c>
      <c r="J23" s="59">
        <v>0</v>
      </c>
      <c r="K23" s="156">
        <v>0</v>
      </c>
      <c r="L23" s="59">
        <v>0</v>
      </c>
      <c r="M23" s="59">
        <v>0</v>
      </c>
      <c r="N23" s="61">
        <f t="shared" si="3"/>
        <v>0</v>
      </c>
    </row>
    <row r="24" spans="2:16" ht="14.4">
      <c r="B24" s="125" t="s">
        <v>110</v>
      </c>
      <c r="C24" s="68" t="s">
        <v>206</v>
      </c>
      <c r="D24" s="66">
        <f t="shared" ref="D24:J24" si="4">SUM(D16:D23)</f>
        <v>17.04</v>
      </c>
      <c r="E24" s="65">
        <f t="shared" si="4"/>
        <v>37.326000000000001</v>
      </c>
      <c r="F24" s="65">
        <f t="shared" si="4"/>
        <v>0</v>
      </c>
      <c r="G24" s="65">
        <f t="shared" si="4"/>
        <v>0</v>
      </c>
      <c r="H24" s="207">
        <f t="shared" si="4"/>
        <v>373.75563599999367</v>
      </c>
      <c r="I24" s="207">
        <f t="shared" si="4"/>
        <v>0</v>
      </c>
      <c r="J24" s="207">
        <f t="shared" si="4"/>
        <v>0</v>
      </c>
      <c r="K24" s="65">
        <f>SUM(K16:K23)</f>
        <v>7.0000000000000001E-3</v>
      </c>
      <c r="L24" s="65">
        <f>SUM(L16:L23)</f>
        <v>2.3999999999999994E-2</v>
      </c>
      <c r="M24" s="66">
        <f>SUM(M16:M23)</f>
        <v>55.287999999999997</v>
      </c>
      <c r="N24" s="67">
        <f>SUM(N16:N23)</f>
        <v>483.44063599999367</v>
      </c>
      <c r="P24" s="140"/>
    </row>
    <row r="25" spans="2:16">
      <c r="D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6">
      <c r="D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2:16" ht="14.4">
      <c r="C27" s="63" t="s">
        <v>189</v>
      </c>
      <c r="D27" s="63"/>
      <c r="E27" s="63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6">
      <c r="B28" s="165" t="s">
        <v>212</v>
      </c>
      <c r="C28" s="167" t="s">
        <v>213</v>
      </c>
      <c r="D28" s="166" t="s">
        <v>95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6" ht="13.8">
      <c r="B29" s="187">
        <v>209</v>
      </c>
      <c r="C29">
        <v>4.1868000000000002E-2</v>
      </c>
      <c r="D29" s="168">
        <f>B29*C29</f>
        <v>8.7504120000000007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6">
      <c r="D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2:16"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2:16">
      <c r="D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6">
      <c r="D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6">
      <c r="D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2:16">
      <c r="D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2:16">
      <c r="D36" s="26" t="s">
        <v>47</v>
      </c>
      <c r="E36" s="26" t="s">
        <v>48</v>
      </c>
      <c r="F36" s="26" t="s">
        <v>49</v>
      </c>
      <c r="G36" s="185"/>
      <c r="H36" s="1"/>
      <c r="I36" s="1"/>
      <c r="J36" s="1"/>
      <c r="K36" s="1"/>
      <c r="L36" s="1"/>
      <c r="M36" s="1"/>
      <c r="N36" s="1"/>
      <c r="O36" s="1"/>
    </row>
    <row r="37" spans="2:16">
      <c r="C37" s="27" t="s">
        <v>150</v>
      </c>
      <c r="D37" s="28">
        <v>0.75</v>
      </c>
      <c r="E37" s="28">
        <v>0.5</v>
      </c>
      <c r="F37" s="28">
        <v>0.8</v>
      </c>
      <c r="G37" s="189"/>
      <c r="H37" s="31"/>
      <c r="I37" s="31"/>
      <c r="J37" s="31"/>
      <c r="K37" s="31"/>
      <c r="L37" s="31"/>
      <c r="M37" s="31"/>
      <c r="N37" s="31"/>
      <c r="O37" s="31"/>
    </row>
    <row r="38" spans="2:16">
      <c r="C38" s="29" t="s">
        <v>151</v>
      </c>
      <c r="D38" s="30">
        <v>0.25</v>
      </c>
      <c r="E38" s="30">
        <v>0.5</v>
      </c>
      <c r="F38" s="30">
        <v>0.2</v>
      </c>
      <c r="G38" s="189"/>
      <c r="H38" s="31"/>
      <c r="I38" s="31"/>
      <c r="J38" s="31"/>
      <c r="K38" s="31"/>
      <c r="L38" s="31"/>
      <c r="M38" s="31"/>
      <c r="N38" s="31"/>
      <c r="O38" s="31"/>
    </row>
    <row r="39" spans="2:16">
      <c r="C39" s="1"/>
      <c r="D39" s="31"/>
    </row>
    <row r="40" spans="2:16">
      <c r="C40" s="1"/>
      <c r="D40" s="31"/>
    </row>
    <row r="41" spans="2:16" ht="26.4">
      <c r="B41" s="34" t="s">
        <v>128</v>
      </c>
      <c r="C41" s="87" t="s">
        <v>153</v>
      </c>
      <c r="D41" s="54" t="s">
        <v>54</v>
      </c>
      <c r="E41" s="54" t="s">
        <v>55</v>
      </c>
      <c r="F41" s="54" t="s">
        <v>186</v>
      </c>
      <c r="G41" s="54" t="s">
        <v>56</v>
      </c>
      <c r="H41" s="200" t="s">
        <v>219</v>
      </c>
      <c r="I41" s="200" t="s">
        <v>220</v>
      </c>
      <c r="J41" s="200" t="s">
        <v>221</v>
      </c>
      <c r="K41" s="54" t="s">
        <v>57</v>
      </c>
      <c r="L41" s="54" t="s">
        <v>58</v>
      </c>
      <c r="M41" s="54" t="s">
        <v>109</v>
      </c>
      <c r="N41" s="35"/>
    </row>
    <row r="42" spans="2:16">
      <c r="B42" s="55" t="s">
        <v>77</v>
      </c>
      <c r="C42" s="76" t="s">
        <v>129</v>
      </c>
      <c r="D42" s="79"/>
      <c r="E42" s="81"/>
      <c r="F42" s="81"/>
      <c r="G42" s="81"/>
      <c r="H42" s="81"/>
      <c r="I42" s="81"/>
      <c r="J42" s="81"/>
      <c r="K42" s="81"/>
      <c r="L42" s="81"/>
      <c r="M42" s="82"/>
      <c r="P42" s="76" t="s">
        <v>132</v>
      </c>
    </row>
    <row r="43" spans="2:16">
      <c r="B43" s="55" t="s">
        <v>77</v>
      </c>
      <c r="C43" s="77" t="s">
        <v>130</v>
      </c>
      <c r="D43" s="80"/>
      <c r="E43" s="56"/>
      <c r="F43" s="56"/>
      <c r="G43" s="56"/>
      <c r="H43" s="56"/>
      <c r="I43" s="56"/>
      <c r="J43" s="56"/>
      <c r="K43" s="56"/>
      <c r="L43" s="56"/>
      <c r="M43" s="83"/>
      <c r="P43" s="77" t="s">
        <v>133</v>
      </c>
    </row>
    <row r="44" spans="2:16" ht="14.4">
      <c r="B44" s="55" t="s">
        <v>77</v>
      </c>
      <c r="C44" s="77" t="s">
        <v>131</v>
      </c>
      <c r="D44" s="80"/>
      <c r="E44" s="63"/>
      <c r="F44" s="56"/>
      <c r="G44" s="56"/>
      <c r="H44" s="56"/>
      <c r="I44" s="56"/>
      <c r="J44" s="56"/>
      <c r="K44" s="56"/>
      <c r="L44" s="56"/>
      <c r="M44" s="83"/>
      <c r="P44" s="77" t="s">
        <v>88</v>
      </c>
    </row>
    <row r="45" spans="2:16">
      <c r="B45" s="55"/>
      <c r="C45" s="77"/>
      <c r="D45" s="80"/>
      <c r="E45" s="56"/>
      <c r="F45" s="56"/>
      <c r="G45" s="56"/>
      <c r="H45" s="56"/>
      <c r="I45" s="56"/>
      <c r="J45" s="56"/>
      <c r="K45" s="56"/>
      <c r="L45" s="56"/>
      <c r="M45" s="83"/>
      <c r="P45" s="77"/>
    </row>
    <row r="46" spans="2:16">
      <c r="B46" s="55" t="s">
        <v>79</v>
      </c>
      <c r="C46" s="77" t="s">
        <v>134</v>
      </c>
      <c r="D46" s="80"/>
      <c r="E46" s="56"/>
      <c r="F46" s="56"/>
      <c r="G46" s="56"/>
      <c r="H46" s="56"/>
      <c r="I46" s="56"/>
      <c r="J46" s="56"/>
      <c r="K46" s="56"/>
      <c r="L46" s="56"/>
      <c r="M46" s="83"/>
      <c r="P46" s="77" t="s">
        <v>136</v>
      </c>
    </row>
    <row r="47" spans="2:16">
      <c r="B47" s="55" t="s">
        <v>79</v>
      </c>
      <c r="C47" s="77" t="s">
        <v>135</v>
      </c>
      <c r="D47" s="80"/>
      <c r="E47" s="56"/>
      <c r="F47" s="56"/>
      <c r="G47" s="56"/>
      <c r="H47" s="56"/>
      <c r="I47" s="56"/>
      <c r="J47" s="56"/>
      <c r="K47" s="56"/>
      <c r="L47" s="56"/>
      <c r="M47" s="83"/>
      <c r="P47" s="77" t="s">
        <v>137</v>
      </c>
    </row>
    <row r="48" spans="2:16">
      <c r="B48" s="55"/>
      <c r="C48" s="77"/>
      <c r="D48" s="80"/>
      <c r="E48" s="56"/>
      <c r="F48" s="56"/>
      <c r="G48" s="56"/>
      <c r="H48" s="56"/>
      <c r="I48" s="56"/>
      <c r="J48" s="56"/>
      <c r="K48" s="56"/>
      <c r="L48" s="56"/>
      <c r="M48" s="83"/>
      <c r="P48" s="77"/>
    </row>
    <row r="49" spans="2:16" ht="14.4">
      <c r="B49" s="55" t="s">
        <v>85</v>
      </c>
      <c r="C49" s="78" t="s">
        <v>134</v>
      </c>
      <c r="D49" s="84"/>
      <c r="E49" s="58"/>
      <c r="F49" s="64"/>
      <c r="G49" s="58"/>
      <c r="H49" s="58"/>
      <c r="I49" s="58"/>
      <c r="J49" s="58"/>
      <c r="K49" s="58"/>
      <c r="L49" s="58"/>
      <c r="M49" s="85"/>
      <c r="P49" s="78" t="s">
        <v>136</v>
      </c>
    </row>
    <row r="52" spans="2:16">
      <c r="C52" s="91" t="s">
        <v>142</v>
      </c>
      <c r="D52" s="93" t="s">
        <v>143</v>
      </c>
      <c r="E52" s="92" t="s">
        <v>144</v>
      </c>
    </row>
    <row r="53" spans="2:16">
      <c r="B53" s="25" t="s">
        <v>154</v>
      </c>
      <c r="C53" s="86" t="s">
        <v>145</v>
      </c>
      <c r="D53" s="86" t="s">
        <v>146</v>
      </c>
      <c r="E53" s="89" t="s">
        <v>144</v>
      </c>
    </row>
    <row r="54" spans="2:16">
      <c r="B54" s="55" t="s">
        <v>77</v>
      </c>
      <c r="C54" s="88">
        <v>1</v>
      </c>
      <c r="D54" s="88"/>
      <c r="E54" s="88"/>
    </row>
    <row r="55" spans="2:16">
      <c r="B55" s="55" t="s">
        <v>85</v>
      </c>
      <c r="C55" s="88">
        <v>1</v>
      </c>
      <c r="D55" s="88"/>
      <c r="E55" s="88"/>
    </row>
    <row r="56" spans="2:16">
      <c r="B56" s="55" t="s">
        <v>87</v>
      </c>
      <c r="C56" s="88">
        <v>1</v>
      </c>
      <c r="D56" s="88"/>
      <c r="E56" s="88"/>
    </row>
    <row r="57" spans="2:16">
      <c r="B57" s="55" t="s">
        <v>53</v>
      </c>
      <c r="C57" s="90">
        <v>1</v>
      </c>
      <c r="D57" s="90"/>
      <c r="E57" s="90"/>
    </row>
  </sheetData>
  <phoneticPr fontId="36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6"/>
  <sheetViews>
    <sheetView topLeftCell="B1" zoomScaleNormal="100" workbookViewId="0">
      <selection activeCell="N30" sqref="N30"/>
    </sheetView>
  </sheetViews>
  <sheetFormatPr defaultColWidth="8.88671875" defaultRowHeight="13.2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3.6640625" style="36" customWidth="1"/>
    <col min="6" max="6" width="13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332031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>
      <c r="B1" s="11" t="s">
        <v>92</v>
      </c>
      <c r="C1" s="11" t="s">
        <v>94</v>
      </c>
      <c r="D1" s="11" t="s">
        <v>149</v>
      </c>
      <c r="E1" s="11" t="s">
        <v>96</v>
      </c>
      <c r="F1" s="11" t="s">
        <v>97</v>
      </c>
      <c r="G1" s="130"/>
      <c r="H1" s="11" t="s">
        <v>124</v>
      </c>
    </row>
    <row r="2" spans="2:20" ht="31.2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EnergyBalance!T2</f>
        <v>PJ</v>
      </c>
      <c r="F2" s="14" t="str">
        <f>EnergyBalance!S2</f>
        <v>M€2016</v>
      </c>
      <c r="G2" s="12"/>
      <c r="H2" s="14" t="s">
        <v>125</v>
      </c>
      <c r="L2" s="152" t="s">
        <v>14</v>
      </c>
      <c r="M2" s="152"/>
      <c r="N2" s="151"/>
      <c r="O2" s="151"/>
      <c r="P2" s="151"/>
      <c r="Q2" s="151"/>
      <c r="R2" s="151"/>
      <c r="S2" s="151"/>
      <c r="T2" s="151"/>
    </row>
    <row r="3" spans="2:20">
      <c r="L3" s="153" t="s">
        <v>7</v>
      </c>
      <c r="M3" s="154" t="s">
        <v>30</v>
      </c>
      <c r="N3" s="153" t="s">
        <v>0</v>
      </c>
      <c r="O3" s="153" t="s">
        <v>3</v>
      </c>
      <c r="P3" s="153" t="s">
        <v>4</v>
      </c>
      <c r="Q3" s="153" t="s">
        <v>8</v>
      </c>
      <c r="R3" s="153" t="s">
        <v>9</v>
      </c>
      <c r="S3" s="153" t="s">
        <v>10</v>
      </c>
      <c r="T3" s="153" t="s">
        <v>12</v>
      </c>
    </row>
    <row r="4" spans="2:20" ht="22.2" thickBot="1">
      <c r="B4" s="12"/>
      <c r="C4" s="12"/>
      <c r="D4" s="12"/>
      <c r="E4" s="12"/>
      <c r="F4" s="12"/>
      <c r="L4" s="147" t="s">
        <v>40</v>
      </c>
      <c r="M4" s="147" t="s">
        <v>31</v>
      </c>
      <c r="N4" s="147" t="s">
        <v>26</v>
      </c>
      <c r="O4" s="147" t="s">
        <v>27</v>
      </c>
      <c r="P4" s="147" t="s">
        <v>4</v>
      </c>
      <c r="Q4" s="147" t="s">
        <v>43</v>
      </c>
      <c r="R4" s="147" t="s">
        <v>44</v>
      </c>
      <c r="S4" s="147" t="s">
        <v>28</v>
      </c>
      <c r="T4" s="147" t="s">
        <v>29</v>
      </c>
    </row>
    <row r="5" spans="2:20" ht="15.6">
      <c r="B5" s="12"/>
      <c r="C5" s="12"/>
      <c r="D5" s="12"/>
      <c r="E5" s="12"/>
      <c r="F5" s="12"/>
      <c r="L5" s="232" t="s">
        <v>232</v>
      </c>
      <c r="M5" s="151"/>
      <c r="N5" s="151" t="str">
        <f>B2&amp;EnergyBalance!D2</f>
        <v>TPSCOA</v>
      </c>
      <c r="O5" s="151" t="str">
        <f>LEFT($D$2,6)&amp;" "&amp;$C$2&amp;" - "&amp;EnergyBalance!D2</f>
        <v>Demand Total Primary Supply - COA</v>
      </c>
      <c r="P5" s="151" t="str">
        <f>$E$2</f>
        <v>PJ</v>
      </c>
      <c r="Q5" s="151"/>
      <c r="R5" s="151"/>
      <c r="S5" s="151"/>
      <c r="T5" s="151"/>
    </row>
    <row r="6" spans="2:20" ht="15.6">
      <c r="B6" s="12"/>
      <c r="C6" s="12"/>
      <c r="D6" s="12"/>
      <c r="E6" s="12"/>
      <c r="F6" s="12"/>
      <c r="L6" s="232"/>
      <c r="M6" s="151"/>
      <c r="N6" s="233" t="str">
        <f>B2&amp;EnergyBalance!E2</f>
        <v>TPSGAS</v>
      </c>
      <c r="O6" s="233" t="str">
        <f>LEFT($D$2,6)&amp;" "&amp;$C$2&amp;" - "&amp;EnergyBalance!E2</f>
        <v>Demand Total Primary Supply - GAS</v>
      </c>
      <c r="P6" s="151" t="str">
        <f t="shared" ref="P6:P7" si="0">$E$2</f>
        <v>PJ</v>
      </c>
      <c r="Q6" s="151"/>
      <c r="R6" s="151"/>
      <c r="S6" s="151"/>
      <c r="T6" s="151"/>
    </row>
    <row r="7" spans="2:20" ht="15.6">
      <c r="B7" s="12"/>
      <c r="C7" s="12"/>
      <c r="D7" s="12"/>
      <c r="E7" s="12"/>
      <c r="F7" s="12"/>
      <c r="L7" s="232"/>
      <c r="M7" s="151"/>
      <c r="N7" s="233" t="str">
        <f>B2&amp;EnergyBalance!F2</f>
        <v>TPSOIL</v>
      </c>
      <c r="O7" s="233" t="str">
        <f>LEFT($D$2,6)&amp;" "&amp;$C$2&amp;" - "&amp;EnergyBalance!F2</f>
        <v>Demand Total Primary Supply - OIL</v>
      </c>
      <c r="P7" s="151" t="str">
        <f t="shared" si="0"/>
        <v>PJ</v>
      </c>
      <c r="Q7" s="151"/>
      <c r="R7" s="151"/>
      <c r="S7" s="151"/>
      <c r="T7" s="151"/>
    </row>
    <row r="10" spans="2:20">
      <c r="D10" s="6" t="s">
        <v>13</v>
      </c>
      <c r="E10" s="6"/>
      <c r="F10" s="6"/>
      <c r="H10" s="6"/>
      <c r="I10" s="7"/>
      <c r="J10" s="5"/>
      <c r="L10" s="152" t="s">
        <v>15</v>
      </c>
      <c r="M10" s="152"/>
      <c r="N10" s="151"/>
      <c r="O10" s="151"/>
      <c r="P10" s="151"/>
      <c r="Q10" s="151"/>
      <c r="R10" s="151"/>
      <c r="S10" s="151"/>
      <c r="T10" s="151"/>
    </row>
    <row r="11" spans="2:20">
      <c r="B11" s="21" t="s">
        <v>1</v>
      </c>
      <c r="C11" s="21" t="s">
        <v>5</v>
      </c>
      <c r="D11" s="21" t="s">
        <v>6</v>
      </c>
      <c r="E11" s="115" t="s">
        <v>201</v>
      </c>
      <c r="F11" s="114" t="s">
        <v>106</v>
      </c>
      <c r="G11" s="114" t="s">
        <v>122</v>
      </c>
      <c r="H11" s="114" t="s">
        <v>104</v>
      </c>
      <c r="I11" s="114" t="s">
        <v>105</v>
      </c>
      <c r="J11" s="115" t="s">
        <v>99</v>
      </c>
      <c r="L11" s="153" t="s">
        <v>11</v>
      </c>
      <c r="M11" s="154" t="s">
        <v>30</v>
      </c>
      <c r="N11" s="153" t="s">
        <v>1</v>
      </c>
      <c r="O11" s="153" t="s">
        <v>2</v>
      </c>
      <c r="P11" s="153" t="s">
        <v>16</v>
      </c>
      <c r="Q11" s="153" t="s">
        <v>17</v>
      </c>
      <c r="R11" s="153" t="s">
        <v>18</v>
      </c>
      <c r="S11" s="153" t="s">
        <v>19</v>
      </c>
      <c r="T11" s="153" t="s">
        <v>20</v>
      </c>
    </row>
    <row r="12" spans="2:20" ht="21.6" thickBot="1">
      <c r="B12" s="19" t="s">
        <v>42</v>
      </c>
      <c r="C12" s="19" t="s">
        <v>32</v>
      </c>
      <c r="D12" s="19" t="s">
        <v>33</v>
      </c>
      <c r="E12" s="19" t="s">
        <v>34</v>
      </c>
      <c r="F12" s="19" t="s">
        <v>111</v>
      </c>
      <c r="G12" s="131" t="s">
        <v>123</v>
      </c>
      <c r="H12" s="19" t="s">
        <v>120</v>
      </c>
      <c r="I12" s="19" t="s">
        <v>119</v>
      </c>
      <c r="J12" s="19" t="s">
        <v>208</v>
      </c>
      <c r="L12" s="147" t="s">
        <v>41</v>
      </c>
      <c r="M12" s="147" t="s">
        <v>31</v>
      </c>
      <c r="N12" s="147" t="s">
        <v>21</v>
      </c>
      <c r="O12" s="147" t="s">
        <v>22</v>
      </c>
      <c r="P12" s="147" t="s">
        <v>23</v>
      </c>
      <c r="Q12" s="147" t="s">
        <v>24</v>
      </c>
      <c r="R12" s="147" t="s">
        <v>46</v>
      </c>
      <c r="S12" s="147" t="s">
        <v>45</v>
      </c>
      <c r="T12" s="147" t="s">
        <v>25</v>
      </c>
    </row>
    <row r="13" spans="2:20" ht="13.8" thickBot="1">
      <c r="B13" s="18" t="s">
        <v>112</v>
      </c>
      <c r="C13" s="18"/>
      <c r="D13" s="18"/>
      <c r="E13" s="17" t="str">
        <f>E2&amp;"a"</f>
        <v>PJa</v>
      </c>
      <c r="F13" s="17"/>
      <c r="G13" s="118"/>
      <c r="H13" s="17" t="str">
        <f>$F$2&amp;"/"&amp;$E$2</f>
        <v>M€2016/PJ</v>
      </c>
      <c r="I13" s="17" t="str">
        <f>$F$2&amp;"/"&amp;$E$2&amp;"a"</f>
        <v>M€2016/PJa</v>
      </c>
      <c r="J13" s="17" t="s">
        <v>113</v>
      </c>
      <c r="L13" s="147" t="s">
        <v>101</v>
      </c>
      <c r="M13" s="147"/>
      <c r="N13" s="147"/>
      <c r="O13" s="147"/>
      <c r="P13" s="147"/>
      <c r="Q13" s="147"/>
      <c r="R13" s="147"/>
      <c r="S13" s="147"/>
      <c r="T13" s="147"/>
    </row>
    <row r="14" spans="2:20">
      <c r="B14" s="36" t="str">
        <f>N14</f>
        <v>DTPSCOA</v>
      </c>
      <c r="C14" s="36" t="str">
        <f>RIGHT(B14,3)</f>
        <v>COA</v>
      </c>
      <c r="D14" s="36" t="str">
        <f>$N$5</f>
        <v>TPSCOA</v>
      </c>
      <c r="F14" s="104">
        <v>1</v>
      </c>
      <c r="G14" s="104">
        <v>0.95</v>
      </c>
      <c r="H14" s="103">
        <v>10</v>
      </c>
      <c r="I14" s="104">
        <f>H14*0.02</f>
        <v>0.2</v>
      </c>
      <c r="J14" s="103">
        <v>20</v>
      </c>
      <c r="L14" s="151" t="s">
        <v>121</v>
      </c>
      <c r="M14" s="151"/>
      <c r="N14" s="151" t="str">
        <f>LEFT(L14,1)&amp;B2&amp;RIGHT(O14,3)</f>
        <v>DTPSCOA</v>
      </c>
      <c r="O14" s="151" t="str">
        <f>$D$2&amp;" "&amp;$C$2&amp;" - "&amp;EnergyBalance!D2</f>
        <v>Demand Technology Total Primary Supply - COA</v>
      </c>
      <c r="P14" s="151" t="str">
        <f>$E$2</f>
        <v>PJ</v>
      </c>
      <c r="Q14" s="151" t="str">
        <f>$E$2&amp;"a"</f>
        <v>PJa</v>
      </c>
      <c r="R14" s="151"/>
      <c r="S14" s="151"/>
      <c r="T14" s="151"/>
    </row>
    <row r="15" spans="2:20">
      <c r="B15" s="233" t="str">
        <f>N15</f>
        <v>DTPSGAS</v>
      </c>
      <c r="C15" s="234" t="str">
        <f t="shared" ref="C15:C16" si="1">RIGHT(B15,3)</f>
        <v>GAS</v>
      </c>
      <c r="D15" s="233" t="str">
        <f>$N$6</f>
        <v>TPSGAS</v>
      </c>
      <c r="E15" s="235"/>
      <c r="F15" s="236">
        <v>1</v>
      </c>
      <c r="G15" s="236">
        <v>0.95</v>
      </c>
      <c r="H15" s="237">
        <v>10</v>
      </c>
      <c r="I15" s="236">
        <f t="shared" ref="I15:I16" si="2">H15*0.02</f>
        <v>0.2</v>
      </c>
      <c r="J15" s="237">
        <v>20</v>
      </c>
      <c r="N15" s="233" t="str">
        <f>LEFT(L14,1)&amp;B2&amp;RIGHT(O15,3)</f>
        <v>DTPSGAS</v>
      </c>
      <c r="O15" s="234" t="str">
        <f>$D$2&amp;" "&amp;$C$2&amp;" - "&amp;EnergyBalance!E2</f>
        <v>Demand Technology Total Primary Supply - GAS</v>
      </c>
      <c r="P15" s="233" t="str">
        <f t="shared" ref="P15:P16" si="3">$E$2</f>
        <v>PJ</v>
      </c>
      <c r="Q15" s="233" t="str">
        <f t="shared" ref="Q15:Q16" si="4">$E$2&amp;"a"</f>
        <v>PJa</v>
      </c>
    </row>
    <row r="16" spans="2:20">
      <c r="B16" s="233" t="str">
        <f>N16</f>
        <v>DTPSOIL</v>
      </c>
      <c r="C16" s="234" t="str">
        <f t="shared" si="1"/>
        <v>OIL</v>
      </c>
      <c r="D16" s="233" t="str">
        <f>$N$7</f>
        <v>TPSOIL</v>
      </c>
      <c r="E16" s="235"/>
      <c r="F16" s="236">
        <v>1</v>
      </c>
      <c r="G16" s="236">
        <v>0.95</v>
      </c>
      <c r="H16" s="237">
        <v>10</v>
      </c>
      <c r="I16" s="236">
        <f t="shared" si="2"/>
        <v>0.2</v>
      </c>
      <c r="J16" s="237">
        <v>20</v>
      </c>
      <c r="N16" s="233" t="str">
        <f>LEFT(L14,1)&amp;B2&amp;RIGHT(O16,3)</f>
        <v>DTPSOIL</v>
      </c>
      <c r="O16" s="238" t="str">
        <f>$D$2&amp;" "&amp;$C$2&amp;" - "&amp;EnergyBalance!F2</f>
        <v>Demand Technology Total Primary Supply - OIL</v>
      </c>
      <c r="P16" s="233" t="str">
        <f t="shared" si="3"/>
        <v>PJ</v>
      </c>
      <c r="Q16" s="233" t="str">
        <f t="shared" si="4"/>
        <v>PJa</v>
      </c>
    </row>
    <row r="17" spans="2:15">
      <c r="E17" s="39"/>
      <c r="F17" s="111"/>
      <c r="G17" s="111"/>
      <c r="I17" s="111"/>
      <c r="O17" s="37"/>
    </row>
    <row r="20" spans="2:15">
      <c r="I20" s="110"/>
    </row>
    <row r="21" spans="2:15">
      <c r="I21" s="110"/>
    </row>
    <row r="25" spans="2:15">
      <c r="B25" s="103"/>
      <c r="C25" s="36" t="s">
        <v>190</v>
      </c>
    </row>
    <row r="26" spans="2:15">
      <c r="B26" s="124"/>
      <c r="C26" s="36" t="s">
        <v>191</v>
      </c>
    </row>
  </sheetData>
  <phoneticPr fontId="36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N5" sqref="N5"/>
    </sheetView>
  </sheetViews>
  <sheetFormatPr defaultColWidth="8.88671875" defaultRowHeight="13.2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2.33203125" style="36" customWidth="1"/>
    <col min="6" max="6" width="12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441406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>
      <c r="B1" s="11" t="s">
        <v>92</v>
      </c>
      <c r="C1" s="11" t="s">
        <v>94</v>
      </c>
      <c r="D1" s="11" t="s">
        <v>149</v>
      </c>
      <c r="E1" s="11" t="s">
        <v>96</v>
      </c>
      <c r="F1" s="11" t="s">
        <v>97</v>
      </c>
      <c r="H1" s="11" t="s">
        <v>124</v>
      </c>
    </row>
    <row r="2" spans="2:20" ht="31.2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EnergyBalance!T2</f>
        <v>PJ</v>
      </c>
      <c r="F2" s="14" t="str">
        <f>EnergyBalance!S2</f>
        <v>M€2016</v>
      </c>
      <c r="H2" s="14" t="s">
        <v>125</v>
      </c>
      <c r="L2" s="152" t="s">
        <v>14</v>
      </c>
      <c r="M2" s="152"/>
      <c r="N2" s="151"/>
      <c r="O2" s="151"/>
      <c r="P2" s="151"/>
      <c r="Q2" s="151"/>
      <c r="R2" s="151"/>
      <c r="S2" s="151"/>
      <c r="T2" s="151"/>
    </row>
    <row r="3" spans="2:20">
      <c r="L3" s="153" t="s">
        <v>7</v>
      </c>
      <c r="M3" s="154" t="s">
        <v>30</v>
      </c>
      <c r="N3" s="153" t="s">
        <v>0</v>
      </c>
      <c r="O3" s="153" t="s">
        <v>3</v>
      </c>
      <c r="P3" s="153" t="s">
        <v>4</v>
      </c>
      <c r="Q3" s="153" t="s">
        <v>8</v>
      </c>
      <c r="R3" s="153" t="s">
        <v>9</v>
      </c>
      <c r="S3" s="153" t="s">
        <v>10</v>
      </c>
      <c r="T3" s="153" t="s">
        <v>12</v>
      </c>
    </row>
    <row r="4" spans="2:20" ht="22.2" thickBot="1">
      <c r="B4" s="12"/>
      <c r="C4" s="12"/>
      <c r="D4" s="12"/>
      <c r="E4" s="12"/>
      <c r="F4" s="12"/>
      <c r="L4" s="147" t="s">
        <v>40</v>
      </c>
      <c r="M4" s="147" t="s">
        <v>31</v>
      </c>
      <c r="N4" s="147" t="s">
        <v>26</v>
      </c>
      <c r="O4" s="147" t="s">
        <v>27</v>
      </c>
      <c r="P4" s="147" t="s">
        <v>4</v>
      </c>
      <c r="Q4" s="147" t="s">
        <v>43</v>
      </c>
      <c r="R4" s="147" t="s">
        <v>44</v>
      </c>
      <c r="S4" s="147" t="s">
        <v>28</v>
      </c>
      <c r="T4" s="147" t="s">
        <v>29</v>
      </c>
    </row>
    <row r="5" spans="2:20" ht="15.6">
      <c r="B5" s="12"/>
      <c r="C5" s="12"/>
      <c r="D5" s="12"/>
      <c r="E5" s="12"/>
      <c r="F5" s="12"/>
      <c r="L5" s="151" t="s">
        <v>103</v>
      </c>
      <c r="M5" s="151"/>
      <c r="N5" s="151" t="str">
        <f>B2&amp;EnergyBalance!M2</f>
        <v>TPSELC</v>
      </c>
      <c r="O5" s="151" t="str">
        <f>LEFT($D$2,6)&amp;" "&amp;$C$2&amp;" - "&amp;EnergyBalance!M2</f>
        <v>Demand Total Primary Supply - ELC</v>
      </c>
      <c r="P5" s="151" t="str">
        <f>$E$2</f>
        <v>PJ</v>
      </c>
      <c r="Q5" s="151"/>
      <c r="R5" s="151"/>
      <c r="S5" s="151"/>
      <c r="T5" s="151"/>
    </row>
    <row r="8" spans="2:20">
      <c r="D8" s="6" t="s">
        <v>13</v>
      </c>
      <c r="E8" s="6"/>
      <c r="F8" s="6"/>
      <c r="H8" s="6"/>
      <c r="I8" s="7"/>
      <c r="J8" s="5"/>
      <c r="L8" s="152" t="s">
        <v>15</v>
      </c>
      <c r="M8" s="152"/>
      <c r="N8" s="151"/>
      <c r="O8" s="151"/>
      <c r="P8" s="151"/>
      <c r="Q8" s="151"/>
      <c r="R8" s="151"/>
      <c r="S8" s="151"/>
      <c r="T8" s="151"/>
    </row>
    <row r="9" spans="2:20">
      <c r="B9" s="21" t="s">
        <v>1</v>
      </c>
      <c r="C9" s="21" t="s">
        <v>5</v>
      </c>
      <c r="D9" s="21" t="s">
        <v>6</v>
      </c>
      <c r="E9" s="115" t="s">
        <v>201</v>
      </c>
      <c r="F9" s="114" t="s">
        <v>106</v>
      </c>
      <c r="G9" s="114" t="s">
        <v>122</v>
      </c>
      <c r="H9" s="114" t="s">
        <v>104</v>
      </c>
      <c r="I9" s="114" t="s">
        <v>105</v>
      </c>
      <c r="J9" s="115" t="s">
        <v>99</v>
      </c>
      <c r="L9" s="153" t="s">
        <v>11</v>
      </c>
      <c r="M9" s="154" t="s">
        <v>30</v>
      </c>
      <c r="N9" s="153" t="s">
        <v>1</v>
      </c>
      <c r="O9" s="153" t="s">
        <v>2</v>
      </c>
      <c r="P9" s="153" t="s">
        <v>16</v>
      </c>
      <c r="Q9" s="153" t="s">
        <v>17</v>
      </c>
      <c r="R9" s="153" t="s">
        <v>18</v>
      </c>
      <c r="S9" s="153" t="s">
        <v>19</v>
      </c>
      <c r="T9" s="153" t="s">
        <v>20</v>
      </c>
    </row>
    <row r="10" spans="2:20" ht="21.6" thickBot="1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111</v>
      </c>
      <c r="G10" s="131" t="s">
        <v>123</v>
      </c>
      <c r="H10" s="19" t="s">
        <v>120</v>
      </c>
      <c r="I10" s="19" t="s">
        <v>119</v>
      </c>
      <c r="J10" s="19" t="s">
        <v>208</v>
      </c>
      <c r="L10" s="147" t="s">
        <v>41</v>
      </c>
      <c r="M10" s="147" t="s">
        <v>31</v>
      </c>
      <c r="N10" s="147" t="s">
        <v>21</v>
      </c>
      <c r="O10" s="147" t="s">
        <v>22</v>
      </c>
      <c r="P10" s="147" t="s">
        <v>23</v>
      </c>
      <c r="Q10" s="147" t="s">
        <v>24</v>
      </c>
      <c r="R10" s="147" t="s">
        <v>46</v>
      </c>
      <c r="S10" s="147" t="s">
        <v>45</v>
      </c>
      <c r="T10" s="147" t="s">
        <v>25</v>
      </c>
    </row>
    <row r="11" spans="2:20" ht="13.8" thickBot="1">
      <c r="B11" s="18" t="s">
        <v>112</v>
      </c>
      <c r="C11" s="18"/>
      <c r="D11" s="18"/>
      <c r="E11" s="17" t="str">
        <f>E2&amp;"a"</f>
        <v>PJa</v>
      </c>
      <c r="F11" s="17"/>
      <c r="G11" s="118"/>
      <c r="H11" s="17" t="str">
        <f>$F$2&amp;"/"&amp;$E$2</f>
        <v>M€2016/PJ</v>
      </c>
      <c r="I11" s="17" t="str">
        <f>$F$2&amp;"/"&amp;$E$2&amp;"a"</f>
        <v>M€2016/PJa</v>
      </c>
      <c r="J11" s="17" t="s">
        <v>113</v>
      </c>
      <c r="L11" s="147" t="s">
        <v>101</v>
      </c>
      <c r="M11" s="147"/>
      <c r="N11" s="147"/>
      <c r="O11" s="147"/>
      <c r="P11" s="147"/>
      <c r="Q11" s="147"/>
      <c r="R11" s="147"/>
      <c r="S11" s="147"/>
      <c r="T11" s="147"/>
    </row>
    <row r="12" spans="2:20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04">
        <v>1</v>
      </c>
      <c r="G12" s="104">
        <v>0.95</v>
      </c>
      <c r="H12" s="103">
        <v>10</v>
      </c>
      <c r="I12" s="104">
        <f>H12*0.02</f>
        <v>0.2</v>
      </c>
      <c r="J12" s="103">
        <v>20</v>
      </c>
      <c r="L12" s="151" t="s">
        <v>121</v>
      </c>
      <c r="M12" s="151"/>
      <c r="N12" s="151" t="str">
        <f>LEFT(L12,1)&amp;B2&amp;RIGHT(O12,3)</f>
        <v>DTPSELC</v>
      </c>
      <c r="O12" s="151" t="str">
        <f>$D$2&amp;" "&amp;$C$2&amp;" - "&amp;EnergyBalance!M2</f>
        <v>Demand Technology Total Primary Supply - ELC</v>
      </c>
      <c r="P12" s="151" t="str">
        <f>$E$2</f>
        <v>PJ</v>
      </c>
      <c r="Q12" s="151" t="str">
        <f>$E$2&amp;"a"</f>
        <v>PJa</v>
      </c>
      <c r="R12" s="151"/>
      <c r="S12" s="151"/>
      <c r="T12" s="151"/>
    </row>
    <row r="13" spans="2:20">
      <c r="E13" s="39"/>
      <c r="F13" s="111"/>
      <c r="G13" s="111"/>
      <c r="I13" s="111"/>
      <c r="J13" s="193"/>
    </row>
    <row r="14" spans="2:20">
      <c r="E14" s="39"/>
      <c r="F14" s="111"/>
      <c r="G14" s="111"/>
      <c r="I14" s="111"/>
      <c r="O14" s="37"/>
    </row>
    <row r="15" spans="2:20">
      <c r="E15" s="39"/>
      <c r="F15" s="111"/>
      <c r="G15" s="111"/>
      <c r="I15" s="111"/>
      <c r="O15" s="37"/>
    </row>
    <row r="18" spans="2:9">
      <c r="I18" s="110"/>
    </row>
    <row r="19" spans="2:9">
      <c r="I19" s="110"/>
    </row>
    <row r="23" spans="2:9">
      <c r="B23" s="103"/>
      <c r="C23" s="36" t="s">
        <v>190</v>
      </c>
    </row>
    <row r="24" spans="2:9">
      <c r="B24" s="124"/>
      <c r="C24" s="36" t="s">
        <v>191</v>
      </c>
    </row>
  </sheetData>
  <phoneticPr fontId="36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1"/>
  <sheetViews>
    <sheetView workbookViewId="0">
      <selection activeCell="O19" sqref="O19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1" t="s">
        <v>92</v>
      </c>
      <c r="C1" s="11" t="s">
        <v>93</v>
      </c>
      <c r="D1" s="11" t="s">
        <v>94</v>
      </c>
      <c r="E1" s="11" t="s">
        <v>96</v>
      </c>
      <c r="G1" s="11" t="s">
        <v>97</v>
      </c>
    </row>
    <row r="2" spans="2:17" ht="15.6">
      <c r="B2" s="14" t="s">
        <v>103</v>
      </c>
      <c r="C2" s="14"/>
      <c r="D2" s="14"/>
      <c r="E2" s="14" t="str">
        <f>EnergyBalance!T2</f>
        <v>PJ</v>
      </c>
      <c r="G2" s="14" t="str">
        <f>EnergyBalance!S2</f>
        <v>M€2016</v>
      </c>
    </row>
    <row r="5" spans="2:17">
      <c r="C5" s="2" t="s">
        <v>13</v>
      </c>
      <c r="D5" s="2"/>
      <c r="E5" s="185"/>
      <c r="F5" s="185"/>
      <c r="G5" s="185"/>
      <c r="H5" s="185"/>
      <c r="I5" s="185"/>
      <c r="P5" s="2" t="s">
        <v>13</v>
      </c>
      <c r="Q5" s="185"/>
    </row>
    <row r="6" spans="2:17">
      <c r="B6" s="4" t="s">
        <v>100</v>
      </c>
      <c r="C6" s="4" t="s">
        <v>0</v>
      </c>
      <c r="D6" s="4" t="s">
        <v>187</v>
      </c>
      <c r="E6" s="132">
        <v>2016</v>
      </c>
      <c r="F6" s="132">
        <v>2017</v>
      </c>
      <c r="G6" s="132">
        <v>2020</v>
      </c>
      <c r="H6" s="132">
        <v>2025</v>
      </c>
      <c r="I6" s="132">
        <v>2030</v>
      </c>
      <c r="N6" s="4" t="s">
        <v>100</v>
      </c>
      <c r="O6" s="4" t="s">
        <v>0</v>
      </c>
      <c r="P6" s="4" t="s">
        <v>173</v>
      </c>
      <c r="Q6" s="4">
        <v>2016</v>
      </c>
    </row>
    <row r="7" spans="2:17" ht="21">
      <c r="B7" s="19" t="s">
        <v>101</v>
      </c>
      <c r="C7" s="19" t="s">
        <v>102</v>
      </c>
      <c r="D7" s="19" t="s">
        <v>188</v>
      </c>
      <c r="E7" s="116" t="s">
        <v>36</v>
      </c>
      <c r="F7" s="116"/>
      <c r="G7" s="116"/>
      <c r="H7" s="116"/>
      <c r="I7" s="116"/>
      <c r="K7" s="106" t="s">
        <v>172</v>
      </c>
      <c r="L7" s="155" t="s">
        <v>211</v>
      </c>
      <c r="N7" s="19" t="s">
        <v>101</v>
      </c>
      <c r="O7" s="19" t="s">
        <v>102</v>
      </c>
      <c r="P7" s="19"/>
      <c r="Q7" s="19"/>
    </row>
    <row r="8" spans="2:17" ht="13.8" thickBot="1">
      <c r="B8" s="18" t="s">
        <v>112</v>
      </c>
      <c r="C8" s="18"/>
      <c r="D8" s="18"/>
      <c r="E8" s="17" t="str">
        <f>E2</f>
        <v>PJ</v>
      </c>
      <c r="F8" s="17"/>
      <c r="G8" s="17"/>
      <c r="H8" s="17"/>
      <c r="I8" s="17"/>
      <c r="K8" s="107"/>
      <c r="L8" s="107"/>
      <c r="N8" s="18" t="s">
        <v>112</v>
      </c>
      <c r="O8" s="18"/>
      <c r="P8" s="18"/>
      <c r="Q8" s="18"/>
    </row>
    <row r="9" spans="2:17">
      <c r="B9" s="42" t="s">
        <v>35</v>
      </c>
      <c r="C9" s="42" t="str">
        <f>DemTechs_TPS!N5</f>
        <v>TPSCOA</v>
      </c>
      <c r="D9" s="42" t="s">
        <v>95</v>
      </c>
      <c r="E9" s="121">
        <f>EnergyBalance!D24</f>
        <v>17.04</v>
      </c>
      <c r="F9" s="122"/>
      <c r="G9" s="122"/>
      <c r="H9" s="122"/>
      <c r="I9" s="122"/>
      <c r="K9" s="101"/>
      <c r="L9" s="102"/>
      <c r="N9" s="1" t="s">
        <v>174</v>
      </c>
      <c r="O9" s="1" t="str">
        <f>DemTechs_ELC!$N$5</f>
        <v>TPSELC</v>
      </c>
      <c r="P9" s="36" t="s">
        <v>175</v>
      </c>
      <c r="Q9" s="97">
        <v>0.3</v>
      </c>
    </row>
    <row r="10" spans="2:17">
      <c r="B10" s="8" t="s">
        <v>35</v>
      </c>
      <c r="C10" s="8" t="str">
        <f>DemTechs_ELC!N5</f>
        <v>TPSELC</v>
      </c>
      <c r="D10" s="43" t="s">
        <v>95</v>
      </c>
      <c r="E10" s="123">
        <f>EnergyBalance!M24</f>
        <v>55.287999999999997</v>
      </c>
      <c r="F10" s="123">
        <f>$E$10*(1+$K$10)^(F6-$E$6)</f>
        <v>61.424967999999993</v>
      </c>
      <c r="G10" s="123">
        <f>$E$10*(1+$K$10)^(G6-$E$6)</f>
        <v>84.233940126594803</v>
      </c>
      <c r="H10" s="123">
        <f>$E$10*(1+$K$10)^(H6-$E$6)</f>
        <v>142.57960605443483</v>
      </c>
      <c r="I10" s="123">
        <f>$E$10*(1+$K$10)^(I6-$E$6)</f>
        <v>241.33910905848106</v>
      </c>
      <c r="K10" s="231">
        <v>0.111</v>
      </c>
      <c r="L10" s="133">
        <v>0.05</v>
      </c>
      <c r="N10" s="1" t="s">
        <v>174</v>
      </c>
      <c r="O10" s="1" t="str">
        <f>DemTechs_ELC!$N$5</f>
        <v>TPSELC</v>
      </c>
      <c r="P10" s="36" t="s">
        <v>176</v>
      </c>
      <c r="Q10" s="97">
        <v>0.2</v>
      </c>
    </row>
    <row r="11" spans="2:17">
      <c r="E11" s="39"/>
      <c r="N11" s="1" t="s">
        <v>174</v>
      </c>
      <c r="O11" s="1" t="str">
        <f>DemTechs_ELC!$N$5</f>
        <v>TPSELC</v>
      </c>
      <c r="P11" s="36" t="s">
        <v>177</v>
      </c>
      <c r="Q11" s="97">
        <v>0.27</v>
      </c>
    </row>
    <row r="12" spans="2:17">
      <c r="E12" s="10"/>
      <c r="N12" s="43" t="s">
        <v>174</v>
      </c>
      <c r="O12" s="43" t="str">
        <f>DemTechs_ELC!$N$5</f>
        <v>TPSELC</v>
      </c>
      <c r="P12" s="44" t="s">
        <v>178</v>
      </c>
      <c r="Q12" s="105">
        <v>0.23</v>
      </c>
    </row>
    <row r="14" spans="2:17">
      <c r="E14" s="10"/>
    </row>
    <row r="20" spans="2:3">
      <c r="B20" s="57"/>
      <c r="C20" s="1" t="s">
        <v>190</v>
      </c>
    </row>
    <row r="21" spans="2:3">
      <c r="B21" s="96"/>
      <c r="C21" s="1" t="s">
        <v>191</v>
      </c>
    </row>
  </sheetData>
  <phoneticPr fontId="3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3634-25F5-4753-B631-388747C302FC}">
  <dimension ref="B3:J24"/>
  <sheetViews>
    <sheetView workbookViewId="0">
      <selection activeCell="M28" sqref="M28"/>
    </sheetView>
  </sheetViews>
  <sheetFormatPr defaultRowHeight="13.2"/>
  <cols>
    <col min="1" max="1" width="8.77734375" style="209"/>
    <col min="2" max="2" width="14.44140625" style="209" customWidth="1"/>
    <col min="3" max="257" width="8.77734375" style="209"/>
    <col min="258" max="258" width="14.44140625" style="209" customWidth="1"/>
    <col min="259" max="513" width="8.77734375" style="209"/>
    <col min="514" max="514" width="14.44140625" style="209" customWidth="1"/>
    <col min="515" max="769" width="8.77734375" style="209"/>
    <col min="770" max="770" width="14.44140625" style="209" customWidth="1"/>
    <col min="771" max="1025" width="8.77734375" style="209"/>
    <col min="1026" max="1026" width="14.44140625" style="209" customWidth="1"/>
    <col min="1027" max="1281" width="8.77734375" style="209"/>
    <col min="1282" max="1282" width="14.44140625" style="209" customWidth="1"/>
    <col min="1283" max="1537" width="8.77734375" style="209"/>
    <col min="1538" max="1538" width="14.44140625" style="209" customWidth="1"/>
    <col min="1539" max="1793" width="8.77734375" style="209"/>
    <col min="1794" max="1794" width="14.44140625" style="209" customWidth="1"/>
    <col min="1795" max="2049" width="8.77734375" style="209"/>
    <col min="2050" max="2050" width="14.44140625" style="209" customWidth="1"/>
    <col min="2051" max="2305" width="8.77734375" style="209"/>
    <col min="2306" max="2306" width="14.44140625" style="209" customWidth="1"/>
    <col min="2307" max="2561" width="8.77734375" style="209"/>
    <col min="2562" max="2562" width="14.44140625" style="209" customWidth="1"/>
    <col min="2563" max="2817" width="8.77734375" style="209"/>
    <col min="2818" max="2818" width="14.44140625" style="209" customWidth="1"/>
    <col min="2819" max="3073" width="8.77734375" style="209"/>
    <col min="3074" max="3074" width="14.44140625" style="209" customWidth="1"/>
    <col min="3075" max="3329" width="8.77734375" style="209"/>
    <col min="3330" max="3330" width="14.44140625" style="209" customWidth="1"/>
    <col min="3331" max="3585" width="8.77734375" style="209"/>
    <col min="3586" max="3586" width="14.44140625" style="209" customWidth="1"/>
    <col min="3587" max="3841" width="8.77734375" style="209"/>
    <col min="3842" max="3842" width="14.44140625" style="209" customWidth="1"/>
    <col min="3843" max="4097" width="8.77734375" style="209"/>
    <col min="4098" max="4098" width="14.44140625" style="209" customWidth="1"/>
    <col min="4099" max="4353" width="8.77734375" style="209"/>
    <col min="4354" max="4354" width="14.44140625" style="209" customWidth="1"/>
    <col min="4355" max="4609" width="8.77734375" style="209"/>
    <col min="4610" max="4610" width="14.44140625" style="209" customWidth="1"/>
    <col min="4611" max="4865" width="8.77734375" style="209"/>
    <col min="4866" max="4866" width="14.44140625" style="209" customWidth="1"/>
    <col min="4867" max="5121" width="8.77734375" style="209"/>
    <col min="5122" max="5122" width="14.44140625" style="209" customWidth="1"/>
    <col min="5123" max="5377" width="8.77734375" style="209"/>
    <col min="5378" max="5378" width="14.44140625" style="209" customWidth="1"/>
    <col min="5379" max="5633" width="8.77734375" style="209"/>
    <col min="5634" max="5634" width="14.44140625" style="209" customWidth="1"/>
    <col min="5635" max="5889" width="8.77734375" style="209"/>
    <col min="5890" max="5890" width="14.44140625" style="209" customWidth="1"/>
    <col min="5891" max="6145" width="8.77734375" style="209"/>
    <col min="6146" max="6146" width="14.44140625" style="209" customWidth="1"/>
    <col min="6147" max="6401" width="8.77734375" style="209"/>
    <col min="6402" max="6402" width="14.44140625" style="209" customWidth="1"/>
    <col min="6403" max="6657" width="8.77734375" style="209"/>
    <col min="6658" max="6658" width="14.44140625" style="209" customWidth="1"/>
    <col min="6659" max="6913" width="8.77734375" style="209"/>
    <col min="6914" max="6914" width="14.44140625" style="209" customWidth="1"/>
    <col min="6915" max="7169" width="8.77734375" style="209"/>
    <col min="7170" max="7170" width="14.44140625" style="209" customWidth="1"/>
    <col min="7171" max="7425" width="8.77734375" style="209"/>
    <col min="7426" max="7426" width="14.44140625" style="209" customWidth="1"/>
    <col min="7427" max="7681" width="8.77734375" style="209"/>
    <col min="7682" max="7682" width="14.44140625" style="209" customWidth="1"/>
    <col min="7683" max="7937" width="8.77734375" style="209"/>
    <col min="7938" max="7938" width="14.44140625" style="209" customWidth="1"/>
    <col min="7939" max="8193" width="8.77734375" style="209"/>
    <col min="8194" max="8194" width="14.44140625" style="209" customWidth="1"/>
    <col min="8195" max="8449" width="8.77734375" style="209"/>
    <col min="8450" max="8450" width="14.44140625" style="209" customWidth="1"/>
    <col min="8451" max="8705" width="8.77734375" style="209"/>
    <col min="8706" max="8706" width="14.44140625" style="209" customWidth="1"/>
    <col min="8707" max="8961" width="8.77734375" style="209"/>
    <col min="8962" max="8962" width="14.44140625" style="209" customWidth="1"/>
    <col min="8963" max="9217" width="8.77734375" style="209"/>
    <col min="9218" max="9218" width="14.44140625" style="209" customWidth="1"/>
    <col min="9219" max="9473" width="8.77734375" style="209"/>
    <col min="9474" max="9474" width="14.44140625" style="209" customWidth="1"/>
    <col min="9475" max="9729" width="8.77734375" style="209"/>
    <col min="9730" max="9730" width="14.44140625" style="209" customWidth="1"/>
    <col min="9731" max="9985" width="8.77734375" style="209"/>
    <col min="9986" max="9986" width="14.44140625" style="209" customWidth="1"/>
    <col min="9987" max="10241" width="8.77734375" style="209"/>
    <col min="10242" max="10242" width="14.44140625" style="209" customWidth="1"/>
    <col min="10243" max="10497" width="8.77734375" style="209"/>
    <col min="10498" max="10498" width="14.44140625" style="209" customWidth="1"/>
    <col min="10499" max="10753" width="8.77734375" style="209"/>
    <col min="10754" max="10754" width="14.44140625" style="209" customWidth="1"/>
    <col min="10755" max="11009" width="8.77734375" style="209"/>
    <col min="11010" max="11010" width="14.44140625" style="209" customWidth="1"/>
    <col min="11011" max="11265" width="8.77734375" style="209"/>
    <col min="11266" max="11266" width="14.44140625" style="209" customWidth="1"/>
    <col min="11267" max="11521" width="8.77734375" style="209"/>
    <col min="11522" max="11522" width="14.44140625" style="209" customWidth="1"/>
    <col min="11523" max="11777" width="8.77734375" style="209"/>
    <col min="11778" max="11778" width="14.44140625" style="209" customWidth="1"/>
    <col min="11779" max="12033" width="8.77734375" style="209"/>
    <col min="12034" max="12034" width="14.44140625" style="209" customWidth="1"/>
    <col min="12035" max="12289" width="8.77734375" style="209"/>
    <col min="12290" max="12290" width="14.44140625" style="209" customWidth="1"/>
    <col min="12291" max="12545" width="8.77734375" style="209"/>
    <col min="12546" max="12546" width="14.44140625" style="209" customWidth="1"/>
    <col min="12547" max="12801" width="8.77734375" style="209"/>
    <col min="12802" max="12802" width="14.44140625" style="209" customWidth="1"/>
    <col min="12803" max="13057" width="8.77734375" style="209"/>
    <col min="13058" max="13058" width="14.44140625" style="209" customWidth="1"/>
    <col min="13059" max="13313" width="8.77734375" style="209"/>
    <col min="13314" max="13314" width="14.44140625" style="209" customWidth="1"/>
    <col min="13315" max="13569" width="8.77734375" style="209"/>
    <col min="13570" max="13570" width="14.44140625" style="209" customWidth="1"/>
    <col min="13571" max="13825" width="8.77734375" style="209"/>
    <col min="13826" max="13826" width="14.44140625" style="209" customWidth="1"/>
    <col min="13827" max="14081" width="8.77734375" style="209"/>
    <col min="14082" max="14082" width="14.44140625" style="209" customWidth="1"/>
    <col min="14083" max="14337" width="8.77734375" style="209"/>
    <col min="14338" max="14338" width="14.44140625" style="209" customWidth="1"/>
    <col min="14339" max="14593" width="8.77734375" style="209"/>
    <col min="14594" max="14594" width="14.44140625" style="209" customWidth="1"/>
    <col min="14595" max="14849" width="8.77734375" style="209"/>
    <col min="14850" max="14850" width="14.44140625" style="209" customWidth="1"/>
    <col min="14851" max="15105" width="8.77734375" style="209"/>
    <col min="15106" max="15106" width="14.44140625" style="209" customWidth="1"/>
    <col min="15107" max="15361" width="8.77734375" style="209"/>
    <col min="15362" max="15362" width="14.44140625" style="209" customWidth="1"/>
    <col min="15363" max="15617" width="8.77734375" style="209"/>
    <col min="15618" max="15618" width="14.44140625" style="209" customWidth="1"/>
    <col min="15619" max="15873" width="8.77734375" style="209"/>
    <col min="15874" max="15874" width="14.44140625" style="209" customWidth="1"/>
    <col min="15875" max="16129" width="8.77734375" style="209"/>
    <col min="16130" max="16130" width="14.44140625" style="209" customWidth="1"/>
    <col min="16131" max="16384" width="8.77734375" style="209"/>
  </cols>
  <sheetData>
    <row r="3" spans="2:10" ht="17.55" customHeight="1">
      <c r="B3" s="208" t="s">
        <v>227</v>
      </c>
      <c r="C3" s="208"/>
      <c r="D3" s="208"/>
      <c r="E3" s="208"/>
      <c r="F3" s="208"/>
      <c r="G3" s="208"/>
      <c r="H3" s="208"/>
      <c r="I3" s="208"/>
      <c r="J3" s="208"/>
    </row>
    <row r="4" spans="2:10" ht="17.55" customHeight="1">
      <c r="B4" s="210"/>
      <c r="C4" s="210"/>
      <c r="D4" s="210"/>
      <c r="E4" s="210"/>
      <c r="F4" s="210"/>
      <c r="G4" s="210"/>
    </row>
    <row r="5" spans="2:10" ht="17.399999999999999">
      <c r="B5" s="211" t="s">
        <v>228</v>
      </c>
      <c r="C5" s="212"/>
    </row>
    <row r="6" spans="2:10" ht="13.8" thickBot="1">
      <c r="B6" s="213" t="s">
        <v>0</v>
      </c>
      <c r="C6" s="213" t="str">
        <f>[3]Sector_Fuels_ELC!$L$5</f>
        <v>ELCCOA</v>
      </c>
      <c r="D6" s="213" t="str">
        <f>[3]Sector_Fuels_ELC!$L$6</f>
        <v>ELCGAS</v>
      </c>
      <c r="E6" s="213" t="str">
        <f>[3]Sector_Fuels_ELC!$L$7</f>
        <v>ELCOIL</v>
      </c>
      <c r="F6" s="214"/>
      <c r="G6" s="214"/>
    </row>
    <row r="7" spans="2:10" ht="13.8" thickBot="1">
      <c r="B7" s="215" t="s">
        <v>112</v>
      </c>
      <c r="C7" s="215" t="s">
        <v>229</v>
      </c>
      <c r="D7" s="215" t="s">
        <v>229</v>
      </c>
      <c r="E7" s="215" t="s">
        <v>229</v>
      </c>
      <c r="F7" s="216"/>
      <c r="G7" s="216"/>
    </row>
    <row r="8" spans="2:10">
      <c r="B8" s="217" t="str">
        <f>Con_ELC!V6</f>
        <v>ELCCO2</v>
      </c>
      <c r="C8" s="218">
        <v>95</v>
      </c>
      <c r="D8" s="218">
        <v>56.1</v>
      </c>
      <c r="E8" s="218">
        <v>76.400000000000006</v>
      </c>
      <c r="F8" s="219"/>
      <c r="G8" s="219"/>
    </row>
    <row r="23" spans="2:3">
      <c r="B23" s="220"/>
      <c r="C23" s="209" t="s">
        <v>190</v>
      </c>
    </row>
    <row r="24" spans="2:3">
      <c r="B24" s="221"/>
      <c r="C24" s="209" t="s">
        <v>191</v>
      </c>
    </row>
  </sheetData>
  <phoneticPr fontId="3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0" sqref="P50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>
      <c r="B2" s="108" t="s">
        <v>193</v>
      </c>
      <c r="M2" s="108" t="s">
        <v>197</v>
      </c>
    </row>
    <row r="3" spans="2:27" ht="17.399999999999999">
      <c r="M3" s="108" t="s">
        <v>198</v>
      </c>
    </row>
    <row r="4" spans="2:27">
      <c r="B4" s="34" t="s">
        <v>207</v>
      </c>
    </row>
    <row r="11" spans="2:27">
      <c r="M11" s="34"/>
      <c r="N11" s="34"/>
    </row>
    <row r="12" spans="2:27">
      <c r="N12" s="1"/>
    </row>
    <row r="13" spans="2:27">
      <c r="N13" s="1"/>
    </row>
    <row r="14" spans="2:27" ht="17.399999999999999">
      <c r="B14" s="108" t="s">
        <v>192</v>
      </c>
    </row>
    <row r="16" spans="2:27">
      <c r="D16" s="109" t="s">
        <v>194</v>
      </c>
      <c r="E16" s="109"/>
      <c r="F16" s="109"/>
      <c r="G16" s="109"/>
      <c r="H16" s="109"/>
      <c r="I16" s="109"/>
      <c r="N16" s="109" t="s">
        <v>195</v>
      </c>
      <c r="O16" s="109"/>
      <c r="P16" s="109"/>
      <c r="Q16" s="109"/>
      <c r="X16" s="109" t="s">
        <v>196</v>
      </c>
      <c r="Y16" s="109"/>
      <c r="Z16" s="109"/>
      <c r="AA16" s="109"/>
    </row>
  </sheetData>
  <phoneticPr fontId="3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="90" zoomScaleNormal="90" workbookViewId="0">
      <selection activeCell="H16" sqref="H16"/>
    </sheetView>
  </sheetViews>
  <sheetFormatPr defaultRowHeight="13.2"/>
  <cols>
    <col min="1" max="1" width="2" bestFit="1" customWidth="1"/>
    <col min="2" max="2" width="11.5546875" bestFit="1" customWidth="1"/>
    <col min="3" max="3" width="12.5546875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>
      <c r="B1" s="32" t="s">
        <v>92</v>
      </c>
      <c r="C1" s="32" t="s">
        <v>93</v>
      </c>
      <c r="D1" s="32" t="s">
        <v>94</v>
      </c>
      <c r="E1" s="32" t="s">
        <v>96</v>
      </c>
      <c r="F1" s="23"/>
      <c r="G1" s="32" t="s">
        <v>97</v>
      </c>
    </row>
    <row r="2" spans="2:19" ht="15.6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EnergyBalance!T2</f>
        <v>PJ</v>
      </c>
      <c r="G2" s="14" t="str">
        <f>EnergyBalance!S2</f>
        <v>M€2016</v>
      </c>
      <c r="K2" s="143" t="s">
        <v>14</v>
      </c>
      <c r="L2" s="143"/>
      <c r="M2" s="144"/>
      <c r="N2" s="144"/>
      <c r="O2" s="144"/>
      <c r="P2" s="144"/>
      <c r="Q2" s="144"/>
      <c r="R2" s="144"/>
      <c r="S2" s="144"/>
    </row>
    <row r="3" spans="2:19">
      <c r="K3" s="145" t="s">
        <v>7</v>
      </c>
      <c r="L3" s="146" t="s">
        <v>30</v>
      </c>
      <c r="M3" s="145" t="s">
        <v>0</v>
      </c>
      <c r="N3" s="145" t="s">
        <v>3</v>
      </c>
      <c r="O3" s="145" t="s">
        <v>4</v>
      </c>
      <c r="P3" s="145" t="s">
        <v>8</v>
      </c>
      <c r="Q3" s="145" t="s">
        <v>9</v>
      </c>
      <c r="R3" s="145" t="s">
        <v>10</v>
      </c>
      <c r="S3" s="145" t="s">
        <v>12</v>
      </c>
    </row>
    <row r="4" spans="2:19" ht="21.6" thickBot="1">
      <c r="C4" s="1"/>
      <c r="K4" s="147" t="s">
        <v>40</v>
      </c>
      <c r="L4" s="147" t="s">
        <v>31</v>
      </c>
      <c r="M4" s="147" t="s">
        <v>26</v>
      </c>
      <c r="N4" s="147" t="s">
        <v>27</v>
      </c>
      <c r="O4" s="147" t="s">
        <v>4</v>
      </c>
      <c r="P4" s="147" t="s">
        <v>43</v>
      </c>
      <c r="Q4" s="147" t="s">
        <v>44</v>
      </c>
      <c r="R4" s="147" t="s">
        <v>28</v>
      </c>
      <c r="S4" s="147" t="s">
        <v>29</v>
      </c>
    </row>
    <row r="5" spans="2:19">
      <c r="K5" s="144" t="s">
        <v>91</v>
      </c>
      <c r="L5" s="148"/>
      <c r="M5" s="144" t="str">
        <f>C2</f>
        <v>COA</v>
      </c>
      <c r="N5" s="144" t="str">
        <f>D2</f>
        <v>Solid Fuels</v>
      </c>
      <c r="O5" s="144" t="str">
        <f>$E$2</f>
        <v>PJ</v>
      </c>
      <c r="P5" s="144"/>
      <c r="Q5" s="144"/>
      <c r="R5" s="144"/>
      <c r="S5" s="144"/>
    </row>
    <row r="6" spans="2:19">
      <c r="K6" s="1"/>
      <c r="M6" s="1"/>
      <c r="N6" s="1"/>
      <c r="O6" s="1"/>
      <c r="P6" s="1"/>
      <c r="Q6" s="1"/>
      <c r="R6" s="1"/>
      <c r="S6" s="1"/>
    </row>
    <row r="7" spans="2:19">
      <c r="F7" s="6" t="s">
        <v>13</v>
      </c>
      <c r="H7" s="6"/>
      <c r="K7" s="143" t="s">
        <v>15</v>
      </c>
      <c r="L7" s="143"/>
      <c r="M7" s="148"/>
      <c r="N7" s="148"/>
      <c r="O7" s="148"/>
      <c r="P7" s="148"/>
      <c r="Q7" s="148"/>
      <c r="R7" s="148"/>
      <c r="S7" s="148"/>
    </row>
    <row r="8" spans="2:19">
      <c r="B8" s="3" t="s">
        <v>1</v>
      </c>
      <c r="C8" s="22" t="s">
        <v>5</v>
      </c>
      <c r="D8" s="3" t="s">
        <v>6</v>
      </c>
      <c r="E8" s="3" t="s">
        <v>152</v>
      </c>
      <c r="F8" s="3" t="s">
        <v>8</v>
      </c>
      <c r="G8" s="119" t="s">
        <v>37</v>
      </c>
      <c r="H8" s="119" t="s">
        <v>38</v>
      </c>
      <c r="I8" s="119" t="s">
        <v>98</v>
      </c>
      <c r="K8" s="145" t="s">
        <v>11</v>
      </c>
      <c r="L8" s="146" t="s">
        <v>30</v>
      </c>
      <c r="M8" s="145" t="s">
        <v>1</v>
      </c>
      <c r="N8" s="145" t="s">
        <v>2</v>
      </c>
      <c r="O8" s="145" t="s">
        <v>16</v>
      </c>
      <c r="P8" s="145" t="s">
        <v>17</v>
      </c>
      <c r="Q8" s="145" t="s">
        <v>18</v>
      </c>
      <c r="R8" s="145" t="s">
        <v>19</v>
      </c>
      <c r="S8" s="145" t="s">
        <v>20</v>
      </c>
    </row>
    <row r="9" spans="2:19" ht="21.6" thickBot="1">
      <c r="B9" s="18" t="s">
        <v>42</v>
      </c>
      <c r="C9" s="18" t="s">
        <v>32</v>
      </c>
      <c r="D9" s="18" t="s">
        <v>33</v>
      </c>
      <c r="E9" s="18"/>
      <c r="F9" s="126"/>
      <c r="G9" s="126" t="s">
        <v>39</v>
      </c>
      <c r="H9" s="126" t="s">
        <v>115</v>
      </c>
      <c r="I9" s="126" t="s">
        <v>114</v>
      </c>
      <c r="K9" s="147" t="s">
        <v>41</v>
      </c>
      <c r="L9" s="147" t="s">
        <v>31</v>
      </c>
      <c r="M9" s="147" t="s">
        <v>21</v>
      </c>
      <c r="N9" s="147" t="s">
        <v>22</v>
      </c>
      <c r="O9" s="147" t="s">
        <v>23</v>
      </c>
      <c r="P9" s="147" t="s">
        <v>24</v>
      </c>
      <c r="Q9" s="147" t="s">
        <v>46</v>
      </c>
      <c r="R9" s="147" t="s">
        <v>45</v>
      </c>
      <c r="S9" s="147" t="s">
        <v>25</v>
      </c>
    </row>
    <row r="10" spans="2:19" ht="13.8" thickBot="1">
      <c r="B10" s="18" t="s">
        <v>112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M€2016/PJ</v>
      </c>
      <c r="I10" s="17" t="str">
        <f>$E$2</f>
        <v>PJ</v>
      </c>
      <c r="K10" s="147" t="s">
        <v>101</v>
      </c>
      <c r="L10" s="149"/>
      <c r="M10" s="149"/>
      <c r="N10" s="149"/>
      <c r="O10" s="149"/>
      <c r="P10" s="149"/>
      <c r="Q10" s="149"/>
      <c r="R10" s="149"/>
      <c r="S10" s="149"/>
    </row>
    <row r="11" spans="2:19">
      <c r="B11" s="1" t="str">
        <f>M11</f>
        <v>MINCOA1</v>
      </c>
      <c r="C11" s="185"/>
      <c r="D11" s="1" t="str">
        <f>$M$5</f>
        <v>COA</v>
      </c>
      <c r="E11" s="1"/>
      <c r="F11" s="1"/>
      <c r="G11" s="192">
        <v>810</v>
      </c>
      <c r="H11" s="100">
        <v>2.5</v>
      </c>
      <c r="I11" s="94">
        <f>EnergyBalance!$D$5*EnergyBalance!D37</f>
        <v>6.5625</v>
      </c>
      <c r="K11" s="144" t="str">
        <f>EnergyBalance!$B$5</f>
        <v>MIN</v>
      </c>
      <c r="L11" s="148"/>
      <c r="M11" s="148" t="str">
        <f>$K$11&amp;$C$2&amp;1</f>
        <v>MINCOA1</v>
      </c>
      <c r="N11" s="150" t="str">
        <f>"Domestic Supply of "&amp;$D$2&amp; " Step "&amp;RIGHT(M11,1)</f>
        <v>Domestic Supply of Solid Fuels Step 1</v>
      </c>
      <c r="O11" s="148" t="str">
        <f>$E$2</f>
        <v>PJ</v>
      </c>
      <c r="P11" s="148"/>
      <c r="Q11" s="148"/>
      <c r="R11" s="148"/>
      <c r="S11" s="148"/>
    </row>
    <row r="12" spans="2:19">
      <c r="B12" s="1" t="str">
        <f>M12</f>
        <v>MINCOA2</v>
      </c>
      <c r="C12" s="185"/>
      <c r="D12" s="144" t="str">
        <f>$M$5</f>
        <v>COA</v>
      </c>
      <c r="E12" s="1"/>
      <c r="F12" s="1"/>
      <c r="G12" s="192">
        <v>480</v>
      </c>
      <c r="H12" s="100">
        <v>3</v>
      </c>
      <c r="I12" s="94">
        <f>EnergyBalance!$D$5*EnergyBalance!D38</f>
        <v>2.1875</v>
      </c>
      <c r="K12" s="148"/>
      <c r="L12" s="148"/>
      <c r="M12" s="148" t="str">
        <f>$K$11&amp;$C$2&amp;2</f>
        <v>MINCOA2</v>
      </c>
      <c r="N12" s="150" t="str">
        <f>"Domestic Supply of "&amp;$D$2&amp; " Step "&amp;RIGHT(M12,1)</f>
        <v>Domestic Supply of Solid Fuels Step 2</v>
      </c>
      <c r="O12" s="148" t="str">
        <f>$E$2</f>
        <v>PJ</v>
      </c>
      <c r="P12" s="148"/>
      <c r="Q12" s="148"/>
      <c r="R12" s="148"/>
      <c r="S12" s="148"/>
    </row>
    <row r="13" spans="2:19">
      <c r="B13" s="13" t="str">
        <f>M13</f>
        <v>MINCOA3</v>
      </c>
      <c r="C13" s="13"/>
      <c r="D13" s="13" t="str">
        <f>$M$5</f>
        <v>COA</v>
      </c>
      <c r="E13" s="13"/>
      <c r="F13" s="13"/>
      <c r="G13" s="169">
        <v>24</v>
      </c>
      <c r="H13" s="170">
        <v>4</v>
      </c>
      <c r="I13" s="169"/>
      <c r="K13" s="148"/>
      <c r="L13" s="148"/>
      <c r="M13" s="171" t="str">
        <f>$K$11&amp;$C$2&amp;3</f>
        <v>MINCOA3</v>
      </c>
      <c r="N13" s="172" t="str">
        <f>"Domestic Supply of "&amp;$D$2&amp; " Step "&amp;RIGHT(M13,1)</f>
        <v>Domestic Supply of Solid Fuels Step 3</v>
      </c>
      <c r="O13" s="171" t="str">
        <f>$E$2</f>
        <v>PJ</v>
      </c>
      <c r="P13" s="148"/>
      <c r="Q13" s="148"/>
      <c r="R13" s="148"/>
      <c r="S13" s="148"/>
    </row>
    <row r="14" spans="2:19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00">
        <v>3.5</v>
      </c>
      <c r="I14" s="99">
        <v>0</v>
      </c>
      <c r="K14" s="148" t="str">
        <f>EnergyBalance!$B$6</f>
        <v>IMP</v>
      </c>
      <c r="L14" s="148"/>
      <c r="M14" s="148" t="str">
        <f>$K$14&amp;$C$2&amp;1</f>
        <v>IMPCOA1</v>
      </c>
      <c r="N14" s="150" t="str">
        <f>"Import of "&amp;$D$2&amp; " Step "&amp;RIGHT(M14,1)</f>
        <v>Import of Solid Fuels Step 1</v>
      </c>
      <c r="O14" s="148" t="str">
        <f>$E$2</f>
        <v>PJ</v>
      </c>
      <c r="P14" s="148"/>
      <c r="Q14" s="148"/>
      <c r="R14" s="148"/>
      <c r="S14" s="148"/>
    </row>
    <row r="15" spans="2:19">
      <c r="B15" s="1" t="str">
        <f>M15</f>
        <v>EXPCOA1</v>
      </c>
      <c r="C15" s="1" t="str">
        <f>$M$5</f>
        <v>COA</v>
      </c>
      <c r="D15" s="1"/>
      <c r="E15" s="1">
        <v>2016</v>
      </c>
      <c r="F15" s="1" t="s">
        <v>203</v>
      </c>
      <c r="H15" s="100">
        <v>3.5</v>
      </c>
      <c r="I15" s="95">
        <f>-EnergyBalance!D7</f>
        <v>0.16700000000000001</v>
      </c>
      <c r="K15" s="148" t="str">
        <f>EnergyBalance!B7</f>
        <v>EXP</v>
      </c>
      <c r="L15" s="148"/>
      <c r="M15" s="148" t="str">
        <f>$K$15&amp;$C$2&amp;1</f>
        <v>EXPCOA1</v>
      </c>
      <c r="N15" s="150" t="str">
        <f>"Export of "&amp;$D$2&amp; " Step "&amp;RIGHT(M15,1)</f>
        <v>Export of Solid Fuels Step 1</v>
      </c>
      <c r="O15" s="148" t="str">
        <f>$E$2</f>
        <v>PJ</v>
      </c>
      <c r="P15" s="148"/>
      <c r="Q15" s="148"/>
      <c r="R15" s="148"/>
      <c r="S15" s="148"/>
    </row>
    <row r="16" spans="2:19">
      <c r="B16" s="1"/>
      <c r="C16" s="1"/>
      <c r="E16" s="1"/>
      <c r="F16" s="1"/>
      <c r="G16" s="1"/>
      <c r="I16" s="10"/>
    </row>
    <row r="17" spans="2:20">
      <c r="F17" s="1"/>
      <c r="I17" s="16"/>
    </row>
    <row r="20" spans="2:20">
      <c r="B20" s="99"/>
      <c r="C20" s="1" t="s">
        <v>190</v>
      </c>
    </row>
    <row r="21" spans="2:20">
      <c r="B21" s="96"/>
      <c r="C21" s="1" t="s">
        <v>191</v>
      </c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</sheetData>
  <phoneticPr fontId="36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topLeftCell="A4" zoomScaleNormal="100" workbookViewId="0">
      <selection activeCell="G21" sqref="G21"/>
    </sheetView>
  </sheetViews>
  <sheetFormatPr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>
      <c r="B1" s="32" t="s">
        <v>92</v>
      </c>
      <c r="C1" s="32" t="s">
        <v>93</v>
      </c>
      <c r="D1" s="32" t="s">
        <v>94</v>
      </c>
      <c r="E1" s="32" t="s">
        <v>96</v>
      </c>
      <c r="F1" s="23"/>
      <c r="G1" s="32" t="s">
        <v>97</v>
      </c>
    </row>
    <row r="2" spans="2:19" ht="15.6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EnergyBalance!T2</f>
        <v>PJ</v>
      </c>
      <c r="G2" s="14" t="str">
        <f>EnergyBalance!S2</f>
        <v>M€2016</v>
      </c>
      <c r="K2" s="143" t="s">
        <v>14</v>
      </c>
      <c r="L2" s="143"/>
      <c r="M2" s="144"/>
      <c r="N2" s="144"/>
      <c r="O2" s="144"/>
      <c r="P2" s="144"/>
      <c r="Q2" s="144"/>
      <c r="R2" s="144"/>
      <c r="S2" s="144"/>
    </row>
    <row r="3" spans="2:19">
      <c r="K3" s="145" t="s">
        <v>7</v>
      </c>
      <c r="L3" s="146" t="s">
        <v>30</v>
      </c>
      <c r="M3" s="145" t="s">
        <v>0</v>
      </c>
      <c r="N3" s="145" t="s">
        <v>3</v>
      </c>
      <c r="O3" s="145" t="s">
        <v>4</v>
      </c>
      <c r="P3" s="145" t="s">
        <v>8</v>
      </c>
      <c r="Q3" s="145" t="s">
        <v>9</v>
      </c>
      <c r="R3" s="145" t="s">
        <v>10</v>
      </c>
      <c r="S3" s="145" t="s">
        <v>12</v>
      </c>
    </row>
    <row r="4" spans="2:19" ht="21.6" thickBot="1">
      <c r="C4" s="1"/>
      <c r="K4" s="147" t="s">
        <v>40</v>
      </c>
      <c r="L4" s="147" t="s">
        <v>31</v>
      </c>
      <c r="M4" s="147" t="s">
        <v>26</v>
      </c>
      <c r="N4" s="147" t="s">
        <v>27</v>
      </c>
      <c r="O4" s="147" t="s">
        <v>4</v>
      </c>
      <c r="P4" s="147" t="s">
        <v>43</v>
      </c>
      <c r="Q4" s="147" t="s">
        <v>44</v>
      </c>
      <c r="R4" s="147" t="s">
        <v>28</v>
      </c>
      <c r="S4" s="147" t="s">
        <v>29</v>
      </c>
    </row>
    <row r="5" spans="2:19">
      <c r="K5" s="144" t="s">
        <v>91</v>
      </c>
      <c r="L5" s="148"/>
      <c r="M5" s="144" t="str">
        <f>C2</f>
        <v>GAS</v>
      </c>
      <c r="N5" s="144" t="str">
        <f>D2</f>
        <v>Natural Gas</v>
      </c>
      <c r="O5" s="144" t="str">
        <f>$E$2</f>
        <v>PJ</v>
      </c>
      <c r="P5" s="144"/>
      <c r="Q5" s="144"/>
      <c r="R5" s="144"/>
      <c r="S5" s="144"/>
    </row>
    <row r="7" spans="2:19">
      <c r="F7" s="6" t="s">
        <v>13</v>
      </c>
      <c r="H7" s="6"/>
      <c r="K7" s="143" t="s">
        <v>15</v>
      </c>
      <c r="L7" s="143"/>
      <c r="M7" s="148"/>
      <c r="N7" s="148"/>
      <c r="O7" s="148"/>
      <c r="P7" s="148"/>
      <c r="Q7" s="148"/>
      <c r="R7" s="148"/>
      <c r="S7" s="148"/>
    </row>
    <row r="8" spans="2:19">
      <c r="B8" s="3" t="s">
        <v>1</v>
      </c>
      <c r="C8" s="22" t="s">
        <v>5</v>
      </c>
      <c r="D8" s="3" t="s">
        <v>6</v>
      </c>
      <c r="E8" s="3" t="s">
        <v>152</v>
      </c>
      <c r="F8" s="3" t="s">
        <v>8</v>
      </c>
      <c r="G8" s="119" t="s">
        <v>37</v>
      </c>
      <c r="H8" s="119" t="s">
        <v>38</v>
      </c>
      <c r="I8" s="119" t="s">
        <v>98</v>
      </c>
      <c r="K8" s="145" t="s">
        <v>11</v>
      </c>
      <c r="L8" s="146" t="s">
        <v>30</v>
      </c>
      <c r="M8" s="145" t="s">
        <v>1</v>
      </c>
      <c r="N8" s="145" t="s">
        <v>2</v>
      </c>
      <c r="O8" s="145" t="s">
        <v>16</v>
      </c>
      <c r="P8" s="145" t="s">
        <v>17</v>
      </c>
      <c r="Q8" s="145" t="s">
        <v>18</v>
      </c>
      <c r="R8" s="145" t="s">
        <v>19</v>
      </c>
      <c r="S8" s="145" t="s">
        <v>20</v>
      </c>
    </row>
    <row r="9" spans="2:19" ht="21.6" thickBot="1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115</v>
      </c>
      <c r="I9" s="18" t="s">
        <v>114</v>
      </c>
      <c r="K9" s="147" t="s">
        <v>41</v>
      </c>
      <c r="L9" s="147" t="s">
        <v>31</v>
      </c>
      <c r="M9" s="147" t="s">
        <v>21</v>
      </c>
      <c r="N9" s="147" t="s">
        <v>22</v>
      </c>
      <c r="O9" s="147" t="s">
        <v>23</v>
      </c>
      <c r="P9" s="147" t="s">
        <v>24</v>
      </c>
      <c r="Q9" s="147" t="s">
        <v>46</v>
      </c>
      <c r="R9" s="147" t="s">
        <v>45</v>
      </c>
      <c r="S9" s="147" t="s">
        <v>25</v>
      </c>
    </row>
    <row r="10" spans="2:19" ht="13.8" thickBot="1">
      <c r="B10" s="18" t="s">
        <v>112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M€2016/PJ</v>
      </c>
      <c r="I10" s="17" t="str">
        <f>$E$2</f>
        <v>PJ</v>
      </c>
      <c r="K10" s="147" t="s">
        <v>101</v>
      </c>
      <c r="L10" s="149"/>
      <c r="M10" s="149"/>
      <c r="N10" s="149"/>
      <c r="O10" s="149"/>
      <c r="P10" s="149"/>
      <c r="Q10" s="149"/>
      <c r="R10" s="149"/>
      <c r="S10" s="149"/>
    </row>
    <row r="11" spans="2:19">
      <c r="B11" s="1" t="str">
        <f>M11</f>
        <v>MINGAS1</v>
      </c>
      <c r="C11" s="185" t="s">
        <v>214</v>
      </c>
      <c r="D11" s="1" t="str">
        <f>$M$5</f>
        <v>GAS</v>
      </c>
      <c r="E11" s="1"/>
      <c r="F11" s="1"/>
      <c r="G11" s="99">
        <v>6000</v>
      </c>
      <c r="H11" s="100">
        <v>2</v>
      </c>
      <c r="I11" s="94">
        <f>EnergyBalance!$E$5*EnergyBalance!E37</f>
        <v>344.69900000000001</v>
      </c>
      <c r="K11" s="144" t="str">
        <f>EnergyBalance!$B$5</f>
        <v>MIN</v>
      </c>
      <c r="L11" s="148"/>
      <c r="M11" s="148" t="str">
        <f>$K$11&amp;$C$2&amp;1</f>
        <v>MINGAS1</v>
      </c>
      <c r="N11" s="150" t="str">
        <f>"Domestic Supply of "&amp;$D$2&amp; " Step "&amp;RIGHT(M11,1)</f>
        <v>Domestic Supply of Natural Gas Step 1</v>
      </c>
      <c r="O11" s="148" t="str">
        <f>$E$2</f>
        <v>PJ</v>
      </c>
      <c r="P11" s="148"/>
      <c r="Q11" s="148"/>
      <c r="R11" s="148"/>
      <c r="S11" s="148"/>
    </row>
    <row r="12" spans="2:19">
      <c r="B12" s="13" t="str">
        <f>M12</f>
        <v>MINGAS2</v>
      </c>
      <c r="C12" s="13"/>
      <c r="D12" s="13" t="str">
        <f>$M$5</f>
        <v>GAS</v>
      </c>
      <c r="E12" s="13"/>
      <c r="F12" s="13"/>
      <c r="G12" s="169">
        <v>3000</v>
      </c>
      <c r="H12" s="170">
        <v>3.5</v>
      </c>
      <c r="I12" s="186">
        <v>0</v>
      </c>
      <c r="K12" s="148"/>
      <c r="L12" s="148"/>
      <c r="M12" s="148" t="str">
        <f>$K$11&amp;$C$2&amp;2</f>
        <v>MINGAS2</v>
      </c>
      <c r="N12" s="150" t="str">
        <f>"Domestic Supply of "&amp;$D$2&amp; " Step "&amp;RIGHT(M12,1)</f>
        <v>Domestic Supply of Natural Gas Step 2</v>
      </c>
      <c r="O12" s="148" t="str">
        <f>$E$2</f>
        <v>PJ</v>
      </c>
      <c r="P12" s="148"/>
      <c r="Q12" s="148"/>
      <c r="R12" s="148"/>
      <c r="S12" s="148"/>
    </row>
    <row r="13" spans="2:19">
      <c r="B13" s="13" t="str">
        <f>M13</f>
        <v>MINGAS3</v>
      </c>
      <c r="C13" s="13"/>
      <c r="D13" s="13" t="str">
        <f>$M$5</f>
        <v>GAS</v>
      </c>
      <c r="E13" s="13"/>
      <c r="F13" s="13"/>
      <c r="G13" s="169">
        <v>4700</v>
      </c>
      <c r="H13" s="170">
        <v>3</v>
      </c>
      <c r="I13" s="169">
        <v>0</v>
      </c>
      <c r="K13" s="148"/>
      <c r="L13" s="148"/>
      <c r="M13" s="171" t="str">
        <f>$K$11&amp;$C$2&amp;3</f>
        <v>MINGAS3</v>
      </c>
      <c r="N13" s="172" t="str">
        <f>"Domestic Supply of "&amp;$D$2&amp; " Step "&amp;RIGHT(M13,1)</f>
        <v>Domestic Supply of Natural Gas Step 3</v>
      </c>
      <c r="O13" s="171" t="str">
        <f>$E$2</f>
        <v>PJ</v>
      </c>
      <c r="P13" s="148"/>
      <c r="Q13" s="148"/>
      <c r="R13" s="148"/>
      <c r="S13" s="148"/>
    </row>
    <row r="14" spans="2:19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00">
        <v>3.2</v>
      </c>
      <c r="I14" s="99">
        <v>0</v>
      </c>
      <c r="K14" s="148" t="str">
        <f>EnergyBalance!$B$6</f>
        <v>IMP</v>
      </c>
      <c r="L14" s="148"/>
      <c r="M14" s="148" t="str">
        <f>$K$14&amp;$C$2&amp;1</f>
        <v>IMPGAS1</v>
      </c>
      <c r="N14" s="150" t="str">
        <f>"Import of "&amp;$D$2&amp; " Step "&amp;RIGHT(M14,1)</f>
        <v>Import of Natural Gas Step 1</v>
      </c>
      <c r="O14" s="148" t="str">
        <f>$E$2</f>
        <v>PJ</v>
      </c>
      <c r="P14" s="148"/>
      <c r="Q14" s="148"/>
      <c r="R14" s="148"/>
      <c r="S14" s="148"/>
    </row>
    <row r="15" spans="2:19">
      <c r="B15" s="1" t="str">
        <f>M15</f>
        <v>EXPGAS1</v>
      </c>
      <c r="C15" s="1" t="str">
        <f>$M$5</f>
        <v>GAS</v>
      </c>
      <c r="D15" s="1"/>
      <c r="E15" s="1">
        <v>2016</v>
      </c>
      <c r="F15" s="1" t="s">
        <v>203</v>
      </c>
      <c r="H15" s="100">
        <v>3.2</v>
      </c>
      <c r="I15" s="95">
        <f>-EnergyBalance!E7</f>
        <v>537.33399999999995</v>
      </c>
      <c r="K15" s="148" t="str">
        <f>EnergyBalance!B7</f>
        <v>EXP</v>
      </c>
      <c r="L15" s="148"/>
      <c r="M15" s="148" t="str">
        <f>$K$15&amp;$C$2&amp;1</f>
        <v>EXPGAS1</v>
      </c>
      <c r="N15" s="150" t="str">
        <f>"Export of "&amp;$D$2&amp; " Step "&amp;RIGHT(M15,1)</f>
        <v>Export of Natural Gas Step 1</v>
      </c>
      <c r="O15" s="148" t="str">
        <f>$E$2</f>
        <v>PJ</v>
      </c>
      <c r="P15" s="148"/>
      <c r="Q15" s="148"/>
      <c r="R15" s="148"/>
      <c r="S15" s="148"/>
    </row>
    <row r="16" spans="2:19">
      <c r="B16" s="1"/>
      <c r="C16" s="1"/>
      <c r="E16" s="1"/>
      <c r="F16" s="1"/>
      <c r="G16" s="1"/>
      <c r="I16" s="10"/>
    </row>
    <row r="17" spans="2:20">
      <c r="F17" s="1"/>
    </row>
    <row r="22" spans="2:20">
      <c r="B22" s="99"/>
      <c r="C22" s="1" t="s">
        <v>190</v>
      </c>
    </row>
    <row r="23" spans="2:20" s="1" customFormat="1">
      <c r="B23" s="96"/>
      <c r="C23" s="1" t="s">
        <v>191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>
      <c r="J24" s="1"/>
      <c r="T24" s="1"/>
    </row>
  </sheetData>
  <phoneticPr fontId="36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zoomScaleNormal="100" workbookViewId="0">
      <selection activeCell="I15" sqref="I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>
      <c r="B1" s="32" t="s">
        <v>92</v>
      </c>
      <c r="C1" s="32" t="s">
        <v>93</v>
      </c>
      <c r="D1" s="32" t="s">
        <v>94</v>
      </c>
      <c r="E1" s="32" t="s">
        <v>96</v>
      </c>
      <c r="F1" s="23"/>
      <c r="G1" s="32" t="s">
        <v>97</v>
      </c>
    </row>
    <row r="2" spans="2:19" ht="15.6">
      <c r="B2" s="14"/>
      <c r="C2" s="14" t="str">
        <f>EnergyBalance!F2</f>
        <v>OIL</v>
      </c>
      <c r="D2" s="14" t="str">
        <f>EnergyBalance!F3</f>
        <v>Crude Oil</v>
      </c>
      <c r="E2" s="14" t="str">
        <f>EnergyBalance!T2</f>
        <v>PJ</v>
      </c>
      <c r="G2" s="14" t="str">
        <f>EnergyBalance!S2</f>
        <v>M€2016</v>
      </c>
      <c r="K2" s="143" t="s">
        <v>14</v>
      </c>
      <c r="L2" s="143"/>
      <c r="M2" s="144"/>
      <c r="N2" s="144"/>
      <c r="O2" s="144"/>
      <c r="P2" s="144"/>
      <c r="Q2" s="144"/>
      <c r="R2" s="144"/>
      <c r="S2" s="144"/>
    </row>
    <row r="3" spans="2:19">
      <c r="K3" s="145" t="s">
        <v>7</v>
      </c>
      <c r="L3" s="146" t="s">
        <v>30</v>
      </c>
      <c r="M3" s="145" t="s">
        <v>0</v>
      </c>
      <c r="N3" s="145" t="s">
        <v>3</v>
      </c>
      <c r="O3" s="145" t="s">
        <v>4</v>
      </c>
      <c r="P3" s="145" t="s">
        <v>8</v>
      </c>
      <c r="Q3" s="145" t="s">
        <v>9</v>
      </c>
      <c r="R3" s="145" t="s">
        <v>10</v>
      </c>
      <c r="S3" s="145" t="s">
        <v>12</v>
      </c>
    </row>
    <row r="4" spans="2:19" ht="21.6" thickBot="1">
      <c r="C4" s="1"/>
      <c r="K4" s="147" t="s">
        <v>40</v>
      </c>
      <c r="L4" s="147" t="s">
        <v>31</v>
      </c>
      <c r="M4" s="147" t="s">
        <v>26</v>
      </c>
      <c r="N4" s="147" t="s">
        <v>27</v>
      </c>
      <c r="O4" s="147" t="s">
        <v>4</v>
      </c>
      <c r="P4" s="147" t="s">
        <v>43</v>
      </c>
      <c r="Q4" s="147" t="s">
        <v>44</v>
      </c>
      <c r="R4" s="147" t="s">
        <v>28</v>
      </c>
      <c r="S4" s="147" t="s">
        <v>29</v>
      </c>
    </row>
    <row r="5" spans="2:19">
      <c r="K5" s="144" t="s">
        <v>91</v>
      </c>
      <c r="L5" s="148"/>
      <c r="M5" s="144" t="str">
        <f>C2</f>
        <v>OIL</v>
      </c>
      <c r="N5" s="144" t="str">
        <f>D2</f>
        <v>Crude Oil</v>
      </c>
      <c r="O5" s="144" t="str">
        <f>$E$2</f>
        <v>PJ</v>
      </c>
      <c r="P5" s="144"/>
      <c r="Q5" s="144"/>
      <c r="R5" s="144"/>
      <c r="S5" s="144"/>
    </row>
    <row r="7" spans="2:19">
      <c r="F7" s="6" t="s">
        <v>13</v>
      </c>
      <c r="H7" s="6"/>
      <c r="K7" s="143" t="s">
        <v>15</v>
      </c>
      <c r="L7" s="143"/>
      <c r="M7" s="148"/>
      <c r="N7" s="148"/>
      <c r="O7" s="148"/>
      <c r="P7" s="148"/>
      <c r="Q7" s="148"/>
      <c r="R7" s="148"/>
      <c r="S7" s="148"/>
    </row>
    <row r="8" spans="2:19">
      <c r="B8" s="3" t="s">
        <v>1</v>
      </c>
      <c r="C8" s="22" t="s">
        <v>5</v>
      </c>
      <c r="D8" s="3" t="s">
        <v>6</v>
      </c>
      <c r="E8" s="3" t="s">
        <v>152</v>
      </c>
      <c r="F8" s="3" t="s">
        <v>8</v>
      </c>
      <c r="G8" s="119" t="s">
        <v>37</v>
      </c>
      <c r="H8" s="119" t="s">
        <v>38</v>
      </c>
      <c r="I8" s="119" t="s">
        <v>98</v>
      </c>
      <c r="K8" s="145" t="s">
        <v>11</v>
      </c>
      <c r="L8" s="146" t="s">
        <v>30</v>
      </c>
      <c r="M8" s="145" t="s">
        <v>1</v>
      </c>
      <c r="N8" s="145" t="s">
        <v>2</v>
      </c>
      <c r="O8" s="145" t="s">
        <v>16</v>
      </c>
      <c r="P8" s="145" t="s">
        <v>17</v>
      </c>
      <c r="Q8" s="145" t="s">
        <v>18</v>
      </c>
      <c r="R8" s="145" t="s">
        <v>19</v>
      </c>
      <c r="S8" s="145" t="s">
        <v>20</v>
      </c>
    </row>
    <row r="9" spans="2:19" ht="21.6" thickBot="1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115</v>
      </c>
      <c r="I9" s="18" t="s">
        <v>114</v>
      </c>
      <c r="K9" s="147" t="s">
        <v>41</v>
      </c>
      <c r="L9" s="147" t="s">
        <v>31</v>
      </c>
      <c r="M9" s="147" t="s">
        <v>21</v>
      </c>
      <c r="N9" s="147" t="s">
        <v>22</v>
      </c>
      <c r="O9" s="147" t="s">
        <v>23</v>
      </c>
      <c r="P9" s="147" t="s">
        <v>24</v>
      </c>
      <c r="Q9" s="147" t="s">
        <v>46</v>
      </c>
      <c r="R9" s="147" t="s">
        <v>45</v>
      </c>
      <c r="S9" s="147" t="s">
        <v>25</v>
      </c>
    </row>
    <row r="10" spans="2:19" ht="13.8" thickBot="1">
      <c r="B10" s="18" t="s">
        <v>112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M€2016/PJ</v>
      </c>
      <c r="I10" s="17" t="str">
        <f>$E$2</f>
        <v>PJ</v>
      </c>
      <c r="K10" s="147" t="s">
        <v>101</v>
      </c>
      <c r="L10" s="149"/>
      <c r="M10" s="149"/>
      <c r="N10" s="149"/>
      <c r="O10" s="149"/>
      <c r="P10" s="149"/>
      <c r="Q10" s="149"/>
      <c r="R10" s="149"/>
      <c r="S10" s="149"/>
    </row>
    <row r="11" spans="2:19">
      <c r="B11" s="1" t="str">
        <f>M11</f>
        <v>MINOIL1</v>
      </c>
      <c r="C11" s="1"/>
      <c r="D11" s="1" t="str">
        <f>$M$5</f>
        <v>OIL</v>
      </c>
      <c r="E11" s="1"/>
      <c r="F11" s="1"/>
      <c r="G11" s="99">
        <v>150</v>
      </c>
      <c r="H11" s="100">
        <v>6.6</v>
      </c>
      <c r="I11" s="94">
        <f>EnergyBalance!$F$5*EnergyBalance!F37</f>
        <v>20.331200000000003</v>
      </c>
      <c r="K11" s="144" t="str">
        <f>EnergyBalance!$B$5</f>
        <v>MIN</v>
      </c>
      <c r="L11" s="148"/>
      <c r="M11" s="148" t="str">
        <f>$K$11&amp;$C$2&amp;1</f>
        <v>MINOIL1</v>
      </c>
      <c r="N11" s="148" t="str">
        <f>"Domestic Supply of "&amp;$D$2&amp; " Step "&amp;RIGHT(M11,1)</f>
        <v>Domestic Supply of Crude Oil Step 1</v>
      </c>
      <c r="O11" s="148" t="str">
        <f>$E$2</f>
        <v>PJ</v>
      </c>
      <c r="P11" s="148"/>
      <c r="Q11" s="148"/>
      <c r="R11" s="148"/>
      <c r="S11" s="148"/>
    </row>
    <row r="12" spans="2:19">
      <c r="B12" s="13" t="str">
        <f>M12</f>
        <v>MINOIL2</v>
      </c>
      <c r="C12" s="13"/>
      <c r="D12" s="13" t="str">
        <f>$M$5</f>
        <v>OIL</v>
      </c>
      <c r="E12" s="13"/>
      <c r="F12" s="13"/>
      <c r="G12" s="169">
        <v>90</v>
      </c>
      <c r="H12" s="170">
        <v>7</v>
      </c>
      <c r="I12" s="186">
        <f>EnergyBalance!$F$5*EnergyBalance!F38</f>
        <v>5.0828000000000007</v>
      </c>
      <c r="K12" s="148"/>
      <c r="L12" s="148"/>
      <c r="M12" s="148" t="str">
        <f>$K$11&amp;$C$2&amp;2</f>
        <v>MINOIL2</v>
      </c>
      <c r="N12" s="148" t="str">
        <f>"Domestic Supply of "&amp;$D$2&amp; " Step "&amp;RIGHT(M12,1)</f>
        <v>Domestic Supply of Crude Oil Step 2</v>
      </c>
      <c r="O12" s="148" t="str">
        <f>$E$2</f>
        <v>PJ</v>
      </c>
      <c r="P12" s="148"/>
      <c r="Q12" s="148"/>
      <c r="R12" s="148"/>
      <c r="S12" s="148"/>
    </row>
    <row r="13" spans="2:19">
      <c r="B13" s="13" t="str">
        <f>M13</f>
        <v>MINOIL3</v>
      </c>
      <c r="C13" s="13"/>
      <c r="D13" s="13" t="str">
        <f>$M$5</f>
        <v>OIL</v>
      </c>
      <c r="E13" s="13"/>
      <c r="F13" s="13"/>
      <c r="G13" s="169">
        <v>60</v>
      </c>
      <c r="H13" s="170">
        <v>7.33</v>
      </c>
      <c r="I13" s="169"/>
      <c r="K13" s="148"/>
      <c r="L13" s="148"/>
      <c r="M13" s="148" t="str">
        <f>$K$11&amp;$C$2&amp;3</f>
        <v>MINOIL3</v>
      </c>
      <c r="N13" s="148" t="str">
        <f>"Domestic Supply of "&amp;$D$2&amp; " Step "&amp;RIGHT(M13,1)</f>
        <v>Domestic Supply of Crude Oil Step 3</v>
      </c>
      <c r="O13" s="148" t="str">
        <f>$E$2</f>
        <v>PJ</v>
      </c>
      <c r="P13" s="148"/>
      <c r="Q13" s="148"/>
      <c r="R13" s="148"/>
      <c r="S13" s="148"/>
    </row>
    <row r="14" spans="2:19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00">
        <v>7.2</v>
      </c>
      <c r="I14" s="99">
        <v>0</v>
      </c>
      <c r="K14" s="148" t="str">
        <f>EnergyBalance!$B$6</f>
        <v>IMP</v>
      </c>
      <c r="L14" s="148"/>
      <c r="M14" s="148" t="str">
        <f>$K$14&amp;$C$2&amp;1</f>
        <v>IMPOIL1</v>
      </c>
      <c r="N14" s="148" t="str">
        <f>"Import of "&amp;$D$2&amp; " Step "&amp;RIGHT(M14,1)</f>
        <v>Import of Crude Oil Step 1</v>
      </c>
      <c r="O14" s="148" t="str">
        <f>$E$2</f>
        <v>PJ</v>
      </c>
      <c r="P14" s="148"/>
      <c r="Q14" s="148"/>
      <c r="R14" s="148"/>
      <c r="S14" s="148"/>
    </row>
    <row r="15" spans="2:19">
      <c r="B15" s="1" t="str">
        <f>M15</f>
        <v>EXPOIL1</v>
      </c>
      <c r="C15" s="1" t="str">
        <f>$M$5</f>
        <v>OIL</v>
      </c>
      <c r="D15" s="1"/>
      <c r="E15">
        <v>2016</v>
      </c>
      <c r="F15" s="1" t="s">
        <v>203</v>
      </c>
      <c r="H15" s="100">
        <v>7.2</v>
      </c>
      <c r="I15" s="95">
        <f>-EnergyBalance!F7</f>
        <v>6.1130000000000004</v>
      </c>
      <c r="K15" s="148" t="str">
        <f>EnergyBalance!B7</f>
        <v>EXP</v>
      </c>
      <c r="L15" s="148"/>
      <c r="M15" s="148" t="str">
        <f>$K$15&amp;$C$2&amp;1</f>
        <v>EXPOIL1</v>
      </c>
      <c r="N15" s="148" t="str">
        <f>"Export of "&amp;$D$2&amp; " Step "&amp;RIGHT(M15,1)</f>
        <v>Export of Crude Oil Step 1</v>
      </c>
      <c r="O15" s="148" t="str">
        <f>$E$2</f>
        <v>PJ</v>
      </c>
      <c r="P15" s="148"/>
      <c r="Q15" s="148"/>
      <c r="R15" s="148"/>
      <c r="S15" s="148"/>
    </row>
    <row r="16" spans="2:19">
      <c r="F16" s="1"/>
      <c r="I16" s="10"/>
    </row>
    <row r="17" spans="2:25">
      <c r="F17" s="1"/>
      <c r="H17" s="20"/>
    </row>
    <row r="18" spans="2:25">
      <c r="V18" s="1"/>
      <c r="W18" s="1"/>
    </row>
    <row r="19" spans="2:25">
      <c r="U19" s="1"/>
      <c r="X19" s="1"/>
      <c r="Y19" s="1"/>
    </row>
    <row r="22" spans="2:25">
      <c r="B22" s="99"/>
      <c r="C22" s="1" t="s">
        <v>190</v>
      </c>
    </row>
    <row r="23" spans="2:25">
      <c r="B23" s="96"/>
      <c r="C23" s="1" t="s">
        <v>191</v>
      </c>
    </row>
    <row r="24" spans="2:25">
      <c r="J24" s="1"/>
    </row>
  </sheetData>
  <phoneticPr fontId="36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8"/>
  <sheetViews>
    <sheetView tabSelected="1" zoomScale="90" zoomScaleNormal="90" workbookViewId="0">
      <selection activeCell="G21" sqref="G21"/>
    </sheetView>
  </sheetViews>
  <sheetFormatPr defaultColWidth="8.88671875" defaultRowHeight="13.2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9.33203125" customWidth="1"/>
    <col min="9" max="9" width="14.6640625" style="36" customWidth="1"/>
    <col min="10" max="10" width="2.5546875" style="36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>
      <c r="B1" s="32" t="s">
        <v>92</v>
      </c>
      <c r="C1" s="32" t="s">
        <v>93</v>
      </c>
      <c r="D1" s="32" t="s">
        <v>94</v>
      </c>
      <c r="E1" s="32" t="s">
        <v>96</v>
      </c>
      <c r="F1" s="23"/>
      <c r="G1" s="32" t="s">
        <v>97</v>
      </c>
    </row>
    <row r="2" spans="2:19" ht="15.6">
      <c r="B2" s="14"/>
      <c r="C2" s="14" t="str">
        <f>EnergyBalance!H2</f>
        <v>BIO</v>
      </c>
      <c r="D2" s="14" t="str">
        <f>[2]EB1!O3</f>
        <v>Biomass</v>
      </c>
      <c r="E2" s="14" t="str">
        <f>[2]EB1!$Z$2</f>
        <v>PJ</v>
      </c>
      <c r="G2" s="14" t="str">
        <f>EnergyBalance!S2</f>
        <v>M€2016</v>
      </c>
      <c r="K2" s="143" t="s">
        <v>14</v>
      </c>
      <c r="L2" s="143"/>
      <c r="M2" s="144"/>
      <c r="N2" s="144"/>
      <c r="O2" s="144"/>
      <c r="P2" s="144"/>
      <c r="Q2" s="144"/>
      <c r="R2" s="144"/>
      <c r="S2" s="144"/>
    </row>
    <row r="3" spans="2:19" ht="15.6">
      <c r="C3" s="14" t="str">
        <f>EnergyBalance!I2</f>
        <v>HYD</v>
      </c>
      <c r="D3" s="14" t="str">
        <f>[2]EB1!P3</f>
        <v>Hydro power</v>
      </c>
      <c r="E3" s="14" t="str">
        <f>[2]EB1!$Z$2</f>
        <v>PJ</v>
      </c>
      <c r="H3" s="13"/>
      <c r="K3" s="145" t="s">
        <v>7</v>
      </c>
      <c r="L3" s="146" t="s">
        <v>30</v>
      </c>
      <c r="M3" s="145" t="s">
        <v>0</v>
      </c>
      <c r="N3" s="145" t="s">
        <v>3</v>
      </c>
      <c r="O3" s="145" t="s">
        <v>4</v>
      </c>
      <c r="P3" s="145" t="s">
        <v>8</v>
      </c>
      <c r="Q3" s="145" t="s">
        <v>9</v>
      </c>
      <c r="R3" s="145" t="s">
        <v>10</v>
      </c>
      <c r="S3" s="145" t="s">
        <v>12</v>
      </c>
    </row>
    <row r="4" spans="2:19" ht="22.2" thickBot="1">
      <c r="B4" s="1"/>
      <c r="C4" s="14" t="str">
        <f>EnergyBalance!J2</f>
        <v>SOL</v>
      </c>
      <c r="D4" s="14" t="str">
        <f>[2]EB1!R3</f>
        <v>Solar energy</v>
      </c>
      <c r="E4" s="14" t="str">
        <f>[2]EB1!$Z$2</f>
        <v>PJ</v>
      </c>
      <c r="K4" s="147" t="s">
        <v>40</v>
      </c>
      <c r="L4" s="147" t="s">
        <v>31</v>
      </c>
      <c r="M4" s="147" t="s">
        <v>26</v>
      </c>
      <c r="N4" s="147" t="s">
        <v>27</v>
      </c>
      <c r="O4" s="147" t="s">
        <v>4</v>
      </c>
      <c r="P4" s="147" t="s">
        <v>43</v>
      </c>
      <c r="Q4" s="147" t="s">
        <v>44</v>
      </c>
      <c r="R4" s="147" t="s">
        <v>28</v>
      </c>
      <c r="S4" s="147" t="s">
        <v>29</v>
      </c>
    </row>
    <row r="5" spans="2:19">
      <c r="K5" s="144" t="s">
        <v>91</v>
      </c>
      <c r="L5" s="148"/>
      <c r="M5" s="144" t="str">
        <f>C2</f>
        <v>BIO</v>
      </c>
      <c r="N5" s="144" t="s">
        <v>219</v>
      </c>
      <c r="O5" s="144" t="s">
        <v>95</v>
      </c>
      <c r="P5" s="144"/>
      <c r="Q5" s="144"/>
      <c r="R5" s="144"/>
      <c r="S5" s="144"/>
    </row>
    <row r="6" spans="2:19">
      <c r="K6" s="144"/>
      <c r="L6" s="148"/>
      <c r="M6" s="144" t="str">
        <f>C3</f>
        <v>HYD</v>
      </c>
      <c r="N6" s="144" t="s">
        <v>220</v>
      </c>
      <c r="O6" s="144" t="s">
        <v>95</v>
      </c>
      <c r="P6" s="144"/>
      <c r="Q6" s="144"/>
      <c r="R6" s="144"/>
      <c r="S6" s="144"/>
    </row>
    <row r="7" spans="2:19">
      <c r="K7" s="144"/>
      <c r="L7" s="148"/>
      <c r="M7" s="144" t="str">
        <f>C4</f>
        <v>SOL</v>
      </c>
      <c r="N7" s="144" t="s">
        <v>221</v>
      </c>
      <c r="O7" s="144" t="s">
        <v>95</v>
      </c>
      <c r="P7" s="144"/>
      <c r="Q7" s="144"/>
      <c r="R7" s="144"/>
      <c r="S7" s="144"/>
    </row>
    <row r="9" spans="2:19">
      <c r="F9" s="6" t="s">
        <v>13</v>
      </c>
      <c r="H9" s="6"/>
      <c r="I9"/>
      <c r="K9" s="143" t="s">
        <v>15</v>
      </c>
      <c r="L9" s="143"/>
      <c r="M9" s="148"/>
      <c r="N9" s="148"/>
      <c r="O9" s="148"/>
      <c r="P9" s="148"/>
      <c r="Q9" s="148"/>
      <c r="R9" s="148"/>
      <c r="S9" s="148"/>
    </row>
    <row r="10" spans="2:19">
      <c r="B10" s="3" t="s">
        <v>1</v>
      </c>
      <c r="C10" s="22" t="s">
        <v>5</v>
      </c>
      <c r="D10" s="3" t="s">
        <v>6</v>
      </c>
      <c r="E10" s="3" t="s">
        <v>152</v>
      </c>
      <c r="F10" s="3" t="s">
        <v>8</v>
      </c>
      <c r="G10" s="119" t="s">
        <v>37</v>
      </c>
      <c r="H10" s="119" t="s">
        <v>38</v>
      </c>
      <c r="I10" s="119" t="s">
        <v>98</v>
      </c>
      <c r="K10" s="145" t="s">
        <v>11</v>
      </c>
      <c r="L10" s="146" t="s">
        <v>30</v>
      </c>
      <c r="M10" s="145" t="s">
        <v>1</v>
      </c>
      <c r="N10" s="145" t="s">
        <v>2</v>
      </c>
      <c r="O10" s="145" t="s">
        <v>16</v>
      </c>
      <c r="P10" s="145" t="s">
        <v>17</v>
      </c>
      <c r="Q10" s="145" t="s">
        <v>18</v>
      </c>
      <c r="R10" s="145" t="s">
        <v>19</v>
      </c>
      <c r="S10" s="145" t="s">
        <v>20</v>
      </c>
    </row>
    <row r="11" spans="2:19" ht="21.6" thickBot="1">
      <c r="B11" s="18" t="s">
        <v>42</v>
      </c>
      <c r="C11" s="18" t="s">
        <v>32</v>
      </c>
      <c r="D11" s="18" t="s">
        <v>33</v>
      </c>
      <c r="E11" s="18"/>
      <c r="F11" s="18"/>
      <c r="G11" s="18" t="s">
        <v>39</v>
      </c>
      <c r="H11" s="18" t="s">
        <v>115</v>
      </c>
      <c r="I11" s="18" t="s">
        <v>114</v>
      </c>
      <c r="K11" s="147" t="s">
        <v>41</v>
      </c>
      <c r="L11" s="147" t="s">
        <v>31</v>
      </c>
      <c r="M11" s="147" t="s">
        <v>21</v>
      </c>
      <c r="N11" s="147" t="s">
        <v>22</v>
      </c>
      <c r="O11" s="147" t="s">
        <v>23</v>
      </c>
      <c r="P11" s="147" t="s">
        <v>24</v>
      </c>
      <c r="Q11" s="147" t="s">
        <v>46</v>
      </c>
      <c r="R11" s="147" t="s">
        <v>45</v>
      </c>
      <c r="S11" s="147" t="s">
        <v>25</v>
      </c>
    </row>
    <row r="12" spans="2:19" ht="13.8" thickBot="1">
      <c r="B12" s="18" t="s">
        <v>112</v>
      </c>
      <c r="C12" s="17"/>
      <c r="D12" s="17"/>
      <c r="E12" s="17"/>
      <c r="F12" s="17"/>
      <c r="G12" s="17" t="str">
        <f>$E$2</f>
        <v>PJ</v>
      </c>
      <c r="H12" s="17" t="str">
        <f>$G$2&amp;"/"&amp;$E$2</f>
        <v>M€2016/PJ</v>
      </c>
      <c r="I12" s="17" t="str">
        <f>$E$2</f>
        <v>PJ</v>
      </c>
      <c r="K12" s="147" t="s">
        <v>101</v>
      </c>
      <c r="L12" s="149"/>
      <c r="M12" s="149"/>
      <c r="N12" s="149"/>
      <c r="O12" s="149"/>
      <c r="P12" s="149"/>
      <c r="Q12" s="149"/>
      <c r="R12" s="149"/>
      <c r="S12" s="149"/>
    </row>
    <row r="13" spans="2:19">
      <c r="B13" s="144" t="str">
        <f>M13</f>
        <v>MINBIO1</v>
      </c>
      <c r="C13" s="185"/>
      <c r="D13" s="144" t="str">
        <f>$M$5</f>
        <v>BIO</v>
      </c>
      <c r="E13" s="1"/>
      <c r="F13" s="1"/>
      <c r="G13" s="190">
        <v>21000</v>
      </c>
      <c r="H13" s="191">
        <v>13</v>
      </c>
      <c r="I13">
        <v>179</v>
      </c>
      <c r="K13" s="144" t="str">
        <f>EnergyBalance!$B$5</f>
        <v>MIN</v>
      </c>
      <c r="L13" s="148"/>
      <c r="M13" s="148" t="str">
        <f>$K$13&amp;$C$2&amp;1</f>
        <v>MINBIO1</v>
      </c>
      <c r="N13" s="150" t="s">
        <v>222</v>
      </c>
      <c r="O13" s="148" t="s">
        <v>95</v>
      </c>
      <c r="P13" s="148" t="s">
        <v>223</v>
      </c>
      <c r="Q13" s="148"/>
      <c r="R13" s="148"/>
      <c r="S13" s="148"/>
    </row>
    <row r="14" spans="2:19">
      <c r="B14" s="144" t="str">
        <f>M14</f>
        <v>MINHYD1</v>
      </c>
      <c r="C14" s="185"/>
      <c r="D14" s="144" t="str">
        <f>M6</f>
        <v>HYD</v>
      </c>
      <c r="E14" s="1"/>
      <c r="F14" s="1"/>
      <c r="G14" s="190">
        <v>7700</v>
      </c>
      <c r="H14" s="191">
        <v>8</v>
      </c>
      <c r="I14">
        <v>21</v>
      </c>
      <c r="K14" s="144"/>
      <c r="L14" s="148"/>
      <c r="M14" s="148" t="str">
        <f>$K$13&amp;$C$3&amp;1</f>
        <v>MINHYD1</v>
      </c>
      <c r="N14" s="150" t="s">
        <v>224</v>
      </c>
      <c r="O14" s="148" t="s">
        <v>95</v>
      </c>
      <c r="P14" s="148" t="s">
        <v>223</v>
      </c>
      <c r="Q14" s="148"/>
      <c r="R14" s="148"/>
      <c r="S14" s="148"/>
    </row>
    <row r="15" spans="2:19">
      <c r="B15" s="144" t="str">
        <f>M15</f>
        <v>MINSOL1</v>
      </c>
      <c r="C15" s="185"/>
      <c r="D15" s="144" t="str">
        <f>M7</f>
        <v>SOL</v>
      </c>
      <c r="E15" s="1"/>
      <c r="F15" s="1"/>
      <c r="G15" s="190">
        <v>5100</v>
      </c>
      <c r="H15" s="191">
        <v>11</v>
      </c>
      <c r="I15">
        <v>8.3999999999999995E-3</v>
      </c>
      <c r="K15" s="144"/>
      <c r="L15" s="148"/>
      <c r="M15" s="148" t="str">
        <f>$K$13&amp;$C$4&amp;1</f>
        <v>MINSOL1</v>
      </c>
      <c r="N15" s="150" t="s">
        <v>225</v>
      </c>
      <c r="O15" s="148" t="s">
        <v>95</v>
      </c>
      <c r="P15" s="148" t="s">
        <v>223</v>
      </c>
      <c r="Q15" s="148"/>
      <c r="R15" s="148"/>
      <c r="S15" s="148"/>
    </row>
    <row r="16" spans="2:19">
      <c r="B16" s="185"/>
      <c r="C16" s="185"/>
      <c r="D16" s="188"/>
      <c r="E16" s="1"/>
      <c r="F16" s="1"/>
      <c r="G16" s="15"/>
      <c r="H16" s="33"/>
      <c r="I16"/>
      <c r="N16" s="23"/>
    </row>
    <row r="17" spans="2:14">
      <c r="B17" s="185"/>
      <c r="C17" s="185"/>
      <c r="D17" s="188"/>
      <c r="E17" s="1"/>
      <c r="F17" s="1"/>
      <c r="G17" s="15"/>
      <c r="H17" s="33"/>
      <c r="I17"/>
      <c r="N17" s="23"/>
    </row>
    <row r="18" spans="2:14">
      <c r="B18" s="185"/>
      <c r="C18" s="185"/>
      <c r="D18" s="188"/>
      <c r="E18" s="1"/>
      <c r="F18" s="1"/>
      <c r="G18" s="1"/>
      <c r="H18" s="33"/>
      <c r="I18"/>
      <c r="N18" s="23"/>
    </row>
    <row r="19" spans="2:14">
      <c r="B19" s="1"/>
      <c r="C19" s="1"/>
      <c r="D19" s="1"/>
      <c r="E19" s="1"/>
      <c r="F19" s="1"/>
      <c r="G19" s="1"/>
      <c r="H19" s="33"/>
      <c r="I19" s="10"/>
      <c r="N19" s="23"/>
    </row>
    <row r="20" spans="2:14">
      <c r="B20" s="1"/>
      <c r="C20" s="1"/>
      <c r="F20" s="1"/>
      <c r="G20" s="1"/>
      <c r="H20" s="1"/>
    </row>
    <row r="24" spans="2:14" ht="19.5" customHeight="1"/>
    <row r="27" spans="2:14">
      <c r="B27" s="57"/>
      <c r="C27" s="1" t="s">
        <v>190</v>
      </c>
    </row>
    <row r="28" spans="2:14">
      <c r="B28" s="96"/>
      <c r="C28" s="1" t="s">
        <v>191</v>
      </c>
    </row>
  </sheetData>
  <phoneticPr fontId="36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I23" sqref="I23:I24"/>
    </sheetView>
  </sheetViews>
  <sheetFormatPr defaultColWidth="8.88671875" defaultRowHeight="13.2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36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>
      <c r="B1" s="32" t="s">
        <v>92</v>
      </c>
      <c r="C1" s="32" t="s">
        <v>93</v>
      </c>
      <c r="D1" s="32" t="s">
        <v>94</v>
      </c>
      <c r="E1" s="32" t="s">
        <v>96</v>
      </c>
      <c r="F1" s="23"/>
      <c r="G1" s="32" t="s">
        <v>97</v>
      </c>
    </row>
    <row r="2" spans="2:19" ht="15.6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EnergyBalance!T2</f>
        <v>PJ</v>
      </c>
      <c r="G2" s="14" t="str">
        <f>EnergyBalance!S2</f>
        <v>M€2016</v>
      </c>
      <c r="K2" s="143" t="s">
        <v>14</v>
      </c>
      <c r="L2" s="143"/>
      <c r="M2" s="144"/>
      <c r="N2" s="144"/>
      <c r="O2" s="144"/>
      <c r="P2" s="144"/>
      <c r="Q2" s="144"/>
      <c r="R2" s="144"/>
      <c r="S2" s="144"/>
    </row>
    <row r="3" spans="2:19">
      <c r="H3" s="13"/>
      <c r="K3" s="145" t="s">
        <v>7</v>
      </c>
      <c r="L3" s="146" t="s">
        <v>30</v>
      </c>
      <c r="M3" s="145" t="s">
        <v>0</v>
      </c>
      <c r="N3" s="145" t="s">
        <v>3</v>
      </c>
      <c r="O3" s="145" t="s">
        <v>4</v>
      </c>
      <c r="P3" s="145" t="s">
        <v>8</v>
      </c>
      <c r="Q3" s="145" t="s">
        <v>9</v>
      </c>
      <c r="R3" s="145" t="s">
        <v>10</v>
      </c>
      <c r="S3" s="145" t="s">
        <v>12</v>
      </c>
    </row>
    <row r="4" spans="2:19" ht="21.6" thickBot="1">
      <c r="B4" s="1"/>
      <c r="K4" s="147" t="s">
        <v>40</v>
      </c>
      <c r="L4" s="147" t="s">
        <v>31</v>
      </c>
      <c r="M4" s="147" t="s">
        <v>26</v>
      </c>
      <c r="N4" s="147" t="s">
        <v>27</v>
      </c>
      <c r="O4" s="147" t="s">
        <v>4</v>
      </c>
      <c r="P4" s="147" t="s">
        <v>43</v>
      </c>
      <c r="Q4" s="147" t="s">
        <v>44</v>
      </c>
      <c r="R4" s="147" t="s">
        <v>28</v>
      </c>
      <c r="S4" s="147" t="s">
        <v>29</v>
      </c>
    </row>
    <row r="5" spans="2:19">
      <c r="K5" s="144" t="s">
        <v>91</v>
      </c>
      <c r="L5" s="148"/>
      <c r="M5" s="144" t="str">
        <f>C2</f>
        <v>NUC</v>
      </c>
      <c r="N5" s="144" t="str">
        <f>D2</f>
        <v>Nuclear Energy</v>
      </c>
      <c r="O5" s="144" t="str">
        <f>$E$2</f>
        <v>PJ</v>
      </c>
      <c r="P5" s="144"/>
      <c r="Q5" s="144"/>
      <c r="R5" s="144"/>
      <c r="S5" s="144"/>
    </row>
    <row r="7" spans="2:19">
      <c r="F7" s="6" t="s">
        <v>13</v>
      </c>
      <c r="H7" s="6"/>
      <c r="K7" s="143" t="s">
        <v>15</v>
      </c>
      <c r="L7" s="143"/>
      <c r="M7" s="148"/>
      <c r="N7" s="148"/>
      <c r="O7" s="148"/>
      <c r="P7" s="148"/>
      <c r="Q7" s="148"/>
      <c r="R7" s="148"/>
      <c r="S7" s="148"/>
    </row>
    <row r="8" spans="2:19">
      <c r="B8" s="3" t="s">
        <v>1</v>
      </c>
      <c r="C8" s="22" t="s">
        <v>5</v>
      </c>
      <c r="D8" s="3" t="s">
        <v>6</v>
      </c>
      <c r="E8" s="3" t="s">
        <v>152</v>
      </c>
      <c r="F8" s="3" t="s">
        <v>8</v>
      </c>
      <c r="G8" s="119" t="s">
        <v>37</v>
      </c>
      <c r="H8" s="119" t="s">
        <v>38</v>
      </c>
      <c r="I8" s="119" t="s">
        <v>98</v>
      </c>
      <c r="K8" s="145" t="s">
        <v>11</v>
      </c>
      <c r="L8" s="146" t="s">
        <v>30</v>
      </c>
      <c r="M8" s="145" t="s">
        <v>1</v>
      </c>
      <c r="N8" s="145" t="s">
        <v>2</v>
      </c>
      <c r="O8" s="145" t="s">
        <v>16</v>
      </c>
      <c r="P8" s="145" t="s">
        <v>17</v>
      </c>
      <c r="Q8" s="145" t="s">
        <v>18</v>
      </c>
      <c r="R8" s="145" t="s">
        <v>19</v>
      </c>
      <c r="S8" s="145" t="s">
        <v>20</v>
      </c>
    </row>
    <row r="9" spans="2:19" ht="21.6" thickBot="1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115</v>
      </c>
      <c r="I9" s="17" t="s">
        <v>114</v>
      </c>
      <c r="K9" s="147" t="s">
        <v>41</v>
      </c>
      <c r="L9" s="147" t="s">
        <v>31</v>
      </c>
      <c r="M9" s="147" t="s">
        <v>21</v>
      </c>
      <c r="N9" s="147" t="s">
        <v>22</v>
      </c>
      <c r="O9" s="147" t="s">
        <v>23</v>
      </c>
      <c r="P9" s="147" t="s">
        <v>24</v>
      </c>
      <c r="Q9" s="147" t="s">
        <v>46</v>
      </c>
      <c r="R9" s="147" t="s">
        <v>45</v>
      </c>
      <c r="S9" s="147" t="s">
        <v>25</v>
      </c>
    </row>
    <row r="10" spans="2:19" ht="13.8" thickBot="1">
      <c r="B10" s="18" t="s">
        <v>112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M€2016/PJ</v>
      </c>
      <c r="I10" s="17" t="str">
        <f>$E$2</f>
        <v>PJ</v>
      </c>
      <c r="K10" s="147" t="s">
        <v>101</v>
      </c>
      <c r="L10" s="149"/>
      <c r="M10" s="149"/>
      <c r="N10" s="149"/>
      <c r="O10" s="149"/>
      <c r="P10" s="149"/>
      <c r="Q10" s="149"/>
      <c r="R10" s="149"/>
      <c r="S10" s="149"/>
    </row>
    <row r="11" spans="2:19">
      <c r="B11" s="1" t="str">
        <f>M11</f>
        <v>MINNUC1</v>
      </c>
      <c r="C11" s="1"/>
      <c r="D11" s="1" t="str">
        <f>$M$5</f>
        <v>NUC</v>
      </c>
      <c r="E11" s="1"/>
      <c r="F11" s="1"/>
      <c r="G11" s="127">
        <v>0</v>
      </c>
      <c r="H11" s="128"/>
      <c r="I11" s="129"/>
      <c r="K11" s="144" t="str">
        <f>EnergyBalance!$B$5</f>
        <v>MIN</v>
      </c>
      <c r="L11" s="148"/>
      <c r="M11" s="148" t="str">
        <f>$K$11&amp;$C$2&amp;1</f>
        <v>MINNUC1</v>
      </c>
      <c r="N11" s="150" t="str">
        <f>"Domestic Supply of "&amp;$D$2&amp; " Step "&amp;RIGHT(M11,1)</f>
        <v>Domestic Supply of Nuclear Energy Step 1</v>
      </c>
      <c r="O11" s="148" t="str">
        <f>$E$2</f>
        <v>PJ</v>
      </c>
      <c r="P11" s="148"/>
      <c r="Q11" s="148"/>
      <c r="R11" s="148"/>
      <c r="S11" s="148"/>
    </row>
    <row r="12" spans="2:19">
      <c r="B12" s="1"/>
      <c r="C12" s="1"/>
      <c r="D12" s="1"/>
      <c r="E12" s="1"/>
      <c r="F12" s="1"/>
      <c r="G12" s="15"/>
      <c r="H12" s="33"/>
      <c r="N12" s="23"/>
    </row>
    <row r="13" spans="2:19">
      <c r="B13" s="1"/>
      <c r="C13" s="1"/>
      <c r="D13" s="1"/>
      <c r="E13" s="1"/>
      <c r="F13" s="1"/>
      <c r="G13" s="15"/>
      <c r="H13" s="33"/>
      <c r="N13" s="23"/>
    </row>
    <row r="14" spans="2:19">
      <c r="B14" s="1"/>
      <c r="C14" s="1"/>
      <c r="D14" s="1"/>
      <c r="E14" s="1"/>
      <c r="F14" s="1"/>
      <c r="G14" s="1"/>
      <c r="H14" s="33"/>
      <c r="N14" s="23"/>
    </row>
    <row r="15" spans="2:19">
      <c r="B15" s="1"/>
      <c r="C15" s="1"/>
      <c r="D15" s="1"/>
      <c r="E15" s="1"/>
      <c r="F15" s="1"/>
      <c r="G15" s="1"/>
      <c r="H15" s="33"/>
      <c r="I15" s="10"/>
      <c r="N15" s="23"/>
    </row>
    <row r="16" spans="2:19">
      <c r="B16" s="1"/>
      <c r="C16" s="1"/>
      <c r="F16" s="1"/>
      <c r="G16" s="1"/>
      <c r="H16" s="1"/>
      <c r="I16" s="10"/>
    </row>
    <row r="20" spans="2:3" ht="19.5" customHeight="1"/>
    <row r="23" spans="2:3">
      <c r="B23" s="57"/>
      <c r="C23" s="1" t="s">
        <v>190</v>
      </c>
    </row>
    <row r="24" spans="2:3">
      <c r="B24" s="96"/>
      <c r="C24" s="1" t="s">
        <v>191</v>
      </c>
    </row>
  </sheetData>
  <phoneticPr fontId="36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P31" sqref="P31"/>
    </sheetView>
  </sheetViews>
  <sheetFormatPr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5.33203125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1" t="s">
        <v>92</v>
      </c>
      <c r="C1" s="11" t="s">
        <v>93</v>
      </c>
      <c r="D1" s="11" t="s">
        <v>94</v>
      </c>
      <c r="E1" s="11" t="s">
        <v>148</v>
      </c>
      <c r="F1" s="11" t="s">
        <v>117</v>
      </c>
      <c r="G1" s="11" t="s">
        <v>124</v>
      </c>
    </row>
    <row r="2" spans="2:17" ht="15.6">
      <c r="B2" s="14" t="str">
        <f>EnergyBalance!B11</f>
        <v>ELC</v>
      </c>
      <c r="C2" s="14" t="str">
        <f>EnergyBalance!C11</f>
        <v>Electricity Plants</v>
      </c>
      <c r="D2" s="14" t="s">
        <v>226</v>
      </c>
      <c r="E2" s="14" t="str">
        <f>EnergyBalance!T2</f>
        <v>PJ</v>
      </c>
      <c r="F2" s="14" t="str">
        <f>EnergyBalance!S2</f>
        <v>M€2016</v>
      </c>
      <c r="G2" s="14" t="s">
        <v>125</v>
      </c>
      <c r="I2" s="143" t="s">
        <v>14</v>
      </c>
      <c r="J2" s="143"/>
      <c r="K2" s="144"/>
      <c r="L2" s="144"/>
      <c r="M2" s="144"/>
      <c r="N2" s="144"/>
      <c r="O2" s="144"/>
      <c r="P2" s="144"/>
      <c r="Q2" s="144"/>
    </row>
    <row r="3" spans="2:17">
      <c r="I3" s="145" t="s">
        <v>7</v>
      </c>
      <c r="J3" s="146" t="s">
        <v>30</v>
      </c>
      <c r="K3" s="145" t="s">
        <v>0</v>
      </c>
      <c r="L3" s="145" t="s">
        <v>3</v>
      </c>
      <c r="M3" s="145" t="s">
        <v>4</v>
      </c>
      <c r="N3" s="145" t="s">
        <v>8</v>
      </c>
      <c r="O3" s="145" t="s">
        <v>9</v>
      </c>
      <c r="P3" s="145" t="s">
        <v>10</v>
      </c>
      <c r="Q3" s="145" t="s">
        <v>12</v>
      </c>
    </row>
    <row r="4" spans="2:17" ht="22.2" thickBot="1">
      <c r="B4" s="12"/>
      <c r="C4" s="12"/>
      <c r="D4" s="12"/>
      <c r="E4" s="12"/>
      <c r="I4" s="147" t="s">
        <v>40</v>
      </c>
      <c r="J4" s="147" t="s">
        <v>31</v>
      </c>
      <c r="K4" s="147" t="s">
        <v>26</v>
      </c>
      <c r="L4" s="147" t="s">
        <v>27</v>
      </c>
      <c r="M4" s="147" t="s">
        <v>4</v>
      </c>
      <c r="N4" s="147" t="s">
        <v>43</v>
      </c>
      <c r="O4" s="147" t="s">
        <v>44</v>
      </c>
      <c r="P4" s="147" t="s">
        <v>28</v>
      </c>
      <c r="Q4" s="147" t="s">
        <v>29</v>
      </c>
    </row>
    <row r="5" spans="2:17">
      <c r="E5" s="16"/>
      <c r="F5" s="16"/>
      <c r="I5" s="148" t="s">
        <v>91</v>
      </c>
      <c r="J5" s="148"/>
      <c r="K5" s="148" t="str">
        <f>$B$2&amp;EnergyBalance!$D$2</f>
        <v>ELCCOA</v>
      </c>
      <c r="L5" s="150" t="str">
        <f>Con_ELC!$C$2&amp;" "&amp;EnergyBalance!$D$3</f>
        <v>Electricity Plants Solid Fuels</v>
      </c>
      <c r="M5" s="148" t="str">
        <f t="shared" ref="M5:M11" si="0">$E$2</f>
        <v>PJ</v>
      </c>
      <c r="N5" s="148"/>
      <c r="O5" s="148"/>
      <c r="P5" s="148"/>
      <c r="Q5" s="148"/>
    </row>
    <row r="6" spans="2:17">
      <c r="E6" s="16"/>
      <c r="F6" s="16"/>
      <c r="I6" s="148"/>
      <c r="J6" s="148"/>
      <c r="K6" s="148" t="str">
        <f>$B$2&amp;EnergyBalance!$E$2</f>
        <v>ELCGAS</v>
      </c>
      <c r="L6" s="150" t="str">
        <f>Con_ELC!$C$2&amp;" "&amp;EnergyBalance!$E$3</f>
        <v>Electricity Plants Natural Gas</v>
      </c>
      <c r="M6" s="148" t="str">
        <f t="shared" si="0"/>
        <v>PJ</v>
      </c>
      <c r="N6" s="148"/>
      <c r="O6" s="148"/>
      <c r="P6" s="148"/>
      <c r="Q6" s="148"/>
    </row>
    <row r="7" spans="2:17">
      <c r="E7" s="16"/>
      <c r="F7" s="16"/>
      <c r="I7" s="148"/>
      <c r="J7" s="148"/>
      <c r="K7" s="148" t="str">
        <f>$B$2&amp;EnergyBalance!$F$2</f>
        <v>ELCOIL</v>
      </c>
      <c r="L7" s="150" t="str">
        <f>Con_ELC!$C$2&amp;" "&amp;EnergyBalance!$F$3</f>
        <v>Electricity Plants Crude Oil</v>
      </c>
      <c r="M7" s="148" t="str">
        <f t="shared" si="0"/>
        <v>PJ</v>
      </c>
      <c r="N7" s="148"/>
      <c r="O7" s="148"/>
      <c r="P7" s="148"/>
      <c r="Q7" s="148"/>
    </row>
    <row r="8" spans="2:17">
      <c r="E8" s="16"/>
      <c r="F8" s="16"/>
      <c r="I8" s="148"/>
      <c r="J8" s="148"/>
      <c r="K8" s="148" t="str">
        <f>$B$2&amp;EnergyBalance!$H$2</f>
        <v>ELCBIO</v>
      </c>
      <c r="L8" s="150" t="str">
        <f>$C$2&amp;" "&amp;[3]EB1!$O$3</f>
        <v>Electricity Plants Biomass</v>
      </c>
      <c r="M8" s="148" t="str">
        <f t="shared" si="0"/>
        <v>PJ</v>
      </c>
      <c r="N8" s="148"/>
      <c r="O8" s="148"/>
      <c r="P8" s="148"/>
      <c r="Q8" s="148"/>
    </row>
    <row r="9" spans="2:17">
      <c r="E9" s="16"/>
      <c r="F9" s="16"/>
      <c r="I9" s="148"/>
      <c r="J9" s="148"/>
      <c r="K9" s="148" t="str">
        <f>$B$2&amp;EnergyBalance!$I$2</f>
        <v>ELCHYD</v>
      </c>
      <c r="L9" s="150" t="str">
        <f>$C$2&amp;" "&amp;[3]EB1!$P$3</f>
        <v>Electricity Plants Hydro power</v>
      </c>
      <c r="M9" s="148" t="str">
        <f t="shared" si="0"/>
        <v>PJ</v>
      </c>
      <c r="N9" s="148"/>
      <c r="O9" s="148"/>
      <c r="P9" s="148"/>
      <c r="Q9" s="148"/>
    </row>
    <row r="10" spans="2:17">
      <c r="E10" s="16"/>
      <c r="F10" s="16"/>
      <c r="I10" s="148"/>
      <c r="J10" s="148"/>
      <c r="K10" s="148" t="str">
        <f>$B$2&amp;EnergyBalance!$J$2</f>
        <v>ELCSOL</v>
      </c>
      <c r="L10" s="150" t="str">
        <f>$C$2&amp;" "&amp;[3]EB1!$R$3</f>
        <v>Electricity Plants Solar energy</v>
      </c>
      <c r="M10" s="148" t="str">
        <f t="shared" si="0"/>
        <v>PJ</v>
      </c>
      <c r="N10" s="148"/>
      <c r="O10" s="148"/>
      <c r="P10" s="148"/>
      <c r="Q10" s="148"/>
    </row>
    <row r="11" spans="2:17">
      <c r="E11" s="16"/>
      <c r="F11" s="16"/>
      <c r="I11" s="148"/>
      <c r="J11" s="148"/>
      <c r="K11" s="148" t="str">
        <f>$B$2&amp;EnergyBalance!$G$2</f>
        <v>ELCNUC</v>
      </c>
      <c r="L11" s="150" t="str">
        <f>Con_ELC!$C$2&amp;" "&amp;EnergyBalance!$G$3</f>
        <v>Electricity Plants Nuclear Energy</v>
      </c>
      <c r="M11" s="148" t="str">
        <f t="shared" si="0"/>
        <v>PJ</v>
      </c>
      <c r="N11" s="148"/>
      <c r="O11" s="148"/>
      <c r="P11" s="148"/>
      <c r="Q11" s="148"/>
    </row>
    <row r="12" spans="2:17">
      <c r="K12" s="36"/>
      <c r="L12" s="37"/>
    </row>
    <row r="13" spans="2:17">
      <c r="D13" s="6" t="s">
        <v>13</v>
      </c>
      <c r="E13" s="6"/>
      <c r="F13" s="6"/>
      <c r="I13" s="143" t="s">
        <v>15</v>
      </c>
      <c r="J13" s="143"/>
      <c r="K13" s="148"/>
      <c r="L13" s="148"/>
      <c r="M13" s="148"/>
      <c r="N13" s="148"/>
      <c r="O13" s="148"/>
      <c r="P13" s="148"/>
      <c r="Q13" s="148"/>
    </row>
    <row r="14" spans="2:17">
      <c r="B14" s="21" t="s">
        <v>1</v>
      </c>
      <c r="C14" s="21" t="s">
        <v>5</v>
      </c>
      <c r="D14" s="21" t="s">
        <v>6</v>
      </c>
      <c r="E14" s="120" t="s">
        <v>201</v>
      </c>
      <c r="F14" s="120" t="s">
        <v>106</v>
      </c>
      <c r="G14" s="120" t="s">
        <v>99</v>
      </c>
      <c r="I14" s="145" t="s">
        <v>11</v>
      </c>
      <c r="J14" s="146" t="s">
        <v>30</v>
      </c>
      <c r="K14" s="145" t="s">
        <v>1</v>
      </c>
      <c r="L14" s="145" t="s">
        <v>2</v>
      </c>
      <c r="M14" s="145" t="s">
        <v>16</v>
      </c>
      <c r="N14" s="145" t="s">
        <v>17</v>
      </c>
      <c r="O14" s="145" t="s">
        <v>18</v>
      </c>
      <c r="P14" s="145" t="s">
        <v>19</v>
      </c>
      <c r="Q14" s="145" t="s">
        <v>20</v>
      </c>
    </row>
    <row r="15" spans="2:17" ht="21.6" thickBot="1">
      <c r="B15" s="19" t="s">
        <v>42</v>
      </c>
      <c r="C15" s="19" t="s">
        <v>32</v>
      </c>
      <c r="D15" s="19" t="s">
        <v>33</v>
      </c>
      <c r="E15" s="19" t="s">
        <v>34</v>
      </c>
      <c r="F15" s="116" t="s">
        <v>111</v>
      </c>
      <c r="G15" s="19" t="s">
        <v>208</v>
      </c>
      <c r="I15" s="147" t="s">
        <v>41</v>
      </c>
      <c r="J15" s="147" t="s">
        <v>31</v>
      </c>
      <c r="K15" s="147" t="s">
        <v>21</v>
      </c>
      <c r="L15" s="147" t="s">
        <v>22</v>
      </c>
      <c r="M15" s="147" t="s">
        <v>23</v>
      </c>
      <c r="N15" s="147" t="s">
        <v>24</v>
      </c>
      <c r="O15" s="147" t="s">
        <v>46</v>
      </c>
      <c r="P15" s="147" t="s">
        <v>45</v>
      </c>
      <c r="Q15" s="147" t="s">
        <v>25</v>
      </c>
    </row>
    <row r="16" spans="2:17" ht="13.8" thickBot="1">
      <c r="B16" s="18" t="s">
        <v>112</v>
      </c>
      <c r="C16" s="18"/>
      <c r="D16" s="18"/>
      <c r="E16" s="17" t="str">
        <f>E2&amp;"a"</f>
        <v>PJa</v>
      </c>
      <c r="F16" s="17"/>
      <c r="G16" s="17" t="s">
        <v>113</v>
      </c>
      <c r="I16" s="147" t="s">
        <v>101</v>
      </c>
      <c r="J16" s="149"/>
      <c r="K16" s="149"/>
      <c r="L16" s="149"/>
      <c r="M16" s="149"/>
      <c r="N16" s="149"/>
      <c r="O16" s="149"/>
      <c r="P16" s="149"/>
      <c r="Q16" s="149"/>
    </row>
    <row r="17" spans="2:17">
      <c r="B17" t="str">
        <f t="shared" ref="B17:B23" si="1">K17</f>
        <v>FTE-ELCCOA</v>
      </c>
      <c r="C17" t="str">
        <f t="shared" ref="C17:C23" si="2">RIGHT(D17,3)</f>
        <v>COA</v>
      </c>
      <c r="D17" s="148" t="str">
        <f t="shared" ref="D17:D23" si="3">K5</f>
        <v>ELCCOA</v>
      </c>
      <c r="E17" s="10"/>
      <c r="F17" s="98">
        <v>1</v>
      </c>
      <c r="G17" s="99">
        <v>30</v>
      </c>
      <c r="I17" s="144" t="s">
        <v>147</v>
      </c>
      <c r="J17" s="148"/>
      <c r="K17" s="148" t="str">
        <f t="shared" ref="K17:K23" si="4">"FT"&amp;$G$2&amp;"-"&amp;K5</f>
        <v>FTE-ELCCOA</v>
      </c>
      <c r="L17" s="150" t="str">
        <f t="shared" ref="L17:L23" si="5">$D$2&amp;" Technology"&amp;" "&amp;$G$1&amp;" "&amp;L5</f>
        <v>Sector Fuel Technology Existing Electricity Plants Solid Fuels</v>
      </c>
      <c r="M17" s="148" t="str">
        <f t="shared" ref="M17:M23" si="6">$E$2</f>
        <v>PJ</v>
      </c>
      <c r="N17" s="148" t="str">
        <f t="shared" ref="N17:N23" si="7">$E$2&amp;"a"</f>
        <v>PJa</v>
      </c>
      <c r="O17" s="148"/>
      <c r="P17" s="148"/>
      <c r="Q17" s="148"/>
    </row>
    <row r="18" spans="2:17">
      <c r="B18" t="str">
        <f t="shared" si="1"/>
        <v>FTE-ELCGAS</v>
      </c>
      <c r="C18" t="str">
        <f t="shared" si="2"/>
        <v>GAS</v>
      </c>
      <c r="D18" s="148" t="str">
        <f t="shared" si="3"/>
        <v>ELCGAS</v>
      </c>
      <c r="E18" s="10"/>
      <c r="F18" s="98">
        <v>1</v>
      </c>
      <c r="G18" s="99">
        <v>30</v>
      </c>
      <c r="I18" s="148"/>
      <c r="J18" s="148"/>
      <c r="K18" s="148" t="str">
        <f t="shared" si="4"/>
        <v>FTE-ELCGAS</v>
      </c>
      <c r="L18" s="150" t="str">
        <f t="shared" si="5"/>
        <v>Sector Fuel Technology Existing Electricity Plants Natural Gas</v>
      </c>
      <c r="M18" s="148" t="str">
        <f t="shared" si="6"/>
        <v>PJ</v>
      </c>
      <c r="N18" s="148" t="str">
        <f t="shared" si="7"/>
        <v>PJa</v>
      </c>
      <c r="O18" s="148"/>
      <c r="P18" s="148"/>
      <c r="Q18" s="148"/>
    </row>
    <row r="19" spans="2:17">
      <c r="B19" t="str">
        <f t="shared" si="1"/>
        <v>FTE-ELCOIL</v>
      </c>
      <c r="C19" t="str">
        <f t="shared" si="2"/>
        <v>OIL</v>
      </c>
      <c r="D19" s="151" t="str">
        <f t="shared" si="3"/>
        <v>ELCOIL</v>
      </c>
      <c r="E19" s="16"/>
      <c r="F19" s="98">
        <v>1</v>
      </c>
      <c r="G19" s="99">
        <v>30</v>
      </c>
      <c r="I19" s="148"/>
      <c r="J19" s="148"/>
      <c r="K19" s="148" t="str">
        <f t="shared" si="4"/>
        <v>FTE-ELCOIL</v>
      </c>
      <c r="L19" s="148" t="str">
        <f t="shared" si="5"/>
        <v>Sector Fuel Technology Existing Electricity Plants Crude Oil</v>
      </c>
      <c r="M19" s="148" t="str">
        <f t="shared" si="6"/>
        <v>PJ</v>
      </c>
      <c r="N19" s="148" t="str">
        <f t="shared" si="7"/>
        <v>PJa</v>
      </c>
      <c r="O19" s="148"/>
      <c r="P19" s="148"/>
      <c r="Q19" s="148"/>
    </row>
    <row r="20" spans="2:17">
      <c r="B20" t="str">
        <f t="shared" si="1"/>
        <v>FTE-ELCBIO</v>
      </c>
      <c r="C20" t="str">
        <f t="shared" si="2"/>
        <v>BIO</v>
      </c>
      <c r="D20" s="151" t="str">
        <f t="shared" si="3"/>
        <v>ELCBIO</v>
      </c>
      <c r="E20" s="16"/>
      <c r="F20" s="98">
        <v>1</v>
      </c>
      <c r="G20" s="99">
        <v>30</v>
      </c>
      <c r="I20" s="148"/>
      <c r="J20" s="148"/>
      <c r="K20" s="148" t="str">
        <f t="shared" si="4"/>
        <v>FTE-ELCBIO</v>
      </c>
      <c r="L20" s="148" t="str">
        <f t="shared" si="5"/>
        <v>Sector Fuel Technology Existing Electricity Plants Biomass</v>
      </c>
      <c r="M20" s="148" t="str">
        <f t="shared" si="6"/>
        <v>PJ</v>
      </c>
      <c r="N20" s="148" t="str">
        <f t="shared" si="7"/>
        <v>PJa</v>
      </c>
      <c r="O20" s="148"/>
      <c r="P20" s="148"/>
      <c r="Q20" s="148"/>
    </row>
    <row r="21" spans="2:17">
      <c r="B21" t="str">
        <f t="shared" si="1"/>
        <v>FTE-ELCHYD</v>
      </c>
      <c r="C21" t="str">
        <f>RIGHT(D21,3)</f>
        <v>HYD</v>
      </c>
      <c r="D21" s="151" t="str">
        <f t="shared" si="3"/>
        <v>ELCHYD</v>
      </c>
      <c r="E21" s="16"/>
      <c r="F21" s="98">
        <v>1</v>
      </c>
      <c r="G21" s="99">
        <v>30</v>
      </c>
      <c r="I21" s="148"/>
      <c r="J21" s="148"/>
      <c r="K21" s="148" t="str">
        <f t="shared" si="4"/>
        <v>FTE-ELCHYD</v>
      </c>
      <c r="L21" s="148" t="str">
        <f t="shared" si="5"/>
        <v>Sector Fuel Technology Existing Electricity Plants Hydro power</v>
      </c>
      <c r="M21" s="148" t="str">
        <f t="shared" si="6"/>
        <v>PJ</v>
      </c>
      <c r="N21" s="148" t="str">
        <f t="shared" si="7"/>
        <v>PJa</v>
      </c>
      <c r="O21" s="148"/>
      <c r="P21" s="148"/>
      <c r="Q21" s="148"/>
    </row>
    <row r="22" spans="2:17">
      <c r="B22" t="str">
        <f t="shared" si="1"/>
        <v>FTE-ELCSOL</v>
      </c>
      <c r="C22" t="str">
        <f t="shared" si="2"/>
        <v>SOL</v>
      </c>
      <c r="D22" s="151" t="str">
        <f t="shared" si="3"/>
        <v>ELCSOL</v>
      </c>
      <c r="E22" s="16"/>
      <c r="F22" s="98">
        <v>1</v>
      </c>
      <c r="G22" s="99">
        <v>30</v>
      </c>
      <c r="I22" s="148"/>
      <c r="J22" s="148"/>
      <c r="K22" s="148" t="str">
        <f t="shared" si="4"/>
        <v>FTE-ELCSOL</v>
      </c>
      <c r="L22" s="148" t="str">
        <f t="shared" si="5"/>
        <v>Sector Fuel Technology Existing Electricity Plants Solar energy</v>
      </c>
      <c r="M22" s="148" t="str">
        <f t="shared" si="6"/>
        <v>PJ</v>
      </c>
      <c r="N22" s="148" t="str">
        <f t="shared" si="7"/>
        <v>PJa</v>
      </c>
      <c r="O22" s="148"/>
      <c r="P22" s="148"/>
      <c r="Q22" s="148"/>
    </row>
    <row r="23" spans="2:17">
      <c r="B23" t="str">
        <f t="shared" si="1"/>
        <v>FTE-ELCNUC</v>
      </c>
      <c r="C23" t="str">
        <f t="shared" si="2"/>
        <v>NUC</v>
      </c>
      <c r="D23" s="36" t="str">
        <f t="shared" si="3"/>
        <v>ELCNUC</v>
      </c>
      <c r="E23" s="16"/>
      <c r="F23" s="98">
        <v>1</v>
      </c>
      <c r="G23" s="99">
        <v>30</v>
      </c>
      <c r="I23" s="151"/>
      <c r="J23" s="151"/>
      <c r="K23" s="148" t="str">
        <f t="shared" si="4"/>
        <v>FTE-ELCNUC</v>
      </c>
      <c r="L23" s="150" t="str">
        <f t="shared" si="5"/>
        <v>Sector Fuel Technology Existing Electricity Plants Nuclear Energy</v>
      </c>
      <c r="M23" s="148" t="str">
        <f t="shared" si="6"/>
        <v>PJ</v>
      </c>
      <c r="N23" s="148" t="str">
        <f t="shared" si="7"/>
        <v>PJa</v>
      </c>
      <c r="O23" s="148"/>
      <c r="P23" s="148"/>
      <c r="Q23" s="148"/>
    </row>
    <row r="24" spans="2:17">
      <c r="G24" s="185"/>
      <c r="I24" s="36"/>
      <c r="J24" s="36"/>
    </row>
    <row r="25" spans="2:17">
      <c r="I25" s="36"/>
      <c r="J25" s="36"/>
    </row>
    <row r="26" spans="2:17">
      <c r="B26" s="57"/>
      <c r="C26" s="1" t="s">
        <v>190</v>
      </c>
      <c r="I26" s="36"/>
      <c r="J26" s="36"/>
    </row>
    <row r="27" spans="2:17">
      <c r="B27" s="96"/>
      <c r="C27" s="1" t="s">
        <v>191</v>
      </c>
    </row>
  </sheetData>
  <phoneticPr fontId="3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9"/>
  <sheetViews>
    <sheetView zoomScale="85" zoomScaleNormal="85" workbookViewId="0">
      <selection activeCell="N41" sqref="N41"/>
    </sheetView>
  </sheetViews>
  <sheetFormatPr defaultColWidth="8.88671875" defaultRowHeight="13.2"/>
  <cols>
    <col min="1" max="1" width="3" style="36" customWidth="1"/>
    <col min="2" max="2" width="16.44140625" style="36" customWidth="1"/>
    <col min="3" max="3" width="12.109375" style="36" bestFit="1" customWidth="1"/>
    <col min="4" max="4" width="11.33203125" style="36" bestFit="1" customWidth="1"/>
    <col min="5" max="5" width="12" style="36" bestFit="1" customWidth="1"/>
    <col min="6" max="6" width="13.109375" style="36" customWidth="1"/>
    <col min="7" max="7" width="10" style="36" customWidth="1"/>
    <col min="8" max="8" width="8.109375" style="36" customWidth="1"/>
    <col min="9" max="9" width="12" style="36" customWidth="1"/>
    <col min="10" max="10" width="9.109375" style="36" bestFit="1" customWidth="1"/>
    <col min="11" max="11" width="9.33203125" style="36" customWidth="1"/>
    <col min="12" max="12" width="7.88671875" style="36" customWidth="1"/>
    <col min="13" max="13" width="9.5546875" style="36" bestFit="1" customWidth="1"/>
    <col min="14" max="14" width="9.5546875" style="36" customWidth="1"/>
    <col min="15" max="15" width="15.109375" style="36" customWidth="1"/>
    <col min="16" max="16" width="11.6640625" style="36" customWidth="1"/>
    <col min="17" max="17" width="2.33203125" style="36" customWidth="1"/>
    <col min="18" max="18" width="13.44140625" style="36" customWidth="1"/>
    <col min="19" max="19" width="2" style="36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36"/>
  </cols>
  <sheetData>
    <row r="1" spans="2:28" ht="28.8">
      <c r="B1" s="32" t="s">
        <v>92</v>
      </c>
      <c r="C1" s="11" t="s">
        <v>94</v>
      </c>
      <c r="D1" s="11" t="s">
        <v>149</v>
      </c>
      <c r="E1" s="32" t="s">
        <v>23</v>
      </c>
      <c r="F1" s="32" t="s">
        <v>155</v>
      </c>
      <c r="G1" s="32" t="s">
        <v>97</v>
      </c>
      <c r="I1" s="32" t="s">
        <v>124</v>
      </c>
      <c r="J1" s="32" t="s">
        <v>200</v>
      </c>
    </row>
    <row r="2" spans="2:28" ht="31.2">
      <c r="B2" s="14" t="str">
        <f>EnergyBalance!B11</f>
        <v>ELC</v>
      </c>
      <c r="C2" s="24" t="str">
        <f>EnergyBalance!C11</f>
        <v>Electricity Plants</v>
      </c>
      <c r="D2" s="24" t="s">
        <v>156</v>
      </c>
      <c r="E2" s="14" t="str">
        <f>EnergyBalance!T2</f>
        <v>PJ</v>
      </c>
      <c r="F2" s="14" t="s">
        <v>157</v>
      </c>
      <c r="G2" s="14" t="str">
        <f>EnergyBalance!S2</f>
        <v>M€2016</v>
      </c>
      <c r="I2" s="14" t="s">
        <v>125</v>
      </c>
      <c r="J2" s="14" t="s">
        <v>126</v>
      </c>
      <c r="T2" s="143" t="s">
        <v>14</v>
      </c>
      <c r="U2" s="143"/>
      <c r="V2" s="144"/>
      <c r="W2" s="144"/>
      <c r="X2" s="144"/>
      <c r="Y2" s="144"/>
      <c r="Z2" s="144"/>
      <c r="AA2" s="144"/>
      <c r="AB2" s="144"/>
    </row>
    <row r="3" spans="2:28">
      <c r="L3" s="222" t="s">
        <v>231</v>
      </c>
      <c r="M3" s="222" t="s">
        <v>230</v>
      </c>
      <c r="T3" s="145" t="s">
        <v>7</v>
      </c>
      <c r="U3" s="146" t="s">
        <v>30</v>
      </c>
      <c r="V3" s="145" t="s">
        <v>0</v>
      </c>
      <c r="W3" s="145" t="s">
        <v>3</v>
      </c>
      <c r="X3" s="145" t="s">
        <v>4</v>
      </c>
      <c r="Y3" s="145" t="s">
        <v>8</v>
      </c>
      <c r="Z3" s="145" t="s">
        <v>9</v>
      </c>
      <c r="AA3" s="145" t="s">
        <v>10</v>
      </c>
      <c r="AB3" s="145" t="s">
        <v>12</v>
      </c>
    </row>
    <row r="4" spans="2:28" ht="22.2" thickBot="1">
      <c r="B4" s="41" t="s">
        <v>163</v>
      </c>
      <c r="C4" s="11" t="s">
        <v>170</v>
      </c>
      <c r="D4" s="11" t="s">
        <v>164</v>
      </c>
      <c r="E4" s="11" t="s">
        <v>165</v>
      </c>
      <c r="F4" s="11" t="s">
        <v>185</v>
      </c>
      <c r="H4" s="12"/>
      <c r="L4" s="36">
        <v>0.877</v>
      </c>
      <c r="M4" s="36">
        <v>1000000</v>
      </c>
      <c r="T4" s="147" t="s">
        <v>40</v>
      </c>
      <c r="U4" s="147" t="s">
        <v>31</v>
      </c>
      <c r="V4" s="147" t="s">
        <v>26</v>
      </c>
      <c r="W4" s="147" t="s">
        <v>27</v>
      </c>
      <c r="X4" s="147" t="s">
        <v>4</v>
      </c>
      <c r="Y4" s="147" t="s">
        <v>43</v>
      </c>
      <c r="Z4" s="147" t="s">
        <v>44</v>
      </c>
      <c r="AA4" s="147" t="s">
        <v>28</v>
      </c>
      <c r="AB4" s="147" t="s">
        <v>29</v>
      </c>
    </row>
    <row r="5" spans="2:28" ht="15.6">
      <c r="B5" s="40" t="s">
        <v>169</v>
      </c>
      <c r="C5" s="14" t="s">
        <v>168</v>
      </c>
      <c r="D5" s="14" t="s">
        <v>167</v>
      </c>
      <c r="E5" s="14" t="s">
        <v>166</v>
      </c>
      <c r="F5" s="14" t="s">
        <v>126</v>
      </c>
      <c r="H5" s="12"/>
      <c r="T5" s="144" t="s">
        <v>91</v>
      </c>
      <c r="U5" s="148"/>
      <c r="V5" s="144" t="str">
        <f>EnergyBalance!$M$2</f>
        <v>ELC</v>
      </c>
      <c r="W5" s="144" t="str">
        <f>EnergyBalance!$M$3</f>
        <v>Electricity</v>
      </c>
      <c r="X5" s="144" t="str">
        <f>$E$2</f>
        <v>PJ</v>
      </c>
      <c r="Y5" s="144"/>
      <c r="Z5" s="144" t="s">
        <v>179</v>
      </c>
      <c r="AA5" s="151"/>
      <c r="AB5" s="144" t="s">
        <v>53</v>
      </c>
    </row>
    <row r="6" spans="2:28">
      <c r="T6" s="148" t="s">
        <v>141</v>
      </c>
      <c r="U6" s="148"/>
      <c r="V6" s="148" t="str">
        <f>$B$2&amp;EnergyBalance!$C$52</f>
        <v>ELCCO2</v>
      </c>
      <c r="W6" s="148" t="str">
        <f>$C$2&amp;" "&amp;EnergyBalance!$C$53</f>
        <v>Electricity Plants Carbon dioxide</v>
      </c>
      <c r="X6" s="148" t="str">
        <f>EnergyBalance!$U$2</f>
        <v>kt</v>
      </c>
      <c r="Y6" s="148"/>
      <c r="Z6" s="148"/>
      <c r="AA6" s="148"/>
      <c r="AB6" s="148"/>
    </row>
    <row r="7" spans="2:28">
      <c r="T7" s="2"/>
      <c r="U7" s="2"/>
    </row>
    <row r="8" spans="2:28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10"/>
      <c r="T8" s="143" t="s">
        <v>15</v>
      </c>
      <c r="U8" s="143"/>
      <c r="V8" s="144"/>
      <c r="W8" s="144"/>
      <c r="X8" s="144"/>
      <c r="Y8" s="144"/>
      <c r="Z8" s="144"/>
      <c r="AA8" s="144"/>
      <c r="AB8" s="144"/>
    </row>
    <row r="9" spans="2:28" ht="25.5" customHeight="1">
      <c r="B9" s="21" t="s">
        <v>1</v>
      </c>
      <c r="C9" s="21" t="s">
        <v>5</v>
      </c>
      <c r="D9" s="21" t="s">
        <v>6</v>
      </c>
      <c r="E9" s="115" t="s">
        <v>201</v>
      </c>
      <c r="F9" s="115" t="s">
        <v>202</v>
      </c>
      <c r="G9" s="114" t="s">
        <v>106</v>
      </c>
      <c r="H9" s="114" t="s">
        <v>122</v>
      </c>
      <c r="I9" s="114" t="s">
        <v>104</v>
      </c>
      <c r="J9" s="114" t="s">
        <v>105</v>
      </c>
      <c r="K9" s="114" t="s">
        <v>159</v>
      </c>
      <c r="L9" s="115" t="s">
        <v>99</v>
      </c>
      <c r="M9" s="115" t="s">
        <v>199</v>
      </c>
      <c r="N9" s="115" t="s">
        <v>127</v>
      </c>
      <c r="O9" s="115" t="s">
        <v>209</v>
      </c>
      <c r="P9" s="115" t="s">
        <v>181</v>
      </c>
      <c r="Q9" s="38"/>
      <c r="R9" s="134" t="s">
        <v>171</v>
      </c>
      <c r="S9" s="46"/>
      <c r="T9" s="145" t="s">
        <v>11</v>
      </c>
      <c r="U9" s="146" t="s">
        <v>30</v>
      </c>
      <c r="V9" s="145" t="s">
        <v>1</v>
      </c>
      <c r="W9" s="145" t="s">
        <v>2</v>
      </c>
      <c r="X9" s="145" t="s">
        <v>16</v>
      </c>
      <c r="Y9" s="145" t="s">
        <v>17</v>
      </c>
      <c r="Z9" s="145" t="s">
        <v>18</v>
      </c>
      <c r="AA9" s="145" t="s">
        <v>19</v>
      </c>
      <c r="AB9" s="145" t="s">
        <v>20</v>
      </c>
    </row>
    <row r="10" spans="2:28" ht="31.05" customHeight="1" thickBot="1">
      <c r="B10" s="19" t="s">
        <v>42</v>
      </c>
      <c r="C10" s="19" t="s">
        <v>32</v>
      </c>
      <c r="D10" s="19" t="s">
        <v>33</v>
      </c>
      <c r="E10" s="116" t="s">
        <v>34</v>
      </c>
      <c r="F10" s="117" t="s">
        <v>183</v>
      </c>
      <c r="G10" s="116" t="s">
        <v>111</v>
      </c>
      <c r="H10" s="117" t="s">
        <v>123</v>
      </c>
      <c r="I10" s="116" t="s">
        <v>120</v>
      </c>
      <c r="J10" s="116" t="s">
        <v>119</v>
      </c>
      <c r="K10" s="116" t="s">
        <v>161</v>
      </c>
      <c r="L10" s="19" t="s">
        <v>208</v>
      </c>
      <c r="M10" s="116"/>
      <c r="N10" s="116" t="s">
        <v>140</v>
      </c>
      <c r="O10" s="116" t="s">
        <v>162</v>
      </c>
      <c r="P10" s="116" t="s">
        <v>182</v>
      </c>
      <c r="R10" s="113" t="s">
        <v>160</v>
      </c>
      <c r="S10" s="47"/>
      <c r="T10" s="147" t="s">
        <v>41</v>
      </c>
      <c r="U10" s="147" t="s">
        <v>31</v>
      </c>
      <c r="V10" s="147" t="s">
        <v>21</v>
      </c>
      <c r="W10" s="147" t="s">
        <v>22</v>
      </c>
      <c r="X10" s="147" t="s">
        <v>23</v>
      </c>
      <c r="Y10" s="147" t="s">
        <v>24</v>
      </c>
      <c r="Z10" s="147" t="s">
        <v>46</v>
      </c>
      <c r="AA10" s="147" t="s">
        <v>45</v>
      </c>
      <c r="AB10" s="147" t="s">
        <v>25</v>
      </c>
    </row>
    <row r="11" spans="2:28" ht="13.8" thickBot="1">
      <c r="B11" s="18" t="s">
        <v>112</v>
      </c>
      <c r="C11" s="18"/>
      <c r="D11" s="18"/>
      <c r="E11" s="17" t="str">
        <f>$F$2</f>
        <v>GW</v>
      </c>
      <c r="F11" s="118" t="str">
        <f>$F$2</f>
        <v>GW</v>
      </c>
      <c r="G11" s="17"/>
      <c r="H11" s="118"/>
      <c r="I11" s="17" t="str">
        <f>$G$2&amp;"/"&amp;$F$2</f>
        <v>M€2016/GW</v>
      </c>
      <c r="J11" s="17" t="str">
        <f>$G$2&amp;"/"&amp;$F$2</f>
        <v>M€2016/GW</v>
      </c>
      <c r="K11" s="17" t="str">
        <f>$G$2&amp;"/"&amp;$E$2</f>
        <v>M€2016/PJ</v>
      </c>
      <c r="L11" s="17" t="s">
        <v>113</v>
      </c>
      <c r="M11" s="17"/>
      <c r="N11" s="17" t="str">
        <f>EnergyBalance!$U$2</f>
        <v>kt</v>
      </c>
      <c r="O11" s="17" t="str">
        <f>$E$2&amp;"/"&amp;$F$2</f>
        <v>PJ/GW</v>
      </c>
      <c r="P11" s="17"/>
      <c r="R11" s="45" t="s">
        <v>184</v>
      </c>
      <c r="S11" s="47"/>
      <c r="T11" s="147" t="s">
        <v>101</v>
      </c>
      <c r="U11" s="147"/>
      <c r="V11" s="147"/>
      <c r="W11" s="147"/>
      <c r="X11" s="147"/>
      <c r="Y11" s="147"/>
      <c r="Z11" s="147"/>
      <c r="AA11" s="147"/>
      <c r="AB11" s="147"/>
    </row>
    <row r="12" spans="2:28">
      <c r="B12" s="36" t="str">
        <f>V12</f>
        <v>ELCTECOA00</v>
      </c>
      <c r="C12" s="36" t="str">
        <f>$B$2&amp;RIGHT(Sector_Fuels!$K$5,3)</f>
        <v>ELCCOA</v>
      </c>
      <c r="D12" s="36" t="str">
        <f>$V$5</f>
        <v>ELC</v>
      </c>
      <c r="E12" s="198">
        <f>(-EnergyBalance!$D$11*$G$12)/($H$12*$O$12)</f>
        <v>0</v>
      </c>
      <c r="F12" s="112"/>
      <c r="G12" s="104">
        <v>0.3</v>
      </c>
      <c r="H12" s="104">
        <v>0.85</v>
      </c>
      <c r="I12" s="103"/>
      <c r="J12" s="104">
        <v>40</v>
      </c>
      <c r="K12" s="104">
        <v>0.5</v>
      </c>
      <c r="L12" s="103">
        <v>30</v>
      </c>
      <c r="O12" s="138">
        <v>31.536000000000001</v>
      </c>
      <c r="P12" s="104">
        <v>1</v>
      </c>
      <c r="R12" s="227">
        <f>E12*$H12*$O12</f>
        <v>0</v>
      </c>
      <c r="S12" s="47"/>
      <c r="T12" s="148" t="s">
        <v>158</v>
      </c>
      <c r="U12" s="148"/>
      <c r="V12" s="148" t="str">
        <f>$B$2&amp;$C$5&amp;$I$2&amp;RIGHT(Sector_Fuels!$K$5,3)&amp;"00"</f>
        <v>ELCTECOA00</v>
      </c>
      <c r="W12" s="148" t="str">
        <f>$D$2&amp;" "&amp;$I$1&amp;RIGHT(V12,2)&amp;" - "&amp;EnergyBalance!D3</f>
        <v>Power Plants Existing00 - Solid Fuels</v>
      </c>
      <c r="X12" s="148" t="str">
        <f t="shared" ref="X12:X21" si="0">$E$2</f>
        <v>PJ</v>
      </c>
      <c r="Y12" s="148" t="str">
        <f t="shared" ref="Y12:Y21" si="1">$F$2</f>
        <v>GW</v>
      </c>
      <c r="Z12" s="144" t="s">
        <v>180</v>
      </c>
      <c r="AA12" s="148"/>
      <c r="AB12" s="148"/>
    </row>
    <row r="13" spans="2:28">
      <c r="D13" s="36" t="str">
        <f>$V$6</f>
        <v>ELCCO2</v>
      </c>
      <c r="E13" s="112"/>
      <c r="F13" s="112"/>
      <c r="G13" s="104"/>
      <c r="H13" s="104"/>
      <c r="I13" s="103"/>
      <c r="J13" s="104"/>
      <c r="K13" s="104"/>
      <c r="L13" s="103"/>
      <c r="N13" s="195">
        <f>99.8/G12</f>
        <v>332.66666666666669</v>
      </c>
      <c r="P13" s="111"/>
      <c r="R13" s="227"/>
      <c r="S13" s="48"/>
      <c r="T13" s="148"/>
      <c r="U13" s="148"/>
      <c r="V13" s="148" t="str">
        <f>$B$2&amp;$C$5&amp;$I$2&amp;RIGHT(Sector_Fuels!$K$6,3)&amp;"00"</f>
        <v>ELCTEGAS00</v>
      </c>
      <c r="W13" s="148" t="str">
        <f>$D$2&amp;" "&amp;$I$1&amp;RIGHT(V13,2)&amp;" - "&amp;EnergyBalance!E3</f>
        <v>Power Plants Existing00 - Natural Gas</v>
      </c>
      <c r="X13" s="148" t="str">
        <f t="shared" si="0"/>
        <v>PJ</v>
      </c>
      <c r="Y13" s="148" t="str">
        <f t="shared" si="1"/>
        <v>GW</v>
      </c>
      <c r="Z13" s="148"/>
      <c r="AA13" s="148"/>
      <c r="AB13" s="148"/>
    </row>
    <row r="14" spans="2:28">
      <c r="B14" s="36" t="str">
        <f>V13</f>
        <v>ELCTEGAS00</v>
      </c>
      <c r="C14" s="36" t="str">
        <f>$B$2&amp;RIGHT(Sector_Fuels!$K$6,3)</f>
        <v>ELCGAS</v>
      </c>
      <c r="D14" s="36" t="str">
        <f>$V$5</f>
        <v>ELC</v>
      </c>
      <c r="E14" s="198">
        <f>(-EnergyBalance!$E$11*$G$14)/($H$14*$O$14)</f>
        <v>1.492412033306473</v>
      </c>
      <c r="F14" s="112"/>
      <c r="G14" s="104">
        <v>0.35</v>
      </c>
      <c r="H14" s="104">
        <v>0.85</v>
      </c>
      <c r="I14" s="103"/>
      <c r="J14" s="104">
        <v>35</v>
      </c>
      <c r="K14" s="104">
        <v>0.4</v>
      </c>
      <c r="L14" s="103">
        <v>20</v>
      </c>
      <c r="N14" s="196"/>
      <c r="O14" s="138">
        <v>31.536000000000001</v>
      </c>
      <c r="P14" s="104">
        <v>1</v>
      </c>
      <c r="R14" s="227">
        <f>E14*H14*O14</f>
        <v>40.004999999999988</v>
      </c>
      <c r="S14" s="48"/>
      <c r="T14" s="148"/>
      <c r="U14" s="148"/>
      <c r="V14" s="148" t="str">
        <f>$B$2&amp;$C$5&amp;$I$2&amp;RIGHT(Sector_Fuels!$K$7,3)&amp;"00"</f>
        <v>ELCTEOIL00</v>
      </c>
      <c r="W14" s="148" t="str">
        <f>$D$2&amp;" "&amp;$I$1&amp;RIGHT(V14,2)&amp;" - "&amp;EnergyBalance!F3</f>
        <v>Power Plants Existing00 - Crude Oil</v>
      </c>
      <c r="X14" s="148" t="str">
        <f t="shared" si="0"/>
        <v>PJ</v>
      </c>
      <c r="Y14" s="148" t="str">
        <f t="shared" si="1"/>
        <v>GW</v>
      </c>
      <c r="Z14" s="148"/>
      <c r="AA14" s="148"/>
      <c r="AB14" s="148"/>
    </row>
    <row r="15" spans="2:28">
      <c r="D15" s="36" t="str">
        <f>$V$6</f>
        <v>ELCCO2</v>
      </c>
      <c r="E15" s="112"/>
      <c r="F15" s="112"/>
      <c r="G15" s="104"/>
      <c r="H15" s="104"/>
      <c r="I15" s="103"/>
      <c r="J15" s="104"/>
      <c r="K15" s="104"/>
      <c r="L15" s="103"/>
      <c r="N15" s="195">
        <f>56.1/G14</f>
        <v>160.28571428571431</v>
      </c>
      <c r="P15" s="111"/>
      <c r="R15" s="227"/>
      <c r="S15" s="48"/>
      <c r="T15" s="148"/>
      <c r="U15" s="148"/>
      <c r="V15" s="148" t="str">
        <f>$B$2&amp;E5&amp;$I$2&amp;RIGHT(Sector_Fuels!$K$8,3)&amp;"00"</f>
        <v>ELCREBIO00</v>
      </c>
      <c r="W15" s="148" t="str">
        <f>$D$2&amp;" "&amp;$I$1&amp;RIGHT(V15,2)&amp;" - "&amp;EnergyBalance!H3</f>
        <v>Power Plants Existing00 - Biomass</v>
      </c>
      <c r="X15" s="148"/>
      <c r="Y15" s="148"/>
      <c r="Z15" s="148"/>
      <c r="AA15" s="148"/>
      <c r="AB15" s="148"/>
    </row>
    <row r="16" spans="2:28">
      <c r="B16" s="36" t="str">
        <f>V14</f>
        <v>ELCTEOIL00</v>
      </c>
      <c r="C16" s="36" t="str">
        <f>$B$2&amp;RIGHT(Sector_Fuels!$K$7,3)</f>
        <v>ELCOIL</v>
      </c>
      <c r="D16" s="36" t="str">
        <f>$V$5</f>
        <v>ELC</v>
      </c>
      <c r="E16" s="198">
        <f>(-EnergyBalance!$F$11*$G$16)/($H$16*$O$16)</f>
        <v>0</v>
      </c>
      <c r="F16" s="112"/>
      <c r="G16" s="104">
        <v>0.3</v>
      </c>
      <c r="H16" s="104">
        <v>0.85</v>
      </c>
      <c r="I16" s="103"/>
      <c r="J16" s="104">
        <v>20</v>
      </c>
      <c r="K16" s="104">
        <v>0.2</v>
      </c>
      <c r="L16" s="103">
        <v>30</v>
      </c>
      <c r="M16" s="39"/>
      <c r="N16" s="196"/>
      <c r="O16" s="138">
        <v>31.536000000000001</v>
      </c>
      <c r="P16" s="104">
        <v>1</v>
      </c>
      <c r="R16" s="227">
        <f>E16*H16*O16</f>
        <v>0</v>
      </c>
      <c r="S16" s="48"/>
      <c r="T16" s="148"/>
      <c r="U16" s="148"/>
      <c r="V16" s="148" t="str">
        <f>$B$2&amp;E5&amp;$I$2&amp;RIGHT(Sector_Fuels!$K$9,3)&amp;"00"</f>
        <v>ELCREHYD00</v>
      </c>
      <c r="W16" s="148" t="str">
        <f>$D$2&amp;" "&amp;$I$1&amp;RIGHT(V16,2)&amp;" - "&amp;EnergyBalance!I3</f>
        <v>Power Plants Existing00 - Hydro power</v>
      </c>
      <c r="X16" s="148"/>
      <c r="Y16" s="148"/>
      <c r="Z16" s="148"/>
      <c r="AA16" s="148"/>
      <c r="AB16" s="148"/>
    </row>
    <row r="17" spans="2:28">
      <c r="D17" s="36" t="str">
        <f>$V$6</f>
        <v>ELCCO2</v>
      </c>
      <c r="E17" s="112"/>
      <c r="F17" s="112"/>
      <c r="G17" s="104"/>
      <c r="H17" s="104"/>
      <c r="I17" s="103"/>
      <c r="J17" s="104"/>
      <c r="K17" s="104"/>
      <c r="L17" s="103"/>
      <c r="M17" s="39"/>
      <c r="N17" s="195">
        <f>76.4/G16</f>
        <v>254.66666666666669</v>
      </c>
      <c r="P17" s="111"/>
      <c r="R17" s="227"/>
      <c r="S17" s="48"/>
      <c r="T17" s="148"/>
      <c r="U17" s="148"/>
      <c r="V17" s="148" t="str">
        <f>$B$2&amp;$E$5&amp;$I$2&amp;RIGHT(Sector_Fuels!$K$10,3)&amp;"00"</f>
        <v>ELCRESOL00</v>
      </c>
      <c r="W17" s="148" t="str">
        <f>$D$2&amp;" "&amp;$I$1&amp;RIGHT(V17,2)&amp;" - "&amp;EnergyBalance!J3</f>
        <v>Power Plants Existing00 - Solar energy</v>
      </c>
      <c r="X17" s="148"/>
      <c r="Y17" s="148"/>
      <c r="Z17" s="148"/>
      <c r="AA17" s="148"/>
      <c r="AB17" s="148"/>
    </row>
    <row r="18" spans="2:28">
      <c r="B18" s="36" t="str">
        <f>V15</f>
        <v>ELCREBIO00</v>
      </c>
      <c r="C18" s="36" t="str">
        <f>$B$2&amp;RIGHT(Sector_Fuels!$K$8,3)</f>
        <v>ELCBIO</v>
      </c>
      <c r="D18" s="151" t="str">
        <f t="shared" ref="D18:D19" si="2">$V$5</f>
        <v>ELC</v>
      </c>
      <c r="E18" s="112">
        <f>(-EnergyBalance!$H$11*$G$18)/($H$18*$O$18)</f>
        <v>0</v>
      </c>
      <c r="F18" s="112"/>
      <c r="G18" s="223">
        <v>0.31</v>
      </c>
      <c r="H18" s="223">
        <v>0.77</v>
      </c>
      <c r="I18" s="224"/>
      <c r="J18" s="230">
        <v>25</v>
      </c>
      <c r="K18" s="230">
        <v>0.35</v>
      </c>
      <c r="L18" s="225">
        <v>25</v>
      </c>
      <c r="M18" s="39"/>
      <c r="N18" s="196"/>
      <c r="O18" s="226">
        <v>31.536000000000001</v>
      </c>
      <c r="P18" s="223">
        <v>1</v>
      </c>
      <c r="R18" s="229">
        <f>E18*H18*O18</f>
        <v>0</v>
      </c>
      <c r="S18" s="48"/>
      <c r="T18" s="148"/>
      <c r="U18" s="148"/>
      <c r="V18" s="148" t="str">
        <f>$B$2&amp;$F$5&amp;$I$2&amp;RIGHT(Sector_Fuels!$K$11,3)&amp;"00"</f>
        <v>ELCNENUC00</v>
      </c>
      <c r="W18" s="148" t="str">
        <f>$D$2&amp;" "&amp;$I$1&amp;RIGHT(V18,2)&amp;" - "&amp;EnergyBalance!G3</f>
        <v>Power Plants Existing00 - Nuclear Energy</v>
      </c>
      <c r="X18" s="148" t="str">
        <f t="shared" si="0"/>
        <v>PJ</v>
      </c>
      <c r="Y18" s="148" t="str">
        <f t="shared" si="1"/>
        <v>GW</v>
      </c>
      <c r="Z18" s="144" t="s">
        <v>180</v>
      </c>
      <c r="AA18" s="148"/>
      <c r="AB18" s="148"/>
    </row>
    <row r="19" spans="2:28">
      <c r="B19" s="36" t="str">
        <f>V16</f>
        <v>ELCREHYD00</v>
      </c>
      <c r="C19" s="36" t="str">
        <f>$B$2&amp;RIGHT(Sector_Fuels!$K$9,3)</f>
        <v>ELCHYD</v>
      </c>
      <c r="D19" s="151" t="str">
        <f t="shared" si="2"/>
        <v>ELC</v>
      </c>
      <c r="E19" s="112">
        <f>(-EnergyBalance!$I$11*$G$19)/($H$19*$O$19)</f>
        <v>3.8464263064433686</v>
      </c>
      <c r="F19" s="112"/>
      <c r="G19" s="223">
        <v>1</v>
      </c>
      <c r="H19" s="223">
        <v>0.36</v>
      </c>
      <c r="I19" s="224"/>
      <c r="J19" s="230">
        <v>50</v>
      </c>
      <c r="K19" s="230">
        <v>2</v>
      </c>
      <c r="L19" s="225">
        <v>50</v>
      </c>
      <c r="M19" s="39"/>
      <c r="N19" s="196"/>
      <c r="O19" s="226">
        <v>31.536000000000001</v>
      </c>
      <c r="P19" s="223">
        <v>0.5</v>
      </c>
      <c r="R19" s="229">
        <f t="shared" ref="R19" si="3">E19*H19*O19</f>
        <v>43.668323999999309</v>
      </c>
      <c r="S19" s="48"/>
      <c r="T19" s="148"/>
      <c r="U19" s="148"/>
      <c r="V19" s="148" t="str">
        <f>$B$2&amp;$C$5&amp;$J$2&amp;RIGHT(Sector_Fuels!$K$5,3)&amp;"00"</f>
        <v>ELCTNCOA00</v>
      </c>
      <c r="W19" s="148" t="str">
        <f>$D$2&amp;" "&amp;$J$1&amp;RIGHT(V19,2)&amp;" - "&amp;EnergyBalance!D3</f>
        <v>Power Plants New00 - Solid Fuels</v>
      </c>
      <c r="X19" s="148" t="str">
        <f t="shared" si="0"/>
        <v>PJ</v>
      </c>
      <c r="Y19" s="148" t="str">
        <f t="shared" si="1"/>
        <v>GW</v>
      </c>
      <c r="Z19" s="144" t="s">
        <v>180</v>
      </c>
      <c r="AA19" s="148"/>
      <c r="AB19" s="148"/>
    </row>
    <row r="20" spans="2:28">
      <c r="B20" s="36" t="str">
        <f>V17</f>
        <v>ELCRESOL00</v>
      </c>
      <c r="C20" s="36" t="str">
        <f>$B$2&amp;RIGHT(Sector_Fuels!$K$10,3)</f>
        <v>ELCSOL</v>
      </c>
      <c r="D20" s="151" t="str">
        <f>$V$5</f>
        <v>ELC</v>
      </c>
      <c r="E20" s="198">
        <f>(-EnergyBalance!$J$11*$G$20)/($H$20*$O$20)</f>
        <v>6.6381278538811652E-3</v>
      </c>
      <c r="F20" s="112"/>
      <c r="G20" s="223">
        <v>1</v>
      </c>
      <c r="H20" s="223">
        <v>0.2</v>
      </c>
      <c r="I20" s="224"/>
      <c r="J20" s="230">
        <v>60</v>
      </c>
      <c r="K20" s="230"/>
      <c r="L20" s="225">
        <v>25</v>
      </c>
      <c r="N20" s="196"/>
      <c r="O20" s="226">
        <v>31.536000000000001</v>
      </c>
      <c r="P20" s="223">
        <v>0.2</v>
      </c>
      <c r="R20" s="229">
        <f>E20*H20*O20</f>
        <v>4.1867999999999288E-2</v>
      </c>
      <c r="S20" s="48"/>
      <c r="T20" s="148"/>
      <c r="U20" s="148"/>
      <c r="V20" s="148" t="str">
        <f>$B$2&amp;$C$5&amp;$J$2&amp;RIGHT(Sector_Fuels!$K$6,3)&amp;"00"</f>
        <v>ELCTNGAS00</v>
      </c>
      <c r="W20" s="148" t="str">
        <f>$D$2&amp;" "&amp;$J$1&amp;RIGHT(V20,2)&amp;" - "&amp;EnergyBalance!E3</f>
        <v>Power Plants New00 - Natural Gas</v>
      </c>
      <c r="X20" s="148" t="str">
        <f t="shared" si="0"/>
        <v>PJ</v>
      </c>
      <c r="Y20" s="148" t="str">
        <f t="shared" si="1"/>
        <v>GW</v>
      </c>
      <c r="Z20" s="148"/>
      <c r="AA20" s="148"/>
      <c r="AB20" s="148"/>
    </row>
    <row r="21" spans="2:28">
      <c r="B21" s="44" t="str">
        <f>V18</f>
        <v>ELCNENUC00</v>
      </c>
      <c r="C21" s="44" t="str">
        <f>$B$2&amp;RIGHT(Sector_Fuels!$K$11,3)</f>
        <v>ELCNUC</v>
      </c>
      <c r="D21" s="44" t="str">
        <f>$V$5</f>
        <v>ELC</v>
      </c>
      <c r="E21" s="135">
        <f>(-EnergyBalance!$G$11*$G$21=1)/($H$21*$O$21)</f>
        <v>0</v>
      </c>
      <c r="F21" s="135">
        <f>E21</f>
        <v>0</v>
      </c>
      <c r="G21" s="136">
        <v>0</v>
      </c>
      <c r="H21" s="137">
        <v>0.9</v>
      </c>
      <c r="I21" s="136"/>
      <c r="J21" s="137">
        <v>38</v>
      </c>
      <c r="K21" s="136">
        <v>0.27</v>
      </c>
      <c r="L21" s="44"/>
      <c r="M21" s="44"/>
      <c r="N21" s="197"/>
      <c r="O21" s="139">
        <v>31.536000000000001</v>
      </c>
      <c r="P21" s="137">
        <v>1</v>
      </c>
      <c r="Q21" s="44"/>
      <c r="R21" s="228">
        <f>E21*H21*O21</f>
        <v>0</v>
      </c>
      <c r="S21" s="48"/>
      <c r="T21" s="148"/>
      <c r="U21" s="148"/>
      <c r="V21" s="148" t="str">
        <f>$B$2&amp;$C$5&amp;$J$2&amp;RIGHT(Sector_Fuels!$K$7,3)&amp;"00"</f>
        <v>ELCTNOIL00</v>
      </c>
      <c r="W21" s="148" t="str">
        <f>$D$2&amp;" "&amp;$J$1&amp;RIGHT(V21,2)&amp;" - "&amp;EnergyBalance!F3</f>
        <v>Power Plants New00 - Crude Oil</v>
      </c>
      <c r="X21" s="148" t="str">
        <f t="shared" si="0"/>
        <v>PJ</v>
      </c>
      <c r="Y21" s="148" t="str">
        <f t="shared" si="1"/>
        <v>GW</v>
      </c>
      <c r="Z21" s="148"/>
      <c r="AA21" s="148"/>
      <c r="AB21" s="148"/>
    </row>
    <row r="22" spans="2:28">
      <c r="B22" s="151" t="str">
        <f>V19</f>
        <v>ELCTNCOA00</v>
      </c>
      <c r="C22" s="36" t="str">
        <f>$B$2&amp;RIGHT(Sector_Fuels!$K$5,3)</f>
        <v>ELCCOA</v>
      </c>
      <c r="D22" s="36" t="str">
        <f>$V$5</f>
        <v>ELC</v>
      </c>
      <c r="E22" s="39"/>
      <c r="F22" s="39"/>
      <c r="G22" s="104">
        <v>0.4</v>
      </c>
      <c r="H22" s="104">
        <v>0.85</v>
      </c>
      <c r="I22" s="103">
        <v>1650</v>
      </c>
      <c r="J22" s="104">
        <v>35</v>
      </c>
      <c r="K22" s="104">
        <v>0.4</v>
      </c>
      <c r="L22" s="103">
        <v>40</v>
      </c>
      <c r="M22" s="194">
        <v>2016</v>
      </c>
      <c r="N22" s="196"/>
      <c r="O22" s="138">
        <v>31.536000000000001</v>
      </c>
      <c r="P22" s="104">
        <v>1</v>
      </c>
      <c r="S22" s="48"/>
      <c r="T22" s="148"/>
      <c r="U22" s="148"/>
      <c r="AA22" s="148"/>
      <c r="AB22" s="148"/>
    </row>
    <row r="23" spans="2:28">
      <c r="D23" s="36" t="str">
        <f>$V$6</f>
        <v>ELCCO2</v>
      </c>
      <c r="E23" s="39"/>
      <c r="F23" s="39"/>
      <c r="G23" s="104"/>
      <c r="H23" s="104"/>
      <c r="I23" s="103"/>
      <c r="J23" s="104"/>
      <c r="K23" s="104"/>
      <c r="L23" s="103"/>
      <c r="M23" s="39"/>
      <c r="N23" s="195">
        <f>99.8/G22</f>
        <v>249.49999999999997</v>
      </c>
      <c r="P23" s="111"/>
      <c r="S23" s="48"/>
      <c r="AA23" s="148"/>
      <c r="AB23" s="148"/>
    </row>
    <row r="24" spans="2:28">
      <c r="B24" s="36" t="str">
        <f>V20</f>
        <v>ELCTNGAS00</v>
      </c>
      <c r="C24" s="36" t="str">
        <f>$B$2&amp;RIGHT(Sector_Fuels!$K$6,3)</f>
        <v>ELCGAS</v>
      </c>
      <c r="D24" s="36" t="str">
        <f>$V$5</f>
        <v>ELC</v>
      </c>
      <c r="G24" s="103">
        <v>0.5</v>
      </c>
      <c r="H24" s="104">
        <v>0.85</v>
      </c>
      <c r="I24" s="103">
        <v>750</v>
      </c>
      <c r="J24" s="104">
        <v>30</v>
      </c>
      <c r="K24" s="104">
        <v>0.35</v>
      </c>
      <c r="L24" s="103">
        <v>30</v>
      </c>
      <c r="M24" s="194">
        <v>2016</v>
      </c>
      <c r="N24" s="196"/>
      <c r="O24" s="138">
        <v>31.536000000000001</v>
      </c>
      <c r="P24" s="104">
        <v>1</v>
      </c>
      <c r="S24" s="48"/>
      <c r="AA24" s="148"/>
      <c r="AB24" s="148"/>
    </row>
    <row r="25" spans="2:28">
      <c r="D25" s="36" t="str">
        <f>$V$6</f>
        <v>ELCCO2</v>
      </c>
      <c r="G25" s="103"/>
      <c r="H25" s="103"/>
      <c r="I25" s="103"/>
      <c r="J25" s="104"/>
      <c r="K25" s="104"/>
      <c r="L25" s="103"/>
      <c r="M25" s="39"/>
      <c r="N25" s="195">
        <f>56.1/G24</f>
        <v>112.2</v>
      </c>
      <c r="P25" s="111"/>
      <c r="S25" s="48"/>
    </row>
    <row r="26" spans="2:28">
      <c r="B26" s="36" t="str">
        <f>V21</f>
        <v>ELCTNOIL00</v>
      </c>
      <c r="C26" s="36" t="str">
        <f>$B$2&amp;RIGHT(Sector_Fuels!$K$7,3)</f>
        <v>ELCOIL</v>
      </c>
      <c r="D26" s="36" t="str">
        <f>$V$5</f>
        <v>ELC</v>
      </c>
      <c r="G26" s="104">
        <v>0.4</v>
      </c>
      <c r="H26" s="104">
        <v>0.85</v>
      </c>
      <c r="I26" s="103">
        <v>250</v>
      </c>
      <c r="J26" s="104">
        <v>15</v>
      </c>
      <c r="K26" s="104">
        <v>0.2</v>
      </c>
      <c r="L26" s="103">
        <v>40</v>
      </c>
      <c r="M26" s="194">
        <v>2016</v>
      </c>
      <c r="N26" s="196"/>
      <c r="O26" s="138">
        <v>31.536000000000001</v>
      </c>
      <c r="P26" s="104">
        <v>1</v>
      </c>
    </row>
    <row r="27" spans="2:28">
      <c r="D27" s="36" t="str">
        <f>$V$6</f>
        <v>ELCCO2</v>
      </c>
      <c r="G27" s="103"/>
      <c r="H27" s="103"/>
      <c r="I27" s="103"/>
      <c r="J27" s="103"/>
      <c r="K27" s="103"/>
      <c r="L27" s="103"/>
      <c r="N27" s="195">
        <f>76.4/G26</f>
        <v>191</v>
      </c>
    </row>
    <row r="29" spans="2:28">
      <c r="R29" s="39"/>
    </row>
    <row r="30" spans="2:28">
      <c r="R30" s="141"/>
    </row>
    <row r="31" spans="2:28">
      <c r="R31" s="39"/>
    </row>
    <row r="32" spans="2:28">
      <c r="R32" s="142"/>
      <c r="W32" s="23"/>
      <c r="Z32" s="1"/>
    </row>
    <row r="33" spans="2:27">
      <c r="B33" s="57"/>
      <c r="C33" s="1" t="s">
        <v>190</v>
      </c>
      <c r="W33" s="23"/>
    </row>
    <row r="34" spans="2:27">
      <c r="B34" s="96"/>
      <c r="C34" s="1" t="s">
        <v>191</v>
      </c>
      <c r="R34" s="39"/>
      <c r="W34" s="23"/>
    </row>
    <row r="35" spans="2:27">
      <c r="W35" s="23"/>
    </row>
    <row r="36" spans="2:27">
      <c r="W36" s="23"/>
      <c r="Z36" s="1"/>
    </row>
    <row r="37" spans="2:27">
      <c r="Z37" s="1"/>
    </row>
    <row r="39" spans="2:27">
      <c r="AA39" s="144"/>
    </row>
  </sheetData>
  <phoneticPr fontId="3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2024-06-13T15:45:53Z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