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"/>
    </mc:Choice>
  </mc:AlternateContent>
  <xr:revisionPtr revIDLastSave="0" documentId="13_ncr:1_{AA847620-40C6-4280-B088-0A2BF00AEE45}" xr6:coauthVersionLast="47" xr6:coauthVersionMax="47" xr10:uidLastSave="{00000000-0000-0000-0000-000000000000}"/>
  <bookViews>
    <workbookView xWindow="-96" yWindow="0" windowWidth="11712" windowHeight="12336" tabRatio="901" activeTab="2" xr2:uid="{00000000-000D-0000-FFFF-FFFF00000000}"/>
  </bookViews>
  <sheets>
    <sheet name="EnergyBalance" sheetId="133" r:id="rId1"/>
    <sheet name="EB1" sheetId="145" r:id="rId2"/>
    <sheet name="EB2" sheetId="146" r:id="rId3"/>
    <sheet name="RES&amp;OBJ" sheetId="153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7" r:id="rId10"/>
    <sheet name="Sector_Fuels" sheetId="140" r:id="rId11"/>
    <sheet name="Con_REF" sheetId="148" r:id="rId12"/>
    <sheet name="Con_ELC" sheetId="143" r:id="rId13"/>
    <sheet name="DemTechs_TPS" sheetId="151" r:id="rId14"/>
    <sheet name="DemTechs_ELC" sheetId="152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33" l="1"/>
  <c r="M21" i="133"/>
  <c r="K21" i="133"/>
  <c r="H2" i="134" l="1"/>
  <c r="R24" i="133" l="1"/>
  <c r="O24" i="133"/>
  <c r="F24" i="133"/>
  <c r="E24" i="133"/>
  <c r="S23" i="133"/>
  <c r="S22" i="133"/>
  <c r="S20" i="133"/>
  <c r="S19" i="133"/>
  <c r="S18" i="133"/>
  <c r="S17" i="133"/>
  <c r="S16" i="133"/>
  <c r="R14" i="133"/>
  <c r="Q14" i="133"/>
  <c r="P14" i="133"/>
  <c r="O14" i="133"/>
  <c r="N14" i="133"/>
  <c r="M14" i="133"/>
  <c r="L14" i="133"/>
  <c r="K14" i="133"/>
  <c r="J14" i="133"/>
  <c r="I14" i="133"/>
  <c r="H14" i="133"/>
  <c r="G14" i="133"/>
  <c r="F14" i="133"/>
  <c r="E14" i="133"/>
  <c r="D14" i="133"/>
  <c r="S13" i="133"/>
  <c r="S12" i="133"/>
  <c r="S11" i="133"/>
  <c r="S10" i="133"/>
  <c r="S14" i="133" s="1"/>
  <c r="R8" i="133"/>
  <c r="Q8" i="133"/>
  <c r="P8" i="133"/>
  <c r="O8" i="133"/>
  <c r="N8" i="133"/>
  <c r="M8" i="133"/>
  <c r="L8" i="133"/>
  <c r="K8" i="133"/>
  <c r="J8" i="133"/>
  <c r="I8" i="133"/>
  <c r="H8" i="133"/>
  <c r="G8" i="133"/>
  <c r="F8" i="133"/>
  <c r="E8" i="133"/>
  <c r="D8" i="133"/>
  <c r="S7" i="133"/>
  <c r="S6" i="133"/>
  <c r="S5" i="133"/>
  <c r="S8" i="133" s="1"/>
  <c r="G24" i="133" l="1"/>
  <c r="H24" i="133"/>
  <c r="I24" i="133"/>
  <c r="J24" i="133"/>
  <c r="K24" i="133"/>
  <c r="L24" i="133"/>
  <c r="M24" i="133"/>
  <c r="N24" i="133"/>
  <c r="P24" i="133"/>
  <c r="Q24" i="133"/>
  <c r="S24" i="133"/>
  <c r="D24" i="133"/>
  <c r="E2" i="142"/>
  <c r="M5" i="142" s="1"/>
  <c r="K13" i="138"/>
  <c r="M17" i="143"/>
  <c r="M15" i="143"/>
  <c r="M13" i="143"/>
  <c r="K11" i="138"/>
  <c r="F2" i="152"/>
  <c r="I11" i="152" s="1"/>
  <c r="E2" i="152"/>
  <c r="E11" i="152" s="1"/>
  <c r="F2" i="151"/>
  <c r="E2" i="151"/>
  <c r="C2" i="151"/>
  <c r="B2" i="151"/>
  <c r="N5" i="151" s="1"/>
  <c r="C2" i="152"/>
  <c r="B2" i="152"/>
  <c r="N5" i="152"/>
  <c r="N10" i="134" s="1"/>
  <c r="I12" i="152"/>
  <c r="Q12" i="152"/>
  <c r="D2" i="152"/>
  <c r="O5" i="152" s="1"/>
  <c r="I12" i="151"/>
  <c r="D2" i="151"/>
  <c r="O12" i="151" s="1"/>
  <c r="F2" i="134"/>
  <c r="E8" i="134" s="1"/>
  <c r="C36" i="140"/>
  <c r="C35" i="140"/>
  <c r="C34" i="140"/>
  <c r="C33" i="140"/>
  <c r="F2" i="141"/>
  <c r="I11" i="141" s="1"/>
  <c r="E2" i="141"/>
  <c r="C2" i="141"/>
  <c r="S13" i="141"/>
  <c r="S15" i="141"/>
  <c r="B2" i="141"/>
  <c r="R5" i="141" s="1"/>
  <c r="R6" i="141"/>
  <c r="T6" i="141"/>
  <c r="U15" i="141"/>
  <c r="U14" i="141"/>
  <c r="U13" i="141"/>
  <c r="U12" i="141"/>
  <c r="E11" i="141"/>
  <c r="M12" i="140"/>
  <c r="M30" i="140"/>
  <c r="L12" i="140"/>
  <c r="C30" i="140" s="1"/>
  <c r="M11" i="140"/>
  <c r="M29" i="140" s="1"/>
  <c r="L11" i="140"/>
  <c r="D29" i="140" s="1"/>
  <c r="M10" i="140"/>
  <c r="M28" i="140" s="1"/>
  <c r="L10" i="140"/>
  <c r="D28" i="140" s="1"/>
  <c r="M9" i="140"/>
  <c r="M27" i="140" s="1"/>
  <c r="L9" i="140"/>
  <c r="D27" i="140" s="1"/>
  <c r="M8" i="140"/>
  <c r="M26" i="140" s="1"/>
  <c r="L8" i="140"/>
  <c r="L26" i="140" s="1"/>
  <c r="B26" i="140" s="1"/>
  <c r="M7" i="140"/>
  <c r="M25" i="140" s="1"/>
  <c r="L7" i="140"/>
  <c r="D25" i="140" s="1"/>
  <c r="C25" i="140"/>
  <c r="M6" i="140"/>
  <c r="M24" i="140" s="1"/>
  <c r="L6" i="140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H23" i="147"/>
  <c r="H30" i="147" s="1"/>
  <c r="H22" i="147"/>
  <c r="H29" i="147" s="1"/>
  <c r="H21" i="147"/>
  <c r="H28" i="147" s="1"/>
  <c r="H20" i="147"/>
  <c r="H27" i="147" s="1"/>
  <c r="H19" i="147"/>
  <c r="H26" i="147" s="1"/>
  <c r="H18" i="147"/>
  <c r="H25" i="147" s="1"/>
  <c r="H17" i="147"/>
  <c r="H24" i="147" s="1"/>
  <c r="K24" i="147"/>
  <c r="K17" i="147"/>
  <c r="E8" i="147"/>
  <c r="D8" i="147"/>
  <c r="N23" i="147" s="1"/>
  <c r="C8" i="147"/>
  <c r="M11" i="147" s="1"/>
  <c r="E7" i="147"/>
  <c r="D7" i="147"/>
  <c r="N10" i="147"/>
  <c r="C7" i="147"/>
  <c r="E6" i="147"/>
  <c r="D6" i="147"/>
  <c r="N9" i="147" s="1"/>
  <c r="C6" i="147"/>
  <c r="C28" i="147" s="1"/>
  <c r="E5" i="147"/>
  <c r="D5" i="147"/>
  <c r="N8" i="147"/>
  <c r="C5" i="147"/>
  <c r="C27" i="147" s="1"/>
  <c r="E4" i="147"/>
  <c r="D4" i="147"/>
  <c r="N7" i="147" s="1"/>
  <c r="C4" i="147"/>
  <c r="M19" i="147" s="1"/>
  <c r="B19" i="147" s="1"/>
  <c r="E3" i="147"/>
  <c r="D3" i="147"/>
  <c r="N6" i="147" s="1"/>
  <c r="C3" i="147"/>
  <c r="M6" i="147" s="1"/>
  <c r="G2" i="147"/>
  <c r="E2" i="147"/>
  <c r="O28" i="147" s="1"/>
  <c r="D2" i="147"/>
  <c r="N5" i="147" s="1"/>
  <c r="C2" i="147"/>
  <c r="C24" i="147"/>
  <c r="M23" i="145"/>
  <c r="M23" i="146" s="1"/>
  <c r="L23" i="145"/>
  <c r="L23" i="146" s="1"/>
  <c r="K23" i="145"/>
  <c r="K23" i="146" s="1"/>
  <c r="J23" i="145"/>
  <c r="J23" i="146" s="1"/>
  <c r="I23" i="145"/>
  <c r="I23" i="146" s="1"/>
  <c r="H23" i="145"/>
  <c r="H23" i="146" s="1"/>
  <c r="G23" i="145"/>
  <c r="G23" i="146" s="1"/>
  <c r="M22" i="145"/>
  <c r="M22" i="146" s="1"/>
  <c r="L22" i="145"/>
  <c r="L22" i="146" s="1"/>
  <c r="K22" i="145"/>
  <c r="K22" i="146" s="1"/>
  <c r="J22" i="145"/>
  <c r="J22" i="146" s="1"/>
  <c r="I22" i="145"/>
  <c r="I22" i="146" s="1"/>
  <c r="H22" i="145"/>
  <c r="H22" i="146" s="1"/>
  <c r="G22" i="145"/>
  <c r="G22" i="146" s="1"/>
  <c r="M21" i="145"/>
  <c r="M21" i="146" s="1"/>
  <c r="L21" i="145"/>
  <c r="L21" i="146" s="1"/>
  <c r="K21" i="145"/>
  <c r="K21" i="146" s="1"/>
  <c r="J21" i="145"/>
  <c r="J21" i="146" s="1"/>
  <c r="I21" i="145"/>
  <c r="I21" i="146" s="1"/>
  <c r="H21" i="145"/>
  <c r="H21" i="146" s="1"/>
  <c r="G21" i="145"/>
  <c r="G21" i="146" s="1"/>
  <c r="M20" i="145"/>
  <c r="M20" i="146" s="1"/>
  <c r="L20" i="145"/>
  <c r="L20" i="146" s="1"/>
  <c r="K20" i="145"/>
  <c r="K20" i="146" s="1"/>
  <c r="J20" i="145"/>
  <c r="J20" i="146" s="1"/>
  <c r="E14" i="141" s="1"/>
  <c r="N14" i="141" s="1"/>
  <c r="I20" i="145"/>
  <c r="H20" i="145"/>
  <c r="H20" i="146" s="1"/>
  <c r="G20" i="145"/>
  <c r="G20" i="146" s="1"/>
  <c r="E12" i="141" s="1"/>
  <c r="N12" i="141" s="1"/>
  <c r="M19" i="145"/>
  <c r="M19" i="146" s="1"/>
  <c r="L19" i="145"/>
  <c r="L19" i="146" s="1"/>
  <c r="K19" i="145"/>
  <c r="K19" i="146" s="1"/>
  <c r="J19" i="145"/>
  <c r="J19" i="146" s="1"/>
  <c r="I19" i="145"/>
  <c r="I19" i="146" s="1"/>
  <c r="H19" i="145"/>
  <c r="H19" i="146" s="1"/>
  <c r="G19" i="145"/>
  <c r="G19" i="146" s="1"/>
  <c r="M18" i="145"/>
  <c r="M18" i="146" s="1"/>
  <c r="L18" i="145"/>
  <c r="L18" i="146" s="1"/>
  <c r="K18" i="145"/>
  <c r="K18" i="146" s="1"/>
  <c r="J18" i="145"/>
  <c r="J18" i="146" s="1"/>
  <c r="I18" i="145"/>
  <c r="I18" i="146" s="1"/>
  <c r="H18" i="145"/>
  <c r="H18" i="146" s="1"/>
  <c r="G18" i="145"/>
  <c r="G18" i="146" s="1"/>
  <c r="M17" i="145"/>
  <c r="M17" i="146" s="1"/>
  <c r="L17" i="145"/>
  <c r="L17" i="146" s="1"/>
  <c r="K17" i="145"/>
  <c r="K17" i="146" s="1"/>
  <c r="J17" i="145"/>
  <c r="J17" i="146" s="1"/>
  <c r="I17" i="145"/>
  <c r="I17" i="146" s="1"/>
  <c r="H17" i="145"/>
  <c r="H17" i="146" s="1"/>
  <c r="G17" i="145"/>
  <c r="G17" i="146" s="1"/>
  <c r="M16" i="145"/>
  <c r="M16" i="146" s="1"/>
  <c r="L16" i="145"/>
  <c r="L16" i="146" s="1"/>
  <c r="K16" i="145"/>
  <c r="K16" i="146" s="1"/>
  <c r="J16" i="145"/>
  <c r="J16" i="146" s="1"/>
  <c r="I16" i="145"/>
  <c r="I16" i="146" s="1"/>
  <c r="H16" i="145"/>
  <c r="H16" i="146" s="1"/>
  <c r="G16" i="145"/>
  <c r="M13" i="145"/>
  <c r="M13" i="146" s="1"/>
  <c r="L13" i="145"/>
  <c r="L13" i="146" s="1"/>
  <c r="K13" i="145"/>
  <c r="K13" i="146" s="1"/>
  <c r="J13" i="145"/>
  <c r="J13" i="146" s="1"/>
  <c r="I13" i="145"/>
  <c r="I13" i="146" s="1"/>
  <c r="H13" i="145"/>
  <c r="H13" i="146" s="1"/>
  <c r="G13" i="145"/>
  <c r="G13" i="146" s="1"/>
  <c r="M12" i="145"/>
  <c r="L12" i="145"/>
  <c r="L12" i="146" s="1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M11" i="146" s="1"/>
  <c r="L11" i="145"/>
  <c r="L11" i="146" s="1"/>
  <c r="K11" i="145"/>
  <c r="K11" i="146" s="1"/>
  <c r="J11" i="145"/>
  <c r="J11" i="146" s="1"/>
  <c r="I11" i="145"/>
  <c r="I11" i="146" s="1"/>
  <c r="H11" i="145"/>
  <c r="H11" i="146" s="1"/>
  <c r="G11" i="145"/>
  <c r="G11" i="146" s="1"/>
  <c r="M10" i="145"/>
  <c r="M10" i="146" s="1"/>
  <c r="L10" i="145"/>
  <c r="L10" i="146" s="1"/>
  <c r="K10" i="145"/>
  <c r="K10" i="146" s="1"/>
  <c r="J10" i="145"/>
  <c r="I10" i="145"/>
  <c r="I10" i="146" s="1"/>
  <c r="H10" i="145"/>
  <c r="H10" i="146" s="1"/>
  <c r="G10" i="145"/>
  <c r="G10" i="146" s="1"/>
  <c r="M7" i="145"/>
  <c r="M7" i="146" s="1"/>
  <c r="I30" i="147" s="1"/>
  <c r="L7" i="145"/>
  <c r="L7" i="146" s="1"/>
  <c r="I29" i="147" s="1"/>
  <c r="K7" i="145"/>
  <c r="K7" i="146" s="1"/>
  <c r="I28" i="147" s="1"/>
  <c r="J7" i="145"/>
  <c r="J7" i="146" s="1"/>
  <c r="I27" i="147" s="1"/>
  <c r="I7" i="145"/>
  <c r="I7" i="146" s="1"/>
  <c r="I26" i="147" s="1"/>
  <c r="H7" i="145"/>
  <c r="H7" i="146" s="1"/>
  <c r="I25" i="147" s="1"/>
  <c r="G7" i="145"/>
  <c r="G7" i="146" s="1"/>
  <c r="I24" i="147" s="1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 s="1"/>
  <c r="G6" i="145"/>
  <c r="G6" i="146" s="1"/>
  <c r="M5" i="145"/>
  <c r="M5" i="146" s="1"/>
  <c r="L5" i="145"/>
  <c r="L5" i="146" s="1"/>
  <c r="K5" i="145"/>
  <c r="K5" i="146" s="1"/>
  <c r="J5" i="145"/>
  <c r="I5" i="145"/>
  <c r="I5" i="146" s="1"/>
  <c r="H5" i="145"/>
  <c r="H5" i="146" s="1"/>
  <c r="G5" i="145"/>
  <c r="G5" i="146" s="1"/>
  <c r="F11" i="143"/>
  <c r="E11" i="143"/>
  <c r="R23" i="145"/>
  <c r="R23" i="146" s="1"/>
  <c r="Q23" i="145"/>
  <c r="Q23" i="146" s="1"/>
  <c r="P23" i="145"/>
  <c r="P23" i="146" s="1"/>
  <c r="O23" i="145"/>
  <c r="O23" i="146" s="1"/>
  <c r="N23" i="145"/>
  <c r="N23" i="146" s="1"/>
  <c r="E23" i="145"/>
  <c r="E23" i="146" s="1"/>
  <c r="R22" i="145"/>
  <c r="R22" i="146" s="1"/>
  <c r="Q22" i="145"/>
  <c r="Q22" i="146" s="1"/>
  <c r="P22" i="145"/>
  <c r="P22" i="146" s="1"/>
  <c r="O22" i="145"/>
  <c r="O22" i="146" s="1"/>
  <c r="N22" i="145"/>
  <c r="N22" i="146" s="1"/>
  <c r="E22" i="145"/>
  <c r="E22" i="146" s="1"/>
  <c r="R21" i="145"/>
  <c r="R21" i="146" s="1"/>
  <c r="Q21" i="145"/>
  <c r="Q21" i="146" s="1"/>
  <c r="P21" i="145"/>
  <c r="P21" i="146" s="1"/>
  <c r="O21" i="145"/>
  <c r="O21" i="146" s="1"/>
  <c r="N21" i="145"/>
  <c r="N21" i="146" s="1"/>
  <c r="E21" i="145"/>
  <c r="E21" i="146" s="1"/>
  <c r="R20" i="145"/>
  <c r="R20" i="146" s="1"/>
  <c r="Q20" i="145"/>
  <c r="Q20" i="146" s="1"/>
  <c r="P20" i="145"/>
  <c r="P20" i="146" s="1"/>
  <c r="O20" i="145"/>
  <c r="O20" i="146" s="1"/>
  <c r="N20" i="145"/>
  <c r="N20" i="146" s="1"/>
  <c r="E20" i="145"/>
  <c r="E20" i="146" s="1"/>
  <c r="E15" i="141" s="1"/>
  <c r="N15" i="141" s="1"/>
  <c r="R19" i="145"/>
  <c r="R19" i="146" s="1"/>
  <c r="Q19" i="145"/>
  <c r="Q19" i="146" s="1"/>
  <c r="P19" i="145"/>
  <c r="P19" i="146" s="1"/>
  <c r="O19" i="145"/>
  <c r="O19" i="146" s="1"/>
  <c r="N19" i="145"/>
  <c r="N19" i="146" s="1"/>
  <c r="E19" i="145"/>
  <c r="E19" i="146" s="1"/>
  <c r="R18" i="145"/>
  <c r="R18" i="146" s="1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Q17" i="146" s="1"/>
  <c r="P17" i="145"/>
  <c r="P17" i="146" s="1"/>
  <c r="O17" i="145"/>
  <c r="O17" i="146" s="1"/>
  <c r="N17" i="145"/>
  <c r="N17" i="146" s="1"/>
  <c r="E17" i="145"/>
  <c r="E17" i="146" s="1"/>
  <c r="R16" i="145"/>
  <c r="R16" i="146" s="1"/>
  <c r="Q16" i="145"/>
  <c r="Q16" i="146" s="1"/>
  <c r="P16" i="145"/>
  <c r="P16" i="146" s="1"/>
  <c r="O16" i="145"/>
  <c r="O16" i="146" s="1"/>
  <c r="N16" i="145"/>
  <c r="N16" i="146" s="1"/>
  <c r="E16" i="145"/>
  <c r="E16" i="146" s="1"/>
  <c r="D23" i="145"/>
  <c r="D23" i="146" s="1"/>
  <c r="D22" i="145"/>
  <c r="D21" i="145"/>
  <c r="D20" i="145"/>
  <c r="D19" i="145"/>
  <c r="D19" i="146" s="1"/>
  <c r="D18" i="145"/>
  <c r="D18" i="146" s="1"/>
  <c r="D17" i="145"/>
  <c r="D17" i="146" s="1"/>
  <c r="D16" i="145"/>
  <c r="D16" i="146" s="1"/>
  <c r="R13" i="145"/>
  <c r="R13" i="146" s="1"/>
  <c r="R12" i="145"/>
  <c r="R12" i="146" s="1"/>
  <c r="R11" i="145"/>
  <c r="R11" i="146" s="1"/>
  <c r="R10" i="145"/>
  <c r="Q13" i="145"/>
  <c r="Q13" i="146" s="1"/>
  <c r="P13" i="145"/>
  <c r="P13" i="146" s="1"/>
  <c r="O13" i="145"/>
  <c r="O13" i="146" s="1"/>
  <c r="N13" i="145"/>
  <c r="N13" i="146" s="1"/>
  <c r="F13" i="145"/>
  <c r="F13" i="146" s="1"/>
  <c r="E13" i="145"/>
  <c r="E13" i="146" s="1"/>
  <c r="Q12" i="145"/>
  <c r="Q12" i="146" s="1"/>
  <c r="P12" i="145"/>
  <c r="P12" i="146" s="1"/>
  <c r="O12" i="145"/>
  <c r="O12" i="146" s="1"/>
  <c r="N12" i="145"/>
  <c r="N12" i="146" s="1"/>
  <c r="F12" i="145"/>
  <c r="F12" i="146" s="1"/>
  <c r="E12" i="145"/>
  <c r="Q11" i="145"/>
  <c r="Q11" i="146" s="1"/>
  <c r="P11" i="145"/>
  <c r="P11" i="146" s="1"/>
  <c r="O11" i="145"/>
  <c r="O11" i="146" s="1"/>
  <c r="E18" i="143" s="1"/>
  <c r="N11" i="145"/>
  <c r="N11" i="146" s="1"/>
  <c r="E19" i="143" s="1"/>
  <c r="F11" i="145"/>
  <c r="F11" i="146" s="1"/>
  <c r="E11" i="145"/>
  <c r="E11" i="146" s="1"/>
  <c r="E14" i="143" s="1"/>
  <c r="Q14" i="143" s="1"/>
  <c r="Q10" i="145"/>
  <c r="P10" i="145"/>
  <c r="O10" i="145"/>
  <c r="O10" i="146" s="1"/>
  <c r="N10" i="145"/>
  <c r="N10" i="146" s="1"/>
  <c r="F10" i="145"/>
  <c r="F10" i="146" s="1"/>
  <c r="E10" i="145"/>
  <c r="E10" i="146" s="1"/>
  <c r="D13" i="145"/>
  <c r="D13" i="146" s="1"/>
  <c r="D12" i="145"/>
  <c r="D12" i="146" s="1"/>
  <c r="D11" i="145"/>
  <c r="D11" i="146" s="1"/>
  <c r="E12" i="143" s="1"/>
  <c r="Q12" i="143" s="1"/>
  <c r="D10" i="145"/>
  <c r="R7" i="145"/>
  <c r="R7" i="146" s="1"/>
  <c r="Q7" i="145"/>
  <c r="Q7" i="146" s="1"/>
  <c r="P7" i="145"/>
  <c r="P7" i="146" s="1"/>
  <c r="O7" i="145"/>
  <c r="O7" i="146" s="1"/>
  <c r="R6" i="145"/>
  <c r="R6" i="146" s="1"/>
  <c r="Q6" i="145"/>
  <c r="Q6" i="146" s="1"/>
  <c r="P6" i="145"/>
  <c r="P6" i="146" s="1"/>
  <c r="O6" i="145"/>
  <c r="O6" i="146" s="1"/>
  <c r="R5" i="145"/>
  <c r="R5" i="146" s="1"/>
  <c r="Q5" i="145"/>
  <c r="Q5" i="146" s="1"/>
  <c r="P5" i="145"/>
  <c r="P5" i="146" s="1"/>
  <c r="O5" i="145"/>
  <c r="O5" i="146" s="1"/>
  <c r="N7" i="145"/>
  <c r="N7" i="146" s="1"/>
  <c r="N6" i="145"/>
  <c r="N6" i="146" s="1"/>
  <c r="N5" i="145"/>
  <c r="N5" i="146" s="1"/>
  <c r="F7" i="145"/>
  <c r="F7" i="146" s="1"/>
  <c r="G15" i="137" s="1"/>
  <c r="E7" i="145"/>
  <c r="E7" i="146" s="1"/>
  <c r="G15" i="136" s="1"/>
  <c r="F6" i="145"/>
  <c r="F6" i="146" s="1"/>
  <c r="E6" i="145"/>
  <c r="E6" i="146" s="1"/>
  <c r="F5" i="145"/>
  <c r="E5" i="145"/>
  <c r="E5" i="146" s="1"/>
  <c r="G11" i="136" s="1"/>
  <c r="D7" i="145"/>
  <c r="D7" i="146" s="1"/>
  <c r="I15" i="132" s="1"/>
  <c r="D6" i="145"/>
  <c r="D6" i="146" s="1"/>
  <c r="I14" i="132" s="1"/>
  <c r="D5" i="145"/>
  <c r="D5" i="146" s="1"/>
  <c r="X16" i="143"/>
  <c r="D2" i="144"/>
  <c r="C2" i="144"/>
  <c r="K5" i="144" s="1"/>
  <c r="D11" i="144" s="1"/>
  <c r="I11" i="144"/>
  <c r="F2" i="144"/>
  <c r="F10" i="144" s="1"/>
  <c r="E2" i="144"/>
  <c r="M11" i="144" s="1"/>
  <c r="M11" i="143"/>
  <c r="W6" i="143"/>
  <c r="G2" i="143"/>
  <c r="J11" i="143" s="1"/>
  <c r="E2" i="143"/>
  <c r="N11" i="143" s="1"/>
  <c r="C2" i="143"/>
  <c r="V6" i="143" s="1"/>
  <c r="M15" i="140"/>
  <c r="M33" i="140" s="1"/>
  <c r="B2" i="143"/>
  <c r="U6" i="143" s="1"/>
  <c r="V5" i="143"/>
  <c r="U5" i="143"/>
  <c r="D14" i="143" s="1"/>
  <c r="X15" i="143"/>
  <c r="X14" i="143"/>
  <c r="X13" i="143"/>
  <c r="X12" i="143"/>
  <c r="F2" i="142"/>
  <c r="I11" i="142"/>
  <c r="D2" i="142"/>
  <c r="L5" i="142" s="1"/>
  <c r="C2" i="142"/>
  <c r="K5" i="142" s="1"/>
  <c r="D11" i="142" s="1"/>
  <c r="O12" i="138"/>
  <c r="B12" i="138" s="1"/>
  <c r="D2" i="138"/>
  <c r="P5" i="138" s="1"/>
  <c r="C2" i="138"/>
  <c r="P6" i="138" s="1"/>
  <c r="B2" i="138"/>
  <c r="O5" i="138" s="1"/>
  <c r="C10" i="134" s="1"/>
  <c r="L5" i="140"/>
  <c r="L23" i="140" s="1"/>
  <c r="B23" i="140" s="1"/>
  <c r="Q6" i="138"/>
  <c r="M5" i="140"/>
  <c r="M23" i="140" s="1"/>
  <c r="F2" i="140"/>
  <c r="F22" i="140" s="1"/>
  <c r="E2" i="140"/>
  <c r="N12" i="140" s="1"/>
  <c r="I12" i="138"/>
  <c r="F2" i="138"/>
  <c r="E2" i="138"/>
  <c r="Q12" i="138" s="1"/>
  <c r="E2" i="137"/>
  <c r="M13" i="137"/>
  <c r="F2" i="137"/>
  <c r="F10" i="137" s="1"/>
  <c r="E2" i="136"/>
  <c r="G10" i="136" s="1"/>
  <c r="F2" i="136"/>
  <c r="F10" i="136" s="1"/>
  <c r="E2" i="132"/>
  <c r="I10" i="132" s="1"/>
  <c r="G2" i="132"/>
  <c r="H10" i="132" s="1"/>
  <c r="I11" i="137"/>
  <c r="I11" i="136"/>
  <c r="K11" i="132"/>
  <c r="D2" i="137"/>
  <c r="C2" i="137"/>
  <c r="K13" i="137" s="1"/>
  <c r="B13" i="137" s="1"/>
  <c r="I15" i="137"/>
  <c r="I14" i="137"/>
  <c r="D2" i="136"/>
  <c r="L5" i="136" s="1"/>
  <c r="C2" i="136"/>
  <c r="I15" i="136"/>
  <c r="I14" i="136"/>
  <c r="K15" i="132"/>
  <c r="M15" i="132" s="1"/>
  <c r="K14" i="132"/>
  <c r="M14" i="132" s="1"/>
  <c r="B14" i="132" s="1"/>
  <c r="D2" i="132"/>
  <c r="N5" i="132"/>
  <c r="C2" i="132"/>
  <c r="M5" i="132"/>
  <c r="D11" i="132" s="1"/>
  <c r="D12" i="132"/>
  <c r="D23" i="147"/>
  <c r="O5" i="132"/>
  <c r="O6" i="147"/>
  <c r="M14" i="140"/>
  <c r="M32" i="140" s="1"/>
  <c r="M5" i="147"/>
  <c r="M13" i="140"/>
  <c r="M31" i="140" s="1"/>
  <c r="M17" i="140"/>
  <c r="M35" i="140" s="1"/>
  <c r="M5" i="144"/>
  <c r="D26" i="140"/>
  <c r="O13" i="132"/>
  <c r="M20" i="147"/>
  <c r="B20" i="147" s="1"/>
  <c r="C30" i="147"/>
  <c r="C26" i="140"/>
  <c r="K12" i="136"/>
  <c r="B12" i="136" s="1"/>
  <c r="D23" i="140"/>
  <c r="C23" i="140" s="1"/>
  <c r="M23" i="147"/>
  <c r="B23" i="147"/>
  <c r="O24" i="147"/>
  <c r="S5" i="141"/>
  <c r="D17" i="147"/>
  <c r="D18" i="147"/>
  <c r="O26" i="140"/>
  <c r="M11" i="132"/>
  <c r="B11" i="132" s="1"/>
  <c r="G16" i="147"/>
  <c r="M22" i="147"/>
  <c r="B22" i="147" s="1"/>
  <c r="D24" i="140"/>
  <c r="M16" i="140"/>
  <c r="M34" i="140" s="1"/>
  <c r="C24" i="140"/>
  <c r="K11" i="144"/>
  <c r="L11" i="144" s="1"/>
  <c r="E12" i="138"/>
  <c r="E10" i="134"/>
  <c r="K11" i="136"/>
  <c r="B11" i="136" s="1"/>
  <c r="M13" i="136"/>
  <c r="M18" i="147"/>
  <c r="B18" i="147"/>
  <c r="L27" i="140"/>
  <c r="B27" i="140" s="1"/>
  <c r="L30" i="140"/>
  <c r="B30" i="140" s="1"/>
  <c r="M12" i="132"/>
  <c r="B12" i="132" s="1"/>
  <c r="M14" i="136"/>
  <c r="M21" i="147"/>
  <c r="B21" i="147" s="1"/>
  <c r="D22" i="147"/>
  <c r="K15" i="136"/>
  <c r="L15" i="136" s="1"/>
  <c r="K14" i="136"/>
  <c r="L14" i="136" s="1"/>
  <c r="K5" i="136"/>
  <c r="C15" i="136" s="1"/>
  <c r="D10" i="146"/>
  <c r="I20" i="146"/>
  <c r="E13" i="141" s="1"/>
  <c r="N13" i="141" s="1"/>
  <c r="M17" i="147"/>
  <c r="B17" i="147" s="1"/>
  <c r="D30" i="140"/>
  <c r="C26" i="147"/>
  <c r="E12" i="146"/>
  <c r="J5" i="146"/>
  <c r="J8" i="146" s="1"/>
  <c r="L29" i="140"/>
  <c r="B29" i="140" s="1"/>
  <c r="C29" i="140"/>
  <c r="K13" i="136"/>
  <c r="L13" i="136" s="1"/>
  <c r="P10" i="146"/>
  <c r="D21" i="147"/>
  <c r="M9" i="147"/>
  <c r="C29" i="147"/>
  <c r="M10" i="147"/>
  <c r="R10" i="146"/>
  <c r="D20" i="146"/>
  <c r="M12" i="146"/>
  <c r="C27" i="140"/>
  <c r="L17" i="140"/>
  <c r="U16" i="143" s="1"/>
  <c r="L5" i="144"/>
  <c r="M8" i="147"/>
  <c r="D20" i="147"/>
  <c r="L24" i="140"/>
  <c r="B24" i="140"/>
  <c r="N11" i="132"/>
  <c r="L12" i="136"/>
  <c r="N22" i="147"/>
  <c r="N18" i="147"/>
  <c r="D12" i="136"/>
  <c r="Q12" i="151"/>
  <c r="O5" i="151"/>
  <c r="E11" i="151"/>
  <c r="P5" i="152"/>
  <c r="H11" i="152"/>
  <c r="P12" i="152"/>
  <c r="N12" i="132"/>
  <c r="N14" i="132"/>
  <c r="M13" i="132"/>
  <c r="B13" i="132" s="1"/>
  <c r="O15" i="132"/>
  <c r="N13" i="132"/>
  <c r="W15" i="143"/>
  <c r="D16" i="143"/>
  <c r="W12" i="143"/>
  <c r="D12" i="143"/>
  <c r="W16" i="143"/>
  <c r="D19" i="143"/>
  <c r="D18" i="143"/>
  <c r="W5" i="143"/>
  <c r="W13" i="143"/>
  <c r="K11" i="143"/>
  <c r="W14" i="143"/>
  <c r="S12" i="141"/>
  <c r="R15" i="141"/>
  <c r="B15" i="141" s="1"/>
  <c r="C15" i="141" s="1"/>
  <c r="S6" i="141"/>
  <c r="S14" i="141"/>
  <c r="D12" i="152"/>
  <c r="M7" i="147"/>
  <c r="G10" i="142"/>
  <c r="O8" i="145"/>
  <c r="C25" i="147"/>
  <c r="D19" i="147"/>
  <c r="B12" i="148"/>
  <c r="D13" i="132"/>
  <c r="D11" i="136"/>
  <c r="N20" i="147"/>
  <c r="M28" i="147"/>
  <c r="B28" i="147" s="1"/>
  <c r="M29" i="147"/>
  <c r="B29" i="147" s="1"/>
  <c r="F10" i="142"/>
  <c r="M26" i="147"/>
  <c r="G16" i="146"/>
  <c r="M11" i="142"/>
  <c r="M24" i="147"/>
  <c r="M25" i="147"/>
  <c r="B25" i="147" s="1"/>
  <c r="M27" i="147"/>
  <c r="N27" i="147" s="1"/>
  <c r="R12" i="141"/>
  <c r="B12" i="141" s="1"/>
  <c r="C12" i="141" s="1"/>
  <c r="G10" i="132"/>
  <c r="J11" i="141"/>
  <c r="N25" i="147"/>
  <c r="N24" i="147"/>
  <c r="B24" i="147"/>
  <c r="B27" i="147"/>
  <c r="B26" i="147"/>
  <c r="G10" i="144"/>
  <c r="E10" i="144"/>
  <c r="E10" i="142"/>
  <c r="M11" i="137"/>
  <c r="E10" i="137"/>
  <c r="M12" i="137"/>
  <c r="M14" i="137"/>
  <c r="G10" i="137"/>
  <c r="M5" i="137"/>
  <c r="M15" i="137"/>
  <c r="B15" i="136"/>
  <c r="C9" i="134" l="1"/>
  <c r="D12" i="151"/>
  <c r="B15" i="132"/>
  <c r="N15" i="132"/>
  <c r="L13" i="137"/>
  <c r="C11" i="134"/>
  <c r="D15" i="141"/>
  <c r="D12" i="141"/>
  <c r="D13" i="143"/>
  <c r="D15" i="143"/>
  <c r="D17" i="143"/>
  <c r="L16" i="140"/>
  <c r="H16" i="147"/>
  <c r="E14" i="145"/>
  <c r="C15" i="132"/>
  <c r="L5" i="137"/>
  <c r="N17" i="147"/>
  <c r="N16" i="140"/>
  <c r="O29" i="147"/>
  <c r="O18" i="147"/>
  <c r="O22" i="147"/>
  <c r="L13" i="140"/>
  <c r="O19" i="147"/>
  <c r="O5" i="147"/>
  <c r="O14" i="145"/>
  <c r="R14" i="141"/>
  <c r="B14" i="141" s="1"/>
  <c r="C14" i="141" s="1"/>
  <c r="D14" i="132"/>
  <c r="R13" i="141"/>
  <c r="B13" i="141" s="1"/>
  <c r="C13" i="141" s="1"/>
  <c r="O10" i="147"/>
  <c r="O31" i="140"/>
  <c r="O9" i="147"/>
  <c r="P12" i="138"/>
  <c r="M30" i="147"/>
  <c r="B30" i="147" s="1"/>
  <c r="D38" i="140"/>
  <c r="C38" i="140" s="1"/>
  <c r="N34" i="140"/>
  <c r="N25" i="140"/>
  <c r="Q8" i="145"/>
  <c r="L35" i="140"/>
  <c r="B38" i="140" s="1"/>
  <c r="F14" i="145"/>
  <c r="O11" i="147"/>
  <c r="O21" i="147"/>
  <c r="O25" i="147"/>
  <c r="L14" i="140"/>
  <c r="M5" i="136"/>
  <c r="K15" i="137"/>
  <c r="B15" i="137" s="1"/>
  <c r="K11" i="137"/>
  <c r="O8" i="147"/>
  <c r="O23" i="147"/>
  <c r="E10" i="136"/>
  <c r="K14" i="137"/>
  <c r="N14" i="145"/>
  <c r="M12" i="136"/>
  <c r="O20" i="147"/>
  <c r="L25" i="140"/>
  <c r="B25" i="140" s="1"/>
  <c r="M11" i="136"/>
  <c r="O28" i="140"/>
  <c r="N28" i="147"/>
  <c r="C19" i="143"/>
  <c r="D13" i="136"/>
  <c r="K5" i="137"/>
  <c r="K12" i="137"/>
  <c r="N30" i="140"/>
  <c r="I16" i="147"/>
  <c r="O30" i="147"/>
  <c r="O26" i="147"/>
  <c r="M15" i="136"/>
  <c r="O27" i="147"/>
  <c r="H11" i="138"/>
  <c r="N12" i="151"/>
  <c r="B12" i="151" s="1"/>
  <c r="C12" i="151" s="1"/>
  <c r="B13" i="136"/>
  <c r="B11" i="144"/>
  <c r="N26" i="147"/>
  <c r="N19" i="147"/>
  <c r="C12" i="143"/>
  <c r="D14" i="136"/>
  <c r="L15" i="140"/>
  <c r="P14" i="145"/>
  <c r="O17" i="147"/>
  <c r="O7" i="147"/>
  <c r="Q14" i="145"/>
  <c r="O12" i="152"/>
  <c r="N12" i="152" s="1"/>
  <c r="B12" i="152" s="1"/>
  <c r="C12" i="152" s="1"/>
  <c r="H11" i="151"/>
  <c r="Q24" i="145"/>
  <c r="S21" i="145"/>
  <c r="G8" i="146"/>
  <c r="K8" i="146"/>
  <c r="J14" i="145"/>
  <c r="G24" i="145"/>
  <c r="K8" i="145"/>
  <c r="K24" i="145"/>
  <c r="L24" i="145"/>
  <c r="D21" i="146"/>
  <c r="S21" i="146" s="1"/>
  <c r="H8" i="145"/>
  <c r="D14" i="145"/>
  <c r="G14" i="145"/>
  <c r="J10" i="146"/>
  <c r="R14" i="145"/>
  <c r="R24" i="145"/>
  <c r="F12" i="148"/>
  <c r="E8" i="145"/>
  <c r="I14" i="145"/>
  <c r="G8" i="145"/>
  <c r="S18" i="145"/>
  <c r="N24" i="145"/>
  <c r="H14" i="145"/>
  <c r="I8" i="145"/>
  <c r="P8" i="145"/>
  <c r="K14" i="145"/>
  <c r="S12" i="145"/>
  <c r="R8" i="145"/>
  <c r="Q10" i="146"/>
  <c r="Q14" i="146" s="1"/>
  <c r="E13" i="148"/>
  <c r="L8" i="145"/>
  <c r="E14" i="148"/>
  <c r="K24" i="146"/>
  <c r="H14" i="146"/>
  <c r="F8" i="145"/>
  <c r="P8" i="146"/>
  <c r="L8" i="146"/>
  <c r="M8" i="146"/>
  <c r="F18" i="143"/>
  <c r="Q18" i="143"/>
  <c r="G24" i="146"/>
  <c r="J14" i="146"/>
  <c r="R8" i="146"/>
  <c r="E14" i="146"/>
  <c r="O14" i="146"/>
  <c r="R24" i="146"/>
  <c r="E12" i="134" s="1"/>
  <c r="G12" i="134" s="1"/>
  <c r="E24" i="146"/>
  <c r="E16" i="143"/>
  <c r="Q16" i="143" s="1"/>
  <c r="H24" i="146"/>
  <c r="M24" i="146"/>
  <c r="E8" i="146"/>
  <c r="O8" i="146"/>
  <c r="M14" i="146"/>
  <c r="S19" i="146"/>
  <c r="S20" i="146"/>
  <c r="H8" i="146"/>
  <c r="D14" i="146"/>
  <c r="Q8" i="146"/>
  <c r="S13" i="146"/>
  <c r="F19" i="143"/>
  <c r="Q19" i="143"/>
  <c r="F12" i="134"/>
  <c r="G14" i="146"/>
  <c r="E12" i="148"/>
  <c r="I11" i="132"/>
  <c r="I12" i="132"/>
  <c r="N14" i="146"/>
  <c r="P24" i="146"/>
  <c r="L24" i="146"/>
  <c r="G12" i="136"/>
  <c r="Q24" i="146"/>
  <c r="D8" i="146"/>
  <c r="D8" i="145"/>
  <c r="I8" i="146"/>
  <c r="S6" i="146"/>
  <c r="L14" i="146"/>
  <c r="E36" i="140"/>
  <c r="S12" i="146"/>
  <c r="F5" i="146"/>
  <c r="R14" i="146"/>
  <c r="S17" i="146"/>
  <c r="P14" i="146"/>
  <c r="N8" i="146"/>
  <c r="E18" i="148"/>
  <c r="S23" i="146"/>
  <c r="O24" i="146"/>
  <c r="S23" i="145"/>
  <c r="E35" i="140"/>
  <c r="E16" i="148"/>
  <c r="V16" i="143"/>
  <c r="B19" i="143"/>
  <c r="E11" i="134"/>
  <c r="C12" i="138"/>
  <c r="L15" i="137"/>
  <c r="K14" i="146"/>
  <c r="S10" i="146"/>
  <c r="S19" i="145"/>
  <c r="E34" i="140"/>
  <c r="D13" i="141"/>
  <c r="L11" i="136"/>
  <c r="O27" i="140"/>
  <c r="E15" i="148"/>
  <c r="O24" i="140"/>
  <c r="N8" i="140"/>
  <c r="N9" i="140"/>
  <c r="N31" i="140"/>
  <c r="N27" i="140"/>
  <c r="N35" i="140"/>
  <c r="O33" i="140"/>
  <c r="N33" i="140"/>
  <c r="O11" i="132"/>
  <c r="O12" i="132"/>
  <c r="O14" i="132"/>
  <c r="I11" i="143"/>
  <c r="S16" i="145"/>
  <c r="J8" i="145"/>
  <c r="I14" i="146"/>
  <c r="E17" i="148"/>
  <c r="J24" i="146"/>
  <c r="S22" i="145"/>
  <c r="D22" i="146"/>
  <c r="S22" i="146" s="1"/>
  <c r="L28" i="140"/>
  <c r="B28" i="140" s="1"/>
  <c r="C28" i="140"/>
  <c r="D14" i="137"/>
  <c r="N29" i="147"/>
  <c r="S16" i="146"/>
  <c r="S5" i="145"/>
  <c r="S11" i="146"/>
  <c r="G12" i="148"/>
  <c r="H12" i="134"/>
  <c r="D14" i="141"/>
  <c r="C14" i="143"/>
  <c r="S20" i="145"/>
  <c r="O6" i="138"/>
  <c r="D13" i="138" s="1"/>
  <c r="N24" i="146"/>
  <c r="S13" i="145"/>
  <c r="M14" i="145"/>
  <c r="P24" i="145"/>
  <c r="S7" i="145"/>
  <c r="M24" i="145"/>
  <c r="B14" i="136"/>
  <c r="N24" i="140"/>
  <c r="N5" i="140"/>
  <c r="O23" i="140"/>
  <c r="N7" i="140"/>
  <c r="L14" i="145"/>
  <c r="J24" i="145"/>
  <c r="S17" i="145"/>
  <c r="N10" i="140"/>
  <c r="O29" i="140"/>
  <c r="O35" i="140"/>
  <c r="O25" i="140"/>
  <c r="N8" i="145"/>
  <c r="N29" i="140"/>
  <c r="O34" i="140"/>
  <c r="E24" i="145"/>
  <c r="I11" i="138"/>
  <c r="K11" i="142"/>
  <c r="F14" i="146"/>
  <c r="N26" i="140"/>
  <c r="N15" i="140"/>
  <c r="O32" i="140"/>
  <c r="D11" i="137"/>
  <c r="S11" i="145"/>
  <c r="O24" i="145"/>
  <c r="S7" i="146"/>
  <c r="S6" i="145"/>
  <c r="E11" i="138"/>
  <c r="D12" i="138"/>
  <c r="N21" i="147"/>
  <c r="M8" i="145"/>
  <c r="H24" i="145"/>
  <c r="D24" i="145"/>
  <c r="S10" i="145"/>
  <c r="N28" i="140"/>
  <c r="N13" i="140"/>
  <c r="N14" i="140"/>
  <c r="I24" i="145"/>
  <c r="N6" i="140"/>
  <c r="N23" i="140"/>
  <c r="O30" i="140"/>
  <c r="N17" i="140"/>
  <c r="R12" i="138"/>
  <c r="N32" i="140"/>
  <c r="U13" i="143"/>
  <c r="Q5" i="138"/>
  <c r="N11" i="140"/>
  <c r="S5" i="146"/>
  <c r="S18" i="146"/>
  <c r="E33" i="140"/>
  <c r="I24" i="146"/>
  <c r="N30" i="147"/>
  <c r="N11" i="134"/>
  <c r="I11" i="151"/>
  <c r="C12" i="134"/>
  <c r="N12" i="134"/>
  <c r="N11" i="147"/>
  <c r="P5" i="151"/>
  <c r="P12" i="151"/>
  <c r="N9" i="134"/>
  <c r="L33" i="140" l="1"/>
  <c r="B33" i="140" s="1"/>
  <c r="D33" i="140"/>
  <c r="L12" i="137"/>
  <c r="B12" i="137"/>
  <c r="B11" i="137"/>
  <c r="L11" i="137"/>
  <c r="U12" i="143"/>
  <c r="D31" i="140"/>
  <c r="C31" i="140" s="1"/>
  <c r="L31" i="140"/>
  <c r="B31" i="140" s="1"/>
  <c r="C16" i="143"/>
  <c r="D12" i="137"/>
  <c r="C15" i="137"/>
  <c r="D13" i="137"/>
  <c r="D37" i="140"/>
  <c r="C37" i="140" s="1"/>
  <c r="L34" i="140"/>
  <c r="B37" i="140" s="1"/>
  <c r="U15" i="143"/>
  <c r="C18" i="143"/>
  <c r="D32" i="140"/>
  <c r="C32" i="140" s="1"/>
  <c r="L32" i="140"/>
  <c r="B32" i="140" s="1"/>
  <c r="B14" i="137"/>
  <c r="L14" i="137"/>
  <c r="U14" i="143"/>
  <c r="B16" i="143" s="1"/>
  <c r="I12" i="134"/>
  <c r="S14" i="145"/>
  <c r="S8" i="145"/>
  <c r="G11" i="137"/>
  <c r="G12" i="137"/>
  <c r="F8" i="146"/>
  <c r="S8" i="146"/>
  <c r="L11" i="142"/>
  <c r="B11" i="142"/>
  <c r="S24" i="146"/>
  <c r="S14" i="146"/>
  <c r="B14" i="143"/>
  <c r="V13" i="143"/>
  <c r="S24" i="145"/>
  <c r="D24" i="146"/>
  <c r="E9" i="134" s="1"/>
  <c r="B12" i="143" l="1"/>
  <c r="V12" i="143"/>
  <c r="V14" i="143"/>
  <c r="B18" i="143"/>
  <c r="V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<sst xmlns="http://schemas.openxmlformats.org/spreadsheetml/2006/main" count="1446" uniqueCount="269">
  <si>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</si>
  <si>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</si>
  <si>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</si>
  <si>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</si>
  <si>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</si>
  <si>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</si>
  <si>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</si>
  <si>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</si>
  <si>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</si>
  <si>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</si>
  <si>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</si>
  <si>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</si>
  <si>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</si>
  <si>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</si>
  <si>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</si>
  <si>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</si>
  <si>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</si>
  <si>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</si>
  <si>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</si>
  <si>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</si>
  <si>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</si>
  <si>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</si>
  <si>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</si>
  <si>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</si>
  <si>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</si>
  <si>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</si>
  <si>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</si>
  <si>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</si>
  <si>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</si>
  <si>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</si>
  <si>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</si>
  <si>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</si>
  <si>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</si>
  <si>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</si>
  <si>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</si>
  <si>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</si>
  <si>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</si>
  <si>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</si>
  <si>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</si>
  <si>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</si>
  <si>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</si>
  <si>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</si>
  <si>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</si>
  <si>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</si>
  <si>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</si>
  <si>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</si>
  <si>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</si>
  <si>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</si>
  <si>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</si>
  <si>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</si>
  <si>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</si>
  <si>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</si>
  <si>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</si>
  <si>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</si>
  <si>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</si>
  <si>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</si>
  <si>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</si>
  <si>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</si>
  <si>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</si>
  <si>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</si>
  <si>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</si>
  <si>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</si>
  <si>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</si>
  <si>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</si>
  <si>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</si>
  <si>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</si>
  <si>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</si>
  <si>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</si>
  <si>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</si>
  <si>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</si>
  <si>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</si>
  <si>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</si>
  <si>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</si>
  <si>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</si>
  <si>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</si>
  <si>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</si>
  <si>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</si>
  <si>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</si>
  <si>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</si>
  <si>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</si>
  <si>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</si>
  <si>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</si>
  <si>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</si>
  <si>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</si>
  <si>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</si>
  <si>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</si>
  <si>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</si>
  <si>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</si>
  <si>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</si>
  <si>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</si>
  <si>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</si>
  <si>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</si>
  <si>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</si>
  <si>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</si>
  <si>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</si>
  <si>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</si>
  <si>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</si>
  <si>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</si>
  <si>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</si>
  <si>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</si>
  <si>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</si>
  <si>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</si>
  <si>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</si>
  <si>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</si>
  <si>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</si>
  <si>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</si>
  <si>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</si>
  <si>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</si>
  <si>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</si>
  <si>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</si>
  <si>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</si>
  <si>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</si>
  <si>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</si>
  <si>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</si>
  <si>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</si>
  <si>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</si>
  <si>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</si>
  <si>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</si>
  <si>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</si>
  <si>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</si>
  <si>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</si>
  <si>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</si>
  <si>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</si>
  <si>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</si>
  <si>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</si>
  <si>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</si>
  <si>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</si>
  <si>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</si>
  <si>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</si>
  <si>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New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</si>
  <si>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</si>
  <si>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</si>
  <si>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</si>
  <si>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</si>
  <si>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</si>
  <si>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</si>
  <si>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</si>
  <si>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</si>
  <si>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</si>
  <si>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</si>
  <si>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</si>
  <si>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</si>
  <si>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</si>
  <si>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</si>
  <si>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</si>
  <si>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</si>
  <si>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</si>
  <si>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</si>
  <si>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</si>
  <si>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</si>
  <si>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</si>
  <si>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</si>
  <si>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</si>
  <si>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</si>
  <si>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</si>
  <si>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</si>
  <si>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</si>
  <si>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</si>
  <si>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</si>
  <si>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</si>
  <si>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</si>
  <si>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</si>
  <si>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</si>
  <si>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</si>
  <si>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</si>
  <si>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</si>
  <si>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</si>
  <si>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</si>
  <si>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</si>
  <si>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</si>
  <si>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</si>
  <si>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</si>
  <si>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</si>
  <si>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</si>
  <si>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</si>
  <si>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</si>
  <si>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</si>
  <si>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</si>
  <si>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</si>
  <si>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</si>
  <si>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</si>
  <si>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</si>
  <si>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</si>
  <si>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</si>
  <si>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</si>
  <si>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</si>
  <si>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</si>
  <si>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</si>
  <si>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</si>
  <si>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</si>
  <si>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</si>
  <si>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</si>
  <si>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</si>
  <si>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</si>
  <si>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</si>
  <si>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</si>
  <si>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</si>
  <si>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</si>
  <si>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</si>
  <si>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</si>
  <si>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</si>
  <si>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Crude oil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</si>
  <si>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</si>
  <si>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</si>
  <si>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</si>
  <si>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</si>
  <si>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</si>
  <si>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</si>
  <si>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</si>
  <si>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</si>
  <si>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</si>
  <si>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</si>
  <si>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</si>
  <si>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</si>
  <si>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</si>
  <si>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ACTFLO~DEMO</t>
  </si>
  <si>
    <t>Activity to Flo</t>
  </si>
  <si>
    <t>'000 km</t>
  </si>
  <si>
    <t>Passenger/Car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</si>
  <si>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</si>
  <si>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</si>
  <si>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</si>
  <si>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</si>
  <si>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</si>
  <si>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</si>
  <si>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CAR</t>
  </si>
  <si>
    <t>Cars</t>
  </si>
  <si>
    <t>Share-I~UP</t>
  </si>
  <si>
    <t>Input Share</t>
  </si>
  <si>
    <t>Crude Oil</t>
  </si>
  <si>
    <t>Data used in the template to buld the model</t>
  </si>
  <si>
    <t>Break-out by Region 2</t>
  </si>
  <si>
    <t>User inputs</t>
  </si>
  <si>
    <t>Linked to the Energy Balance</t>
  </si>
  <si>
    <t>Capacity</t>
  </si>
  <si>
    <t>kt/PJ</t>
  </si>
  <si>
    <t>Objective Function</t>
  </si>
  <si>
    <t>Reference Energy System (from VEDA-FE Go-To RES feature)</t>
  </si>
  <si>
    <t>Primary Supply (Mining, Import/Export)</t>
  </si>
  <si>
    <t>Conversion (Refinery)</t>
  </si>
  <si>
    <t>Conversion (Power Sector)</t>
  </si>
  <si>
    <t>Demand Sectors</t>
  </si>
  <si>
    <t>Petroleoum Products Imp/Exp</t>
  </si>
  <si>
    <t>STOCK~2030</t>
  </si>
  <si>
    <t>Objective Function by Scenario</t>
  </si>
  <si>
    <t>_SysCost VEDA-BE table</t>
  </si>
  <si>
    <t>Total Final Consumption</t>
  </si>
  <si>
    <t>TPS</t>
  </si>
  <si>
    <t>Total Primary Supply</t>
  </si>
  <si>
    <t>TRACO2</t>
  </si>
  <si>
    <t>TRALPG</t>
  </si>
  <si>
    <t>TRAGSL</t>
  </si>
  <si>
    <t>TRAKER</t>
  </si>
  <si>
    <t>TRADSL</t>
  </si>
  <si>
    <t>TRAHFO</t>
  </si>
  <si>
    <t>TRAGAS</t>
  </si>
  <si>
    <t>Run name: Model_007</t>
  </si>
  <si>
    <t>With PeakRSV</t>
  </si>
  <si>
    <t>With DemProj_DTCAR</t>
  </si>
  <si>
    <t>With TRADE Param</t>
  </si>
  <si>
    <t>CAP2ACT</t>
  </si>
  <si>
    <t>Lifetime</t>
  </si>
  <si>
    <t>With Refinery</t>
  </si>
  <si>
    <t>BV*km/PJ</t>
  </si>
  <si>
    <t>bvkm/mvkm</t>
  </si>
  <si>
    <t>BPkm</t>
  </si>
  <si>
    <t>Bpass*km</t>
  </si>
  <si>
    <t>BPass*km</t>
  </si>
  <si>
    <t>M€2016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</si>
</sst>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40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돋움"/>
    </font>
    <font>
      <sz val="10"/>
      <color rgb="FF0070C0"/>
      <name val="Arial"/>
      <family val="2"/>
    </font>
    <font>
      <b/>
      <sz val="10"/>
      <color rgb="FF0070C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9" applyNumberFormat="0" applyAlignment="0" applyProtection="0"/>
    <xf numFmtId="164" fontId="19" fillId="0" borderId="0" applyFont="0" applyFill="0" applyBorder="0" applyAlignment="0" applyProtection="0"/>
    <xf numFmtId="0" fontId="22" fillId="10" borderId="0" applyNumberFormat="0" applyBorder="0" applyAlignment="0" applyProtection="0"/>
    <xf numFmtId="0" fontId="23" fillId="11" borderId="19" applyNumberFormat="0" applyAlignment="0" applyProtection="0"/>
    <xf numFmtId="0" fontId="24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37" fillId="0" borderId="0"/>
    <xf numFmtId="0" fontId="1" fillId="0" borderId="0"/>
  </cellStyleXfs>
  <cellXfs count="33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0" fillId="8" borderId="0" xfId="5"/>
    <xf numFmtId="0" fontId="25" fillId="0" borderId="0" xfId="8" applyFont="1" applyFill="1"/>
    <xf numFmtId="0" fontId="26" fillId="0" borderId="0" xfId="0" applyFont="1" applyFill="1"/>
    <xf numFmtId="0" fontId="25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7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7" fillId="4" borderId="3" xfId="1" applyFont="1" applyBorder="1" applyAlignment="1">
      <alignment horizontal="left" wrapText="1"/>
    </xf>
    <xf numFmtId="0" fontId="27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5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5" xfId="0" applyFont="1" applyBorder="1"/>
    <xf numFmtId="0" fontId="4" fillId="0" borderId="6" xfId="0" applyFont="1" applyBorder="1"/>
    <xf numFmtId="9" fontId="26" fillId="0" borderId="6" xfId="18" applyFont="1" applyBorder="1" applyAlignment="1"/>
    <xf numFmtId="0" fontId="4" fillId="0" borderId="7" xfId="0" applyFont="1" applyBorder="1"/>
    <xf numFmtId="9" fontId="26" fillId="0" borderId="7" xfId="18" applyFont="1" applyBorder="1" applyAlignment="1"/>
    <xf numFmtId="0" fontId="4" fillId="0" borderId="0" xfId="0" applyFont="1" applyBorder="1"/>
    <xf numFmtId="9" fontId="26" fillId="0" borderId="0" xfId="18" applyFont="1" applyBorder="1" applyAlignment="1"/>
    <xf numFmtId="0" fontId="20" fillId="8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Alignment="1">
      <alignment wrapText="1"/>
    </xf>
    <xf numFmtId="0" fontId="4" fillId="0" borderId="0" xfId="11" applyFill="1" applyBorder="1"/>
    <xf numFmtId="0" fontId="4" fillId="0" borderId="0" xfId="11" applyAlignment="1">
      <alignment wrapText="1"/>
    </xf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0" fillId="0" borderId="0" xfId="0" applyFill="1" applyBorder="1"/>
    <xf numFmtId="0" fontId="29" fillId="0" borderId="0" xfId="8" applyFont="1" applyFill="1"/>
    <xf numFmtId="0" fontId="30" fillId="0" borderId="0" xfId="5" applyFont="1" applyFill="1" applyAlignment="1">
      <alignment wrapText="1"/>
    </xf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0" fontId="20" fillId="0" borderId="0" xfId="5" applyFill="1"/>
    <xf numFmtId="0" fontId="27" fillId="14" borderId="3" xfId="2" applyFont="1" applyFill="1" applyBorder="1" applyAlignment="1">
      <alignment horizontal="right" wrapText="1"/>
    </xf>
    <xf numFmtId="1" fontId="31" fillId="14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4" fillId="0" borderId="8" xfId="11" applyBorder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0" fontId="4" fillId="0" borderId="0" xfId="11" applyFont="1" applyFill="1" applyBorder="1"/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7" fillId="0" borderId="0" xfId="1" applyFont="1" applyFill="1" applyBorder="1" applyAlignment="1">
      <alignment horizontal="right" wrapText="1"/>
    </xf>
    <xf numFmtId="0" fontId="32" fillId="5" borderId="4" xfId="2" applyFont="1" applyBorder="1" applyAlignment="1">
      <alignment wrapText="1"/>
    </xf>
    <xf numFmtId="1" fontId="27" fillId="5" borderId="1" xfId="2" applyNumberFormat="1" applyFont="1" applyBorder="1" applyAlignment="1">
      <alignment wrapText="1"/>
    </xf>
    <xf numFmtId="1" fontId="27" fillId="5" borderId="0" xfId="2" applyNumberFormat="1" applyFont="1" applyBorder="1" applyAlignment="1">
      <alignment wrapText="1"/>
    </xf>
    <xf numFmtId="0" fontId="25" fillId="13" borderId="0" xfId="8" quotePrefix="1" applyFont="1" applyFill="1"/>
    <xf numFmtId="0" fontId="11" fillId="3" borderId="0" xfId="11" quotePrefix="1" applyFont="1" applyFill="1" applyBorder="1" applyAlignment="1"/>
    <xf numFmtId="0" fontId="11" fillId="0" borderId="0" xfId="11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3" fillId="0" borderId="0" xfId="13" applyFont="1" applyFill="1" applyBorder="1" applyAlignment="1">
      <alignment horizontal="left" vertical="center"/>
    </xf>
    <xf numFmtId="0" fontId="4" fillId="0" borderId="9" xfId="0" applyFont="1" applyFill="1" applyBorder="1"/>
    <xf numFmtId="0" fontId="27" fillId="0" borderId="0" xfId="2" applyFont="1" applyFill="1" applyBorder="1" applyAlignment="1">
      <alignment wrapText="1"/>
    </xf>
    <xf numFmtId="0" fontId="27" fillId="4" borderId="3" xfId="1" applyFont="1" applyBorder="1" applyAlignment="1">
      <alignment horizontal="left" wrapText="1"/>
    </xf>
    <xf numFmtId="0" fontId="33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3" fillId="15" borderId="0" xfId="0" applyFont="1" applyFill="1"/>
    <xf numFmtId="1" fontId="23" fillId="11" borderId="10" xfId="9" applyNumberFormat="1" applyBorder="1" applyAlignment="1"/>
    <xf numFmtId="1" fontId="23" fillId="11" borderId="1" xfId="9" applyNumberFormat="1" applyBorder="1" applyAlignment="1"/>
    <xf numFmtId="1" fontId="23" fillId="11" borderId="11" xfId="9" applyNumberFormat="1" applyBorder="1" applyAlignment="1"/>
    <xf numFmtId="1" fontId="23" fillId="11" borderId="0" xfId="9" applyNumberFormat="1" applyBorder="1" applyAlignment="1"/>
    <xf numFmtId="1" fontId="0" fillId="16" borderId="0" xfId="0" applyNumberFormat="1" applyFill="1" applyBorder="1" applyAlignment="1"/>
    <xf numFmtId="0" fontId="33" fillId="0" borderId="0" xfId="0" applyFont="1" applyFill="1"/>
    <xf numFmtId="166" fontId="21" fillId="9" borderId="5" xfId="6" applyNumberFormat="1" applyBorder="1" applyAlignment="1">
      <alignment horizontal="right" vertical="center"/>
    </xf>
    <xf numFmtId="1" fontId="21" fillId="9" borderId="20" xfId="6" applyNumberFormat="1" applyBorder="1" applyAlignment="1">
      <alignment horizontal="right"/>
    </xf>
    <xf numFmtId="1" fontId="21" fillId="9" borderId="21" xfId="6" applyNumberFormat="1" applyBorder="1" applyAlignment="1">
      <alignment horizontal="right"/>
    </xf>
    <xf numFmtId="1" fontId="21" fillId="9" borderId="22" xfId="6" applyNumberFormat="1" applyBorder="1" applyAlignment="1">
      <alignment horizontal="right"/>
    </xf>
    <xf numFmtId="166" fontId="9" fillId="17" borderId="6" xfId="0" applyNumberFormat="1" applyFont="1" applyFill="1" applyBorder="1" applyAlignment="1">
      <alignment horizontal="left" vertical="center"/>
    </xf>
    <xf numFmtId="1" fontId="0" fillId="17" borderId="0" xfId="0" applyNumberFormat="1" applyFill="1" applyBorder="1" applyAlignment="1"/>
    <xf numFmtId="0" fontId="0" fillId="17" borderId="0" xfId="0" applyFill="1" applyBorder="1" applyAlignment="1"/>
    <xf numFmtId="166" fontId="9" fillId="17" borderId="12" xfId="0" applyNumberFormat="1" applyFont="1" applyFill="1" applyBorder="1" applyAlignment="1">
      <alignment horizontal="left" vertical="center"/>
    </xf>
    <xf numFmtId="0" fontId="0" fillId="17" borderId="0" xfId="0" applyFill="1"/>
    <xf numFmtId="1" fontId="21" fillId="9" borderId="23" xfId="6" applyNumberFormat="1" applyBorder="1" applyAlignment="1">
      <alignment horizontal="right"/>
    </xf>
    <xf numFmtId="166" fontId="9" fillId="18" borderId="6" xfId="0" applyNumberFormat="1" applyFont="1" applyFill="1" applyBorder="1" applyAlignment="1">
      <alignment horizontal="left" vertical="center"/>
    </xf>
    <xf numFmtId="166" fontId="9" fillId="18" borderId="12" xfId="0" applyNumberFormat="1" applyFont="1" applyFill="1" applyBorder="1" applyAlignment="1">
      <alignment horizontal="left" vertical="center"/>
    </xf>
    <xf numFmtId="166" fontId="9" fillId="18" borderId="7" xfId="0" applyNumberFormat="1" applyFont="1" applyFill="1" applyBorder="1" applyAlignment="1">
      <alignment horizontal="left" vertical="center"/>
    </xf>
    <xf numFmtId="1" fontId="0" fillId="18" borderId="2" xfId="0" applyNumberFormat="1" applyFill="1" applyBorder="1" applyAlignment="1"/>
    <xf numFmtId="1" fontId="23" fillId="11" borderId="4" xfId="9" applyNumberFormat="1" applyBorder="1" applyAlignment="1"/>
    <xf numFmtId="1" fontId="21" fillId="9" borderId="4" xfId="6" applyNumberFormat="1" applyBorder="1" applyAlignment="1">
      <alignment horizontal="right"/>
    </xf>
    <xf numFmtId="1" fontId="21" fillId="9" borderId="13" xfId="6" applyNumberFormat="1" applyBorder="1" applyAlignment="1">
      <alignment horizontal="right"/>
    </xf>
    <xf numFmtId="0" fontId="28" fillId="0" borderId="5" xfId="0" applyFont="1" applyBorder="1" applyAlignment="1">
      <alignment horizontal="center"/>
    </xf>
    <xf numFmtId="0" fontId="3" fillId="15" borderId="14" xfId="0" applyFont="1" applyFill="1" applyBorder="1" applyAlignment="1">
      <alignment wrapText="1"/>
    </xf>
    <xf numFmtId="166" fontId="9" fillId="18" borderId="10" xfId="0" applyNumberFormat="1" applyFont="1" applyFill="1" applyBorder="1" applyAlignment="1">
      <alignment horizontal="left" vertical="center"/>
    </xf>
    <xf numFmtId="166" fontId="9" fillId="18" borderId="1" xfId="0" applyNumberFormat="1" applyFont="1" applyFill="1" applyBorder="1" applyAlignment="1">
      <alignment horizontal="left" vertical="center"/>
    </xf>
    <xf numFmtId="166" fontId="9" fillId="18" borderId="15" xfId="0" applyNumberFormat="1" applyFont="1" applyFill="1" applyBorder="1" applyAlignment="1">
      <alignment horizontal="left" vertical="center"/>
    </xf>
    <xf numFmtId="166" fontId="9" fillId="18" borderId="11" xfId="0" applyNumberFormat="1" applyFont="1" applyFill="1" applyBorder="1" applyAlignment="1">
      <alignment horizontal="left" vertical="center"/>
    </xf>
    <xf numFmtId="166" fontId="9" fillId="18" borderId="0" xfId="0" applyNumberFormat="1" applyFont="1" applyFill="1" applyBorder="1" applyAlignment="1">
      <alignment horizontal="left" vertical="center"/>
    </xf>
    <xf numFmtId="166" fontId="9" fillId="18" borderId="16" xfId="0" applyNumberFormat="1" applyFont="1" applyFill="1" applyBorder="1" applyAlignment="1">
      <alignment horizontal="left" vertical="center"/>
    </xf>
    <xf numFmtId="166" fontId="9" fillId="18" borderId="17" xfId="0" applyNumberFormat="1" applyFont="1" applyFill="1" applyBorder="1" applyAlignment="1">
      <alignment horizontal="left" vertical="center"/>
    </xf>
    <xf numFmtId="166" fontId="9" fillId="18" borderId="2" xfId="0" applyNumberFormat="1" applyFont="1" applyFill="1" applyBorder="1" applyAlignment="1">
      <alignment horizontal="left" vertical="center"/>
    </xf>
    <xf numFmtId="1" fontId="23" fillId="11" borderId="2" xfId="9" applyNumberFormat="1" applyBorder="1" applyAlignment="1"/>
    <xf numFmtId="166" fontId="9" fillId="18" borderId="18" xfId="0" applyNumberFormat="1" applyFont="1" applyFill="1" applyBorder="1" applyAlignment="1">
      <alignment horizontal="left" vertical="center"/>
    </xf>
    <xf numFmtId="0" fontId="33" fillId="15" borderId="14" xfId="0" applyFont="1" applyFill="1" applyBorder="1" applyAlignment="1">
      <alignment wrapText="1"/>
    </xf>
    <xf numFmtId="0" fontId="33" fillId="15" borderId="5" xfId="0" applyFont="1" applyFill="1" applyBorder="1" applyAlignment="1">
      <alignment wrapText="1"/>
    </xf>
    <xf numFmtId="0" fontId="33" fillId="15" borderId="13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166" fontId="9" fillId="18" borderId="12" xfId="0" applyNumberFormat="1" applyFont="1" applyFill="1" applyBorder="1" applyAlignment="1">
      <alignment horizontal="center" vertical="center"/>
    </xf>
    <xf numFmtId="166" fontId="9" fillId="18" borderId="7" xfId="0" applyNumberFormat="1" applyFont="1" applyFill="1" applyBorder="1" applyAlignment="1">
      <alignment horizontal="center" vertical="center"/>
    </xf>
    <xf numFmtId="0" fontId="28" fillId="0" borderId="0" xfId="0" applyFont="1" applyBorder="1" applyAlignment="1"/>
    <xf numFmtId="166" fontId="9" fillId="16" borderId="6" xfId="0" applyNumberFormat="1" applyFont="1" applyFill="1" applyBorder="1" applyAlignment="1">
      <alignment horizontal="left" vertical="center"/>
    </xf>
    <xf numFmtId="9" fontId="23" fillId="11" borderId="10" xfId="20" applyFont="1" applyFill="1" applyBorder="1" applyAlignment="1"/>
    <xf numFmtId="9" fontId="23" fillId="11" borderId="1" xfId="20" applyFont="1" applyFill="1" applyBorder="1" applyAlignment="1"/>
    <xf numFmtId="9" fontId="12" fillId="16" borderId="1" xfId="20" applyFont="1" applyFill="1" applyBorder="1" applyAlignment="1"/>
    <xf numFmtId="9" fontId="12" fillId="16" borderId="15" xfId="20" applyFont="1" applyFill="1" applyBorder="1" applyAlignment="1"/>
    <xf numFmtId="166" fontId="9" fillId="16" borderId="12" xfId="0" applyNumberFormat="1" applyFont="1" applyFill="1" applyBorder="1" applyAlignment="1">
      <alignment horizontal="left" vertical="center"/>
    </xf>
    <xf numFmtId="9" fontId="23" fillId="11" borderId="11" xfId="20" applyFont="1" applyFill="1" applyBorder="1" applyAlignment="1"/>
    <xf numFmtId="9" fontId="23" fillId="11" borderId="0" xfId="20" applyFont="1" applyFill="1" applyBorder="1" applyAlignment="1"/>
    <xf numFmtId="9" fontId="12" fillId="16" borderId="0" xfId="20" applyFont="1" applyFill="1" applyBorder="1" applyAlignment="1"/>
    <xf numFmtId="9" fontId="12" fillId="16" borderId="16" xfId="20" applyFont="1" applyFill="1" applyBorder="1" applyAlignment="1"/>
    <xf numFmtId="166" fontId="9" fillId="16" borderId="7" xfId="0" applyNumberFormat="1" applyFont="1" applyFill="1" applyBorder="1" applyAlignment="1">
      <alignment horizontal="left" vertical="center"/>
    </xf>
    <xf numFmtId="166" fontId="21" fillId="9" borderId="14" xfId="6" applyNumberFormat="1" applyBorder="1" applyAlignment="1">
      <alignment horizontal="right" vertical="center"/>
    </xf>
    <xf numFmtId="166" fontId="21" fillId="9" borderId="4" xfId="6" applyNumberFormat="1" applyBorder="1" applyAlignment="1">
      <alignment horizontal="right" vertical="center"/>
    </xf>
    <xf numFmtId="166" fontId="21" fillId="9" borderId="13" xfId="6" applyNumberFormat="1" applyBorder="1" applyAlignment="1">
      <alignment horizontal="right" vertical="center"/>
    </xf>
    <xf numFmtId="9" fontId="12" fillId="17" borderId="10" xfId="20" applyFont="1" applyFill="1" applyBorder="1" applyAlignment="1"/>
    <xf numFmtId="9" fontId="12" fillId="17" borderId="1" xfId="20" applyFont="1" applyFill="1" applyBorder="1" applyAlignment="1"/>
    <xf numFmtId="9" fontId="12" fillId="17" borderId="15" xfId="20" applyFont="1" applyFill="1" applyBorder="1" applyAlignment="1"/>
    <xf numFmtId="9" fontId="12" fillId="17" borderId="0" xfId="20" applyFont="1" applyFill="1" applyBorder="1" applyAlignment="1"/>
    <xf numFmtId="9" fontId="12" fillId="17" borderId="16" xfId="20" applyFont="1" applyFill="1" applyBorder="1" applyAlignment="1"/>
    <xf numFmtId="9" fontId="12" fillId="17" borderId="11" xfId="20" applyFont="1" applyFill="1" applyBorder="1" applyAlignment="1"/>
    <xf numFmtId="9" fontId="12" fillId="17" borderId="17" xfId="20" applyFont="1" applyFill="1" applyBorder="1" applyAlignment="1"/>
    <xf numFmtId="9" fontId="12" fillId="17" borderId="2" xfId="20" applyFont="1" applyFill="1" applyBorder="1" applyAlignment="1"/>
    <xf numFmtId="9" fontId="12" fillId="17" borderId="18" xfId="20" applyFont="1" applyFill="1" applyBorder="1" applyAlignment="1"/>
    <xf numFmtId="9" fontId="23" fillId="11" borderId="4" xfId="20" applyFont="1" applyFill="1" applyBorder="1" applyAlignment="1"/>
    <xf numFmtId="9" fontId="0" fillId="0" borderId="0" xfId="20" applyFont="1" applyBorder="1" applyAlignment="1"/>
    <xf numFmtId="9" fontId="12" fillId="18" borderId="10" xfId="20" applyFont="1" applyFill="1" applyBorder="1" applyAlignment="1"/>
    <xf numFmtId="9" fontId="12" fillId="18" borderId="1" xfId="20" applyFont="1" applyFill="1" applyBorder="1" applyAlignment="1"/>
    <xf numFmtId="9" fontId="12" fillId="18" borderId="15" xfId="20" applyFont="1" applyFill="1" applyBorder="1" applyAlignment="1"/>
    <xf numFmtId="9" fontId="12" fillId="18" borderId="11" xfId="20" applyFont="1" applyFill="1" applyBorder="1" applyAlignment="1"/>
    <xf numFmtId="9" fontId="12" fillId="18" borderId="0" xfId="20" applyFont="1" applyFill="1" applyBorder="1" applyAlignment="1"/>
    <xf numFmtId="9" fontId="12" fillId="18" borderId="16" xfId="20" applyFont="1" applyFill="1" applyBorder="1" applyAlignment="1"/>
    <xf numFmtId="9" fontId="12" fillId="18" borderId="17" xfId="20" applyFont="1" applyFill="1" applyBorder="1" applyAlignment="1"/>
    <xf numFmtId="9" fontId="12" fillId="18" borderId="2" xfId="20" applyFont="1" applyFill="1" applyBorder="1" applyAlignment="1"/>
    <xf numFmtId="9" fontId="12" fillId="18" borderId="18" xfId="20" applyFont="1" applyFill="1" applyBorder="1" applyAlignment="1"/>
    <xf numFmtId="9" fontId="23" fillId="11" borderId="14" xfId="20" applyFont="1" applyFill="1" applyBorder="1" applyAlignment="1"/>
    <xf numFmtId="9" fontId="23" fillId="11" borderId="13" xfId="20" applyFont="1" applyFill="1" applyBorder="1" applyAlignment="1"/>
    <xf numFmtId="0" fontId="34" fillId="7" borderId="2" xfId="4" applyFont="1" applyBorder="1" applyAlignment="1">
      <alignment horizontal="left" vertical="center"/>
    </xf>
    <xf numFmtId="0" fontId="34" fillId="8" borderId="2" xfId="5" applyFont="1" applyBorder="1" applyAlignment="1">
      <alignment horizontal="left" vertical="center"/>
    </xf>
    <xf numFmtId="0" fontId="25" fillId="13" borderId="0" xfId="8" applyFont="1" applyFill="1" applyAlignment="1">
      <alignment horizontal="left"/>
    </xf>
    <xf numFmtId="0" fontId="4" fillId="17" borderId="0" xfId="10" applyFont="1" applyFill="1"/>
    <xf numFmtId="2" fontId="4" fillId="17" borderId="0" xfId="0" applyNumberFormat="1" applyFont="1" applyFill="1" applyBorder="1"/>
    <xf numFmtId="1" fontId="4" fillId="19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67" fontId="0" fillId="19" borderId="0" xfId="0" applyNumberFormat="1" applyFill="1"/>
    <xf numFmtId="2" fontId="0" fillId="19" borderId="0" xfId="0" applyNumberFormat="1" applyFill="1"/>
    <xf numFmtId="2" fontId="4" fillId="17" borderId="0" xfId="0" applyNumberFormat="1" applyFont="1" applyFill="1"/>
    <xf numFmtId="2" fontId="0" fillId="0" borderId="0" xfId="0" applyNumberFormat="1" applyFill="1"/>
    <xf numFmtId="2" fontId="0" fillId="17" borderId="0" xfId="0" applyNumberFormat="1" applyFill="1"/>
    <xf numFmtId="1" fontId="0" fillId="17" borderId="0" xfId="0" applyNumberFormat="1" applyFill="1"/>
    <xf numFmtId="2" fontId="4" fillId="19" borderId="0" xfId="0" applyNumberFormat="1" applyFont="1" applyFill="1"/>
    <xf numFmtId="2" fontId="4" fillId="17" borderId="0" xfId="10" applyNumberFormat="1" applyFont="1" applyFill="1"/>
    <xf numFmtId="2" fontId="4" fillId="0" borderId="0" xfId="10" applyNumberFormat="1" applyFont="1" applyFill="1"/>
    <xf numFmtId="9" fontId="4" fillId="19" borderId="0" xfId="19" applyFont="1" applyFill="1"/>
    <xf numFmtId="0" fontId="20" fillId="0" borderId="0" xfId="5" applyFill="1" applyAlignment="1">
      <alignment wrapText="1"/>
    </xf>
    <xf numFmtId="1" fontId="0" fillId="17" borderId="9" xfId="0" applyNumberFormat="1" applyFill="1" applyBorder="1"/>
    <xf numFmtId="0" fontId="4" fillId="17" borderId="0" xfId="11" applyFill="1"/>
    <xf numFmtId="2" fontId="4" fillId="17" borderId="0" xfId="11" applyNumberFormat="1" applyFill="1"/>
    <xf numFmtId="1" fontId="0" fillId="17" borderId="0" xfId="0" applyNumberFormat="1" applyFill="1" applyBorder="1"/>
    <xf numFmtId="0" fontId="4" fillId="17" borderId="0" xfId="11" applyFill="1" applyBorder="1"/>
    <xf numFmtId="167" fontId="0" fillId="19" borderId="8" xfId="0" applyNumberFormat="1" applyFill="1" applyBorder="1"/>
    <xf numFmtId="1" fontId="31" fillId="14" borderId="8" xfId="2" applyNumberFormat="1" applyFont="1" applyFill="1" applyBorder="1" applyAlignment="1">
      <alignment horizontal="right" wrapText="1"/>
    </xf>
    <xf numFmtId="165" fontId="0" fillId="17" borderId="0" xfId="0" applyNumberFormat="1" applyFill="1"/>
    <xf numFmtId="0" fontId="27" fillId="16" borderId="1" xfId="2" applyFont="1" applyFill="1" applyBorder="1" applyAlignment="1">
      <alignment horizontal="right" wrapText="1"/>
    </xf>
    <xf numFmtId="0" fontId="27" fillId="16" borderId="3" xfId="2" applyFont="1" applyFill="1" applyBorder="1" applyAlignment="1">
      <alignment horizontal="right" wrapText="1"/>
    </xf>
    <xf numFmtId="9" fontId="13" fillId="17" borderId="0" xfId="19" applyFont="1" applyFill="1" applyBorder="1"/>
    <xf numFmtId="9" fontId="13" fillId="17" borderId="2" xfId="19" applyFont="1" applyFill="1" applyBorder="1"/>
    <xf numFmtId="2" fontId="0" fillId="19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0" borderId="0" xfId="0" applyFont="1" applyFill="1"/>
    <xf numFmtId="0" fontId="3" fillId="20" borderId="0" xfId="0" applyFont="1" applyFill="1"/>
    <xf numFmtId="0" fontId="35" fillId="0" borderId="0" xfId="0" applyFont="1"/>
    <xf numFmtId="0" fontId="16" fillId="0" borderId="0" xfId="0" applyFont="1"/>
    <xf numFmtId="0" fontId="17" fillId="0" borderId="0" xfId="0" applyFont="1"/>
    <xf numFmtId="0" fontId="27" fillId="4" borderId="1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27" fillId="4" borderId="4" xfId="1" applyFont="1" applyBorder="1" applyAlignment="1">
      <alignment horizontal="center" wrapText="1"/>
    </xf>
    <xf numFmtId="0" fontId="27" fillId="4" borderId="8" xfId="1" quotePrefix="1" applyFont="1" applyBorder="1" applyAlignment="1">
      <alignment horizontal="center" wrapText="1"/>
    </xf>
    <xf numFmtId="0" fontId="27" fillId="4" borderId="8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4" fillId="19" borderId="9" xfId="10" applyNumberFormat="1" applyFont="1" applyFill="1" applyBorder="1"/>
    <xf numFmtId="1" fontId="0" fillId="19" borderId="0" xfId="0" applyNumberFormat="1" applyFill="1" applyBorder="1"/>
    <xf numFmtId="1" fontId="0" fillId="19" borderId="2" xfId="0" applyNumberFormat="1" applyFill="1" applyBorder="1"/>
    <xf numFmtId="0" fontId="0" fillId="19" borderId="9" xfId="0" applyFill="1" applyBorder="1"/>
    <xf numFmtId="0" fontId="0" fillId="19" borderId="0" xfId="0" applyFill="1" applyBorder="1"/>
    <xf numFmtId="0" fontId="20" fillId="6" borderId="0" xfId="3"/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0" fontId="26" fillId="0" borderId="0" xfId="11" applyFont="1" applyFill="1" applyBorder="1"/>
    <xf numFmtId="0" fontId="4" fillId="19" borderId="0" xfId="11" applyFill="1"/>
    <xf numFmtId="166" fontId="8" fillId="0" borderId="14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3" xfId="0" applyBorder="1" applyAlignment="1"/>
    <xf numFmtId="166" fontId="9" fillId="16" borderId="11" xfId="0" applyNumberFormat="1" applyFont="1" applyFill="1" applyBorder="1" applyAlignment="1">
      <alignment horizontal="left" vertical="center"/>
    </xf>
    <xf numFmtId="1" fontId="3" fillId="16" borderId="16" xfId="0" applyNumberFormat="1" applyFont="1" applyFill="1" applyBorder="1" applyAlignment="1"/>
    <xf numFmtId="166" fontId="8" fillId="0" borderId="17" xfId="0" applyNumberFormat="1" applyFont="1" applyBorder="1" applyAlignment="1">
      <alignment horizontal="left" vertical="center"/>
    </xf>
    <xf numFmtId="0" fontId="3" fillId="0" borderId="18" xfId="0" applyFont="1" applyBorder="1" applyAlignment="1"/>
    <xf numFmtId="1" fontId="3" fillId="17" borderId="16" xfId="0" applyNumberFormat="1" applyFont="1" applyFill="1" applyBorder="1" applyAlignment="1"/>
    <xf numFmtId="0" fontId="0" fillId="17" borderId="0" xfId="0" applyFill="1" applyBorder="1"/>
    <xf numFmtId="1" fontId="0" fillId="18" borderId="0" xfId="0" applyNumberFormat="1" applyFill="1" applyBorder="1" applyAlignment="1"/>
    <xf numFmtId="0" fontId="0" fillId="18" borderId="0" xfId="0" applyFill="1" applyBorder="1" applyAlignment="1"/>
    <xf numFmtId="1" fontId="3" fillId="18" borderId="16" xfId="0" applyNumberFormat="1" applyFont="1" applyFill="1" applyBorder="1" applyAlignment="1"/>
    <xf numFmtId="1" fontId="3" fillId="18" borderId="18" xfId="0" applyNumberFormat="1" applyFont="1" applyFill="1" applyBorder="1" applyAlignment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65" fontId="4" fillId="17" borderId="0" xfId="11" applyNumberFormat="1" applyFill="1"/>
    <xf numFmtId="1" fontId="4" fillId="17" borderId="0" xfId="11" applyNumberFormat="1" applyFill="1"/>
    <xf numFmtId="2" fontId="4" fillId="17" borderId="0" xfId="11" applyNumberFormat="1" applyFill="1" applyBorder="1"/>
    <xf numFmtId="2" fontId="4" fillId="0" borderId="0" xfId="11" applyNumberFormat="1" applyBorder="1"/>
    <xf numFmtId="0" fontId="4" fillId="17" borderId="2" xfId="11" applyFill="1" applyBorder="1"/>
    <xf numFmtId="2" fontId="4" fillId="17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65" fontId="4" fillId="17" borderId="2" xfId="11" applyNumberFormat="1" applyFill="1" applyBorder="1"/>
    <xf numFmtId="0" fontId="27" fillId="5" borderId="4" xfId="2" applyFont="1" applyBorder="1" applyAlignment="1">
      <alignment horizontal="center" wrapText="1"/>
    </xf>
    <xf numFmtId="168" fontId="17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22" fillId="0" borderId="0" xfId="8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7" fillId="4" borderId="3" xfId="1" applyNumberFormat="1" applyFont="1" applyBorder="1" applyAlignment="1">
      <alignment horizontal="left" wrapText="1"/>
    </xf>
    <xf numFmtId="169" fontId="4" fillId="0" borderId="0" xfId="0" applyNumberFormat="1" applyFont="1" applyFill="1"/>
    <xf numFmtId="169" fontId="0" fillId="0" borderId="0" xfId="0" applyNumberFormat="1" applyFill="1"/>
    <xf numFmtId="169" fontId="0" fillId="0" borderId="0" xfId="0" applyNumberFormat="1"/>
    <xf numFmtId="169" fontId="27" fillId="4" borderId="3" xfId="1" applyNumberFormat="1" applyFont="1" applyBorder="1" applyAlignment="1">
      <alignment horizontal="center" wrapText="1"/>
    </xf>
    <xf numFmtId="169" fontId="0" fillId="0" borderId="0" xfId="0" applyNumberFormat="1" applyFill="1" applyAlignment="1">
      <alignment wrapText="1"/>
    </xf>
    <xf numFmtId="169" fontId="5" fillId="0" borderId="0" xfId="11" applyNumberFormat="1" applyFont="1"/>
    <xf numFmtId="169" fontId="4" fillId="0" borderId="0" xfId="11" applyNumberFormat="1" applyFont="1"/>
    <xf numFmtId="169" fontId="3" fillId="2" borderId="1" xfId="11" applyNumberFormat="1" applyFont="1" applyFill="1" applyBorder="1" applyAlignment="1">
      <alignment horizontal="left"/>
    </xf>
    <xf numFmtId="169" fontId="3" fillId="2" borderId="4" xfId="11" applyNumberFormat="1" applyFont="1" applyFill="1" applyBorder="1" applyAlignment="1">
      <alignment horizontal="left"/>
    </xf>
    <xf numFmtId="169" fontId="4" fillId="0" borderId="0" xfId="11" applyNumberFormat="1" applyFont="1" applyFill="1"/>
    <xf numFmtId="169" fontId="4" fillId="0" borderId="0" xfId="11" applyNumberFormat="1" applyFill="1"/>
    <xf numFmtId="169" fontId="4" fillId="0" borderId="0" xfId="11" applyNumberFormat="1"/>
    <xf numFmtId="169" fontId="4" fillId="0" borderId="0" xfId="11" applyNumberFormat="1" applyFill="1" applyAlignment="1">
      <alignment wrapText="1"/>
    </xf>
    <xf numFmtId="169" fontId="4" fillId="0" borderId="0" xfId="11" applyNumberFormat="1" applyFont="1" applyBorder="1"/>
    <xf numFmtId="169" fontId="4" fillId="0" borderId="0" xfId="11" applyNumberFormat="1" applyBorder="1"/>
    <xf numFmtId="169" fontId="0" fillId="0" borderId="0" xfId="0" applyNumberFormat="1" applyFill="1" applyBorder="1"/>
    <xf numFmtId="169" fontId="0" fillId="0" borderId="0" xfId="0" applyNumberFormat="1" applyFill="1" applyAlignment="1"/>
    <xf numFmtId="169" fontId="4" fillId="0" borderId="0" xfId="11" applyNumberFormat="1" applyFill="1" applyAlignment="1"/>
    <xf numFmtId="165" fontId="36" fillId="11" borderId="10" xfId="9" applyNumberFormat="1" applyFont="1" applyBorder="1" applyAlignment="1"/>
    <xf numFmtId="165" fontId="36" fillId="11" borderId="1" xfId="9" applyNumberFormat="1" applyFont="1" applyBorder="1" applyAlignment="1"/>
    <xf numFmtId="1" fontId="36" fillId="11" borderId="1" xfId="9" applyNumberFormat="1" applyFont="1" applyBorder="1" applyAlignment="1"/>
    <xf numFmtId="1" fontId="26" fillId="16" borderId="0" xfId="0" applyNumberFormat="1" applyFont="1" applyFill="1" applyBorder="1" applyAlignment="1"/>
    <xf numFmtId="165" fontId="26" fillId="16" borderId="0" xfId="0" applyNumberFormat="1" applyFont="1" applyFill="1" applyBorder="1" applyAlignment="1"/>
    <xf numFmtId="165" fontId="3" fillId="16" borderId="16" xfId="0" applyNumberFormat="1" applyFont="1" applyFill="1" applyBorder="1" applyAlignment="1"/>
    <xf numFmtId="165" fontId="36" fillId="11" borderId="11" xfId="9" applyNumberFormat="1" applyFont="1" applyBorder="1" applyAlignment="1"/>
    <xf numFmtId="1" fontId="36" fillId="11" borderId="0" xfId="9" applyNumberFormat="1" applyFont="1" applyBorder="1" applyAlignment="1"/>
    <xf numFmtId="165" fontId="36" fillId="11" borderId="0" xfId="9" applyNumberFormat="1" applyFont="1" applyBorder="1" applyAlignment="1"/>
    <xf numFmtId="165" fontId="21" fillId="9" borderId="20" xfId="6" applyNumberFormat="1" applyBorder="1" applyAlignment="1">
      <alignment horizontal="right"/>
    </xf>
    <xf numFmtId="165" fontId="21" fillId="9" borderId="21" xfId="6" applyNumberFormat="1" applyBorder="1" applyAlignment="1">
      <alignment horizontal="right"/>
    </xf>
    <xf numFmtId="165" fontId="21" fillId="9" borderId="22" xfId="6" applyNumberFormat="1" applyBorder="1" applyAlignment="1">
      <alignment horizontal="right"/>
    </xf>
    <xf numFmtId="165" fontId="0" fillId="0" borderId="2" xfId="0" applyNumberFormat="1" applyBorder="1" applyAlignment="1"/>
    <xf numFmtId="165" fontId="3" fillId="0" borderId="18" xfId="0" applyNumberFormat="1" applyFont="1" applyBorder="1" applyAlignment="1"/>
    <xf numFmtId="1" fontId="26" fillId="17" borderId="0" xfId="0" applyNumberFormat="1" applyFont="1" applyFill="1" applyBorder="1" applyAlignment="1"/>
    <xf numFmtId="165" fontId="26" fillId="17" borderId="0" xfId="0" applyNumberFormat="1" applyFont="1" applyFill="1" applyBorder="1" applyAlignment="1"/>
    <xf numFmtId="165" fontId="3" fillId="17" borderId="16" xfId="0" applyNumberFormat="1" applyFont="1" applyFill="1" applyBorder="1" applyAlignment="1"/>
    <xf numFmtId="1" fontId="26" fillId="17" borderId="0" xfId="0" applyNumberFormat="1" applyFont="1" applyFill="1" applyBorder="1"/>
    <xf numFmtId="165" fontId="0" fillId="17" borderId="0" xfId="0" applyNumberFormat="1" applyFill="1" applyBorder="1" applyAlignment="1"/>
    <xf numFmtId="1" fontId="26" fillId="18" borderId="0" xfId="0" applyNumberFormat="1" applyFont="1" applyFill="1" applyBorder="1" applyAlignment="1"/>
    <xf numFmtId="165" fontId="26" fillId="18" borderId="0" xfId="0" applyNumberFormat="1" applyFont="1" applyFill="1" applyBorder="1" applyAlignment="1"/>
    <xf numFmtId="165" fontId="3" fillId="18" borderId="16" xfId="0" applyNumberFormat="1" applyFont="1" applyFill="1" applyBorder="1" applyAlignment="1"/>
    <xf numFmtId="167" fontId="26" fillId="18" borderId="0" xfId="0" applyNumberFormat="1" applyFont="1" applyFill="1" applyBorder="1" applyAlignment="1"/>
    <xf numFmtId="1" fontId="26" fillId="18" borderId="2" xfId="0" applyNumberFormat="1" applyFont="1" applyFill="1" applyBorder="1" applyAlignment="1"/>
    <xf numFmtId="165" fontId="26" fillId="18" borderId="2" xfId="0" applyNumberFormat="1" applyFont="1" applyFill="1" applyBorder="1" applyAlignment="1"/>
    <xf numFmtId="165" fontId="23" fillId="11" borderId="4" xfId="9" applyNumberFormat="1" applyBorder="1" applyAlignment="1"/>
    <xf numFmtId="165" fontId="21" fillId="9" borderId="4" xfId="6" applyNumberFormat="1" applyBorder="1" applyAlignment="1">
      <alignment horizontal="right"/>
    </xf>
    <xf numFmtId="165" fontId="21" fillId="9" borderId="13" xfId="6" applyNumberFormat="1" applyBorder="1" applyAlignment="1">
      <alignment horizontal="right"/>
    </xf>
    <xf numFmtId="0" fontId="38" fillId="0" borderId="0" xfId="10" applyFont="1" applyFill="1"/>
    <xf numFmtId="2" fontId="38" fillId="0" borderId="0" xfId="0" applyNumberFormat="1" applyFont="1" applyFill="1" applyBorder="1"/>
    <xf numFmtId="0" fontId="38" fillId="0" borderId="0" xfId="0" applyFont="1" applyFill="1"/>
    <xf numFmtId="0" fontId="39" fillId="2" borderId="1" xfId="0" applyFont="1" applyFill="1" applyBorder="1" applyAlignment="1">
      <alignment horizontal="center" vertical="center"/>
    </xf>
    <xf numFmtId="165" fontId="26" fillId="18" borderId="2" xfId="0" applyNumberFormat="1" applyFont="1" applyFill="1" applyBorder="1"/>
    <xf numFmtId="1" fontId="26" fillId="18" borderId="2" xfId="0" applyNumberFormat="1" applyFont="1" applyFill="1" applyBorder="1"/>
    <xf numFmtId="165" fontId="3" fillId="18" borderId="18" xfId="0" applyNumberFormat="1" applyFont="1" applyFill="1" applyBorder="1"/>
    <xf numFmtId="0" fontId="38" fillId="17" borderId="0" xfId="10" applyFont="1" applyFill="1"/>
    <xf numFmtId="2" fontId="1" fillId="17" borderId="0" xfId="0" applyNumberFormat="1" applyFont="1" applyFill="1"/>
    <xf numFmtId="0" fontId="26" fillId="17" borderId="0" xfId="10" applyFont="1" applyFill="1"/>
    <xf numFmtId="2" fontId="26" fillId="17" borderId="0" xfId="0" applyNumberFormat="1" applyFont="1" applyFill="1"/>
    <xf numFmtId="0" fontId="1" fillId="0" borderId="0" xfId="0" applyFont="1"/>
    <xf numFmtId="0" fontId="1" fillId="17" borderId="0" xfId="10" applyFont="1" applyFill="1"/>
    <xf numFmtId="2" fontId="1" fillId="17" borderId="0" xfId="30" applyNumberFormat="1" applyFill="1"/>
    <xf numFmtId="0" fontId="1" fillId="17" borderId="2" xfId="30" applyFill="1" applyBorder="1"/>
  </cellXfs>
  <cellStyles count="31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Good" xfId="8" builtinId="26"/>
    <cellStyle name="Input" xfId="9" builtinId="20"/>
    <cellStyle name="Neutral" xfId="10" builtinId="28"/>
    <cellStyle name="Normal" xfId="0" builtinId="0"/>
    <cellStyle name="Normal 10" xfId="11" xr:uid="{00000000-0005-0000-0000-00000B000000}"/>
    <cellStyle name="Normal 10 2" xfId="30" xr:uid="{FF556306-83E1-4948-845A-38F287F9DF31}"/>
    <cellStyle name="Normal 2" xfId="12" xr:uid="{00000000-0005-0000-0000-00000C000000}"/>
    <cellStyle name="Normal 4" xfId="13" xr:uid="{00000000-0005-0000-0000-00000D000000}"/>
    <cellStyle name="Normal 4 2" xfId="14" xr:uid="{00000000-0005-0000-0000-00000E000000}"/>
    <cellStyle name="Normal 8" xfId="15" xr:uid="{00000000-0005-0000-0000-00000F000000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Standard_Sce_D_Extraction" xfId="28" xr:uid="{00000000-0005-0000-0000-00001C000000}"/>
    <cellStyle name="표준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</xdr:colOff>
      <xdr:row>26</xdr:row>
      <xdr:rowOff>11430</xdr:rowOff>
    </xdr:from>
    <xdr:to>
      <xdr:col>11</xdr:col>
      <xdr:colOff>713886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F5E40-2DDD-4498-B719-BC400346732E}"/>
            </a:ext>
          </a:extLst>
        </xdr:cNvPr>
        <xdr:cNvSpPr txBox="1"/>
      </xdr:nvSpPr>
      <xdr:spPr>
        <a:xfrm>
          <a:off x="5167841" y="480271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713951</xdr:colOff>
      <xdr:row>34</xdr:row>
      <xdr:rowOff>2963</xdr:rowOff>
    </xdr:from>
    <xdr:to>
      <xdr:col>13</xdr:col>
      <xdr:colOff>31710</xdr:colOff>
      <xdr:row>38</xdr:row>
      <xdr:rowOff>41063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D8ED32-5703-46D6-B489-1EDEE31EF593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13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E8DFA-4A72-4C53-9E14-DEF7BA8F3822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0</xdr:rowOff>
    </xdr:from>
    <xdr:to>
      <xdr:col>14</xdr:col>
      <xdr:colOff>407671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DF40BA-AC6C-435D-A782-C050412EFF03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960595-7921-4C06-9F5E-FB26582D9F1B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19261</xdr:rowOff>
    </xdr:from>
    <xdr:to>
      <xdr:col>25</xdr:col>
      <xdr:colOff>21169</xdr:colOff>
      <xdr:row>24</xdr:row>
      <xdr:rowOff>11673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F0864-3FEF-4D04-8B2C-F7B7953BCCB2}"/>
            </a:ext>
          </a:extLst>
        </xdr:cNvPr>
        <xdr:cNvSpPr txBox="1"/>
      </xdr:nvSpPr>
      <xdr:spPr>
        <a:xfrm>
          <a:off x="12594167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99F0-A4EF-4272-A7C4-005EEFDA475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31C913-C700-4B9A-966A-22D6BC473B7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15</xdr:col>
      <xdr:colOff>3811903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F98BE-4EB1-46C9-8233-CBCF0B02C8EA}"/>
            </a:ext>
          </a:extLst>
        </xdr:cNvPr>
        <xdr:cNvSpPr txBox="1"/>
      </xdr:nvSpPr>
      <xdr:spPr>
        <a:xfrm>
          <a:off x="7705725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8F6526-811C-41BA-8ABC-3109FF4BAD57}"/>
            </a:ext>
          </a:extLst>
        </xdr:cNvPr>
        <xdr:cNvSpPr txBox="1"/>
      </xdr:nvSpPr>
      <xdr:spPr>
        <a:xfrm>
          <a:off x="9726083" y="3810000"/>
          <a:ext cx="5884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255271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0B30A-DDAA-401F-AEA0-C532F9BAED9B}"/>
            </a:ext>
          </a:extLst>
        </xdr:cNvPr>
        <xdr:cNvSpPr txBox="1"/>
      </xdr:nvSpPr>
      <xdr:spPr>
        <a:xfrm>
          <a:off x="133350" y="30765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F4AAFC-2004-498E-83F9-0DB7F5326CB7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11</xdr:col>
      <xdr:colOff>702132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AC7963-F7D0-441C-B529-6DB07B1153B4}"/>
            </a:ext>
          </a:extLst>
        </xdr:cNvPr>
        <xdr:cNvSpPr txBox="1"/>
      </xdr:nvSpPr>
      <xdr:spPr>
        <a:xfrm>
          <a:off x="5154083" y="478366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31751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3CF945-E25F-4ECF-AA52-2195E8CD9DA0}"/>
            </a:ext>
          </a:extLst>
        </xdr:cNvPr>
        <xdr:cNvSpPr txBox="1"/>
      </xdr:nvSpPr>
      <xdr:spPr>
        <a:xfrm>
          <a:off x="5873750" y="6085417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10584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3FC3CC-7793-4F69-96CB-D873BE1B0BA9}"/>
            </a:ext>
          </a:extLst>
        </xdr:cNvPr>
        <xdr:cNvSpPr txBox="1"/>
      </xdr:nvSpPr>
      <xdr:spPr>
        <a:xfrm>
          <a:off x="5185833" y="4783667"/>
          <a:ext cx="4392084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713936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39064F-B7C5-496D-9B6A-AF14254FCA5C}"/>
            </a:ext>
          </a:extLst>
        </xdr:cNvPr>
        <xdr:cNvSpPr txBox="1"/>
      </xdr:nvSpPr>
      <xdr:spPr>
        <a:xfrm>
          <a:off x="5916083" y="6085417"/>
          <a:ext cx="4370917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3689" name="Picture 6">
          <a:extLst>
            <a:ext uri="{FF2B5EF4-FFF2-40B4-BE49-F238E27FC236}">
              <a16:creationId xmlns:a16="http://schemas.microsoft.com/office/drawing/2014/main" id="{09AB9218-737E-42AA-91F0-6395E72C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19</xdr:row>
      <xdr:rowOff>0</xdr:rowOff>
    </xdr:from>
    <xdr:to>
      <xdr:col>13</xdr:col>
      <xdr:colOff>123825</xdr:colOff>
      <xdr:row>27</xdr:row>
      <xdr:rowOff>28575</xdr:rowOff>
    </xdr:to>
    <xdr:pic>
      <xdr:nvPicPr>
        <xdr:cNvPr id="53690" name="Picture 15">
          <a:extLst>
            <a:ext uri="{FF2B5EF4-FFF2-40B4-BE49-F238E27FC236}">
              <a16:creationId xmlns:a16="http://schemas.microsoft.com/office/drawing/2014/main" id="{7DA519BA-422F-4817-93FA-D9116CCF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128</xdr:row>
      <xdr:rowOff>9525</xdr:rowOff>
    </xdr:from>
    <xdr:to>
      <xdr:col>15</xdr:col>
      <xdr:colOff>28575</xdr:colOff>
      <xdr:row>139</xdr:row>
      <xdr:rowOff>133350</xdr:rowOff>
    </xdr:to>
    <xdr:pic>
      <xdr:nvPicPr>
        <xdr:cNvPr id="53691" name="Picture 8">
          <a:extLst>
            <a:ext uri="{FF2B5EF4-FFF2-40B4-BE49-F238E27FC236}">
              <a16:creationId xmlns:a16="http://schemas.microsoft.com/office/drawing/2014/main" id="{ECE2657E-5CEA-41E2-9E65-2F36F34E5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30</xdr:row>
      <xdr:rowOff>0</xdr:rowOff>
    </xdr:from>
    <xdr:to>
      <xdr:col>30</xdr:col>
      <xdr:colOff>552450</xdr:colOff>
      <xdr:row>49</xdr:row>
      <xdr:rowOff>57150</xdr:rowOff>
    </xdr:to>
    <xdr:pic>
      <xdr:nvPicPr>
        <xdr:cNvPr id="53692" name="Picture 4">
          <a:extLst>
            <a:ext uri="{FF2B5EF4-FFF2-40B4-BE49-F238E27FC236}">
              <a16:creationId xmlns:a16="http://schemas.microsoft.com/office/drawing/2014/main" id="{51735344-A3ED-4323-A67E-6D694C40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28</xdr:row>
      <xdr:rowOff>0</xdr:rowOff>
    </xdr:from>
    <xdr:to>
      <xdr:col>13</xdr:col>
      <xdr:colOff>504825</xdr:colOff>
      <xdr:row>38</xdr:row>
      <xdr:rowOff>95250</xdr:rowOff>
    </xdr:to>
    <xdr:pic>
      <xdr:nvPicPr>
        <xdr:cNvPr id="53693" name="Picture 1">
          <a:extLst>
            <a:ext uri="{FF2B5EF4-FFF2-40B4-BE49-F238E27FC236}">
              <a16:creationId xmlns:a16="http://schemas.microsoft.com/office/drawing/2014/main" id="{958ABEC1-53EC-48F5-98A8-B5B936D0F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95250</xdr:rowOff>
    </xdr:from>
    <xdr:to>
      <xdr:col>13</xdr:col>
      <xdr:colOff>495300</xdr:colOff>
      <xdr:row>48</xdr:row>
      <xdr:rowOff>57150</xdr:rowOff>
    </xdr:to>
    <xdr:pic>
      <xdr:nvPicPr>
        <xdr:cNvPr id="53694" name="Picture 2">
          <a:extLst>
            <a:ext uri="{FF2B5EF4-FFF2-40B4-BE49-F238E27FC236}">
              <a16:creationId xmlns:a16="http://schemas.microsoft.com/office/drawing/2014/main" id="{6CB590CC-6CCD-44A6-8BA0-E60D775F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57150</xdr:rowOff>
    </xdr:from>
    <xdr:to>
      <xdr:col>13</xdr:col>
      <xdr:colOff>504825</xdr:colOff>
      <xdr:row>69</xdr:row>
      <xdr:rowOff>19050</xdr:rowOff>
    </xdr:to>
    <xdr:pic>
      <xdr:nvPicPr>
        <xdr:cNvPr id="53695" name="Picture 3">
          <a:extLst>
            <a:ext uri="{FF2B5EF4-FFF2-40B4-BE49-F238E27FC236}">
              <a16:creationId xmlns:a16="http://schemas.microsoft.com/office/drawing/2014/main" id="{4B17FCA1-FBC8-40EC-8915-B64DBC20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19050</xdr:rowOff>
    </xdr:from>
    <xdr:to>
      <xdr:col>13</xdr:col>
      <xdr:colOff>495300</xdr:colOff>
      <xdr:row>80</xdr:row>
      <xdr:rowOff>28575</xdr:rowOff>
    </xdr:to>
    <xdr:pic>
      <xdr:nvPicPr>
        <xdr:cNvPr id="53696" name="Picture 4">
          <a:extLst>
            <a:ext uri="{FF2B5EF4-FFF2-40B4-BE49-F238E27FC236}">
              <a16:creationId xmlns:a16="http://schemas.microsoft.com/office/drawing/2014/main" id="{ACFE0B7F-B1CD-4070-A5A0-9DF0CA18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19050</xdr:rowOff>
    </xdr:from>
    <xdr:to>
      <xdr:col>13</xdr:col>
      <xdr:colOff>495300</xdr:colOff>
      <xdr:row>88</xdr:row>
      <xdr:rowOff>57150</xdr:rowOff>
    </xdr:to>
    <xdr:pic>
      <xdr:nvPicPr>
        <xdr:cNvPr id="53697" name="Picture 5">
          <a:extLst>
            <a:ext uri="{FF2B5EF4-FFF2-40B4-BE49-F238E27FC236}">
              <a16:creationId xmlns:a16="http://schemas.microsoft.com/office/drawing/2014/main" id="{91708B85-9031-416D-BCCE-39B362F8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9525</xdr:rowOff>
    </xdr:from>
    <xdr:to>
      <xdr:col>13</xdr:col>
      <xdr:colOff>504825</xdr:colOff>
      <xdr:row>59</xdr:row>
      <xdr:rowOff>57150</xdr:rowOff>
    </xdr:to>
    <xdr:pic>
      <xdr:nvPicPr>
        <xdr:cNvPr id="53698" name="Picture 6">
          <a:extLst>
            <a:ext uri="{FF2B5EF4-FFF2-40B4-BE49-F238E27FC236}">
              <a16:creationId xmlns:a16="http://schemas.microsoft.com/office/drawing/2014/main" id="{B0F44C91-A2CD-40F1-BFEE-E5040412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57150</xdr:rowOff>
    </xdr:from>
    <xdr:to>
      <xdr:col>13</xdr:col>
      <xdr:colOff>495300</xdr:colOff>
      <xdr:row>98</xdr:row>
      <xdr:rowOff>104775</xdr:rowOff>
    </xdr:to>
    <xdr:pic>
      <xdr:nvPicPr>
        <xdr:cNvPr id="53699" name="Picture 7">
          <a:extLst>
            <a:ext uri="{FF2B5EF4-FFF2-40B4-BE49-F238E27FC236}">
              <a16:creationId xmlns:a16="http://schemas.microsoft.com/office/drawing/2014/main" id="{400F1E17-977C-4CCC-BAAF-5D76D541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</xdr:row>
      <xdr:rowOff>19050</xdr:rowOff>
    </xdr:from>
    <xdr:to>
      <xdr:col>25</xdr:col>
      <xdr:colOff>57150</xdr:colOff>
      <xdr:row>38</xdr:row>
      <xdr:rowOff>9525</xdr:rowOff>
    </xdr:to>
    <xdr:pic>
      <xdr:nvPicPr>
        <xdr:cNvPr id="53700" name="Picture 8">
          <a:extLst>
            <a:ext uri="{FF2B5EF4-FFF2-40B4-BE49-F238E27FC236}">
              <a16:creationId xmlns:a16="http://schemas.microsoft.com/office/drawing/2014/main" id="{E3BC2242-8DA7-456E-AC15-2C5E5B55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19</xdr:row>
      <xdr:rowOff>0</xdr:rowOff>
    </xdr:from>
    <xdr:to>
      <xdr:col>30</xdr:col>
      <xdr:colOff>85725</xdr:colOff>
      <xdr:row>28</xdr:row>
      <xdr:rowOff>85725</xdr:rowOff>
    </xdr:to>
    <xdr:pic>
      <xdr:nvPicPr>
        <xdr:cNvPr id="53701" name="Picture 10">
          <a:extLst>
            <a:ext uri="{FF2B5EF4-FFF2-40B4-BE49-F238E27FC236}">
              <a16:creationId xmlns:a16="http://schemas.microsoft.com/office/drawing/2014/main" id="{50E3980F-34AE-428B-85BE-773B4A2E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571500</xdr:colOff>
      <xdr:row>4</xdr:row>
      <xdr:rowOff>28575</xdr:rowOff>
    </xdr:from>
    <xdr:to>
      <xdr:col>9</xdr:col>
      <xdr:colOff>352425</xdr:colOff>
      <xdr:row>12</xdr:row>
      <xdr:rowOff>38100</xdr:rowOff>
    </xdr:to>
    <xdr:pic>
      <xdr:nvPicPr>
        <xdr:cNvPr id="53702" name="Picture 1">
          <a:extLst>
            <a:ext uri="{FF2B5EF4-FFF2-40B4-BE49-F238E27FC236}">
              <a16:creationId xmlns:a16="http://schemas.microsoft.com/office/drawing/2014/main" id="{58685C7F-9DBF-4B9E-B17E-E17BE7337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38200"/>
          <a:ext cx="28289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542925</xdr:colOff>
      <xdr:row>4</xdr:row>
      <xdr:rowOff>0</xdr:rowOff>
    </xdr:from>
    <xdr:to>
      <xdr:col>13</xdr:col>
      <xdr:colOff>142875</xdr:colOff>
      <xdr:row>14</xdr:row>
      <xdr:rowOff>57150</xdr:rowOff>
    </xdr:to>
    <xdr:pic>
      <xdr:nvPicPr>
        <xdr:cNvPr id="53703" name="Picture 21">
          <a:extLst>
            <a:ext uri="{FF2B5EF4-FFF2-40B4-BE49-F238E27FC236}">
              <a16:creationId xmlns:a16="http://schemas.microsoft.com/office/drawing/2014/main" id="{4FC88F77-7BD5-45EA-A010-98217764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809625"/>
          <a:ext cx="3457575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8</xdr:col>
      <xdr:colOff>504825</xdr:colOff>
      <xdr:row>30</xdr:row>
      <xdr:rowOff>152400</xdr:rowOff>
    </xdr:to>
    <xdr:pic>
      <xdr:nvPicPr>
        <xdr:cNvPr id="53704" name="Picture 3">
          <a:extLst>
            <a:ext uri="{FF2B5EF4-FFF2-40B4-BE49-F238E27FC236}">
              <a16:creationId xmlns:a16="http://schemas.microsoft.com/office/drawing/2014/main" id="{D57BF1BB-7B51-4A4A-8AC2-0DE70FCC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152400</xdr:rowOff>
    </xdr:from>
    <xdr:to>
      <xdr:col>8</xdr:col>
      <xdr:colOff>514350</xdr:colOff>
      <xdr:row>42</xdr:row>
      <xdr:rowOff>95250</xdr:rowOff>
    </xdr:to>
    <xdr:pic>
      <xdr:nvPicPr>
        <xdr:cNvPr id="53705" name="Picture 22">
          <a:extLst>
            <a:ext uri="{FF2B5EF4-FFF2-40B4-BE49-F238E27FC236}">
              <a16:creationId xmlns:a16="http://schemas.microsoft.com/office/drawing/2014/main" id="{3E5DB3F0-AFA4-4103-AF76-0ED84E935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95250</xdr:rowOff>
    </xdr:from>
    <xdr:to>
      <xdr:col>8</xdr:col>
      <xdr:colOff>504825</xdr:colOff>
      <xdr:row>51</xdr:row>
      <xdr:rowOff>123825</xdr:rowOff>
    </xdr:to>
    <xdr:pic>
      <xdr:nvPicPr>
        <xdr:cNvPr id="53706" name="Picture 6">
          <a:extLst>
            <a:ext uri="{FF2B5EF4-FFF2-40B4-BE49-F238E27FC236}">
              <a16:creationId xmlns:a16="http://schemas.microsoft.com/office/drawing/2014/main" id="{03AB0B64-A5CB-49FE-98AE-503EBB74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66675</xdr:rowOff>
    </xdr:from>
    <xdr:to>
      <xdr:col>8</xdr:col>
      <xdr:colOff>504825</xdr:colOff>
      <xdr:row>60</xdr:row>
      <xdr:rowOff>38100</xdr:rowOff>
    </xdr:to>
    <xdr:pic>
      <xdr:nvPicPr>
        <xdr:cNvPr id="53707" name="Picture 7">
          <a:extLst>
            <a:ext uri="{FF2B5EF4-FFF2-40B4-BE49-F238E27FC236}">
              <a16:creationId xmlns:a16="http://schemas.microsoft.com/office/drawing/2014/main" id="{6B02A5EA-A377-47F9-B1F6-82A2B053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28575</xdr:rowOff>
    </xdr:from>
    <xdr:to>
      <xdr:col>10</xdr:col>
      <xdr:colOff>381000</xdr:colOff>
      <xdr:row>72</xdr:row>
      <xdr:rowOff>152400</xdr:rowOff>
    </xdr:to>
    <xdr:pic>
      <xdr:nvPicPr>
        <xdr:cNvPr id="53708" name="Picture 25">
          <a:extLst>
            <a:ext uri="{FF2B5EF4-FFF2-40B4-BE49-F238E27FC236}">
              <a16:creationId xmlns:a16="http://schemas.microsoft.com/office/drawing/2014/main" id="{3016C365-9419-4A1C-8523-FCC55EAA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406062-9DA6-4160-A5C7-EAA4D9F82837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2A451-AE22-4780-A1DC-6DA904EEC7A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2E2A3F-86CB-4B9B-88DF-9F910792C68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0</xdr:rowOff>
    </xdr:from>
    <xdr:to>
      <xdr:col>12</xdr:col>
      <xdr:colOff>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6007E4-30A1-4F8D-A90E-61F238D6B656}"/>
            </a:ext>
          </a:extLst>
        </xdr:cNvPr>
        <xdr:cNvSpPr txBox="1"/>
      </xdr:nvSpPr>
      <xdr:spPr>
        <a:xfrm>
          <a:off x="6372225" y="2943225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8CA48B-7ABB-4997-9C95-E99107CCB07B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7"/>
  <sheetViews>
    <sheetView topLeftCell="I1" zoomScale="80" zoomScaleNormal="80" workbookViewId="0">
      <selection activeCell="S24" sqref="S24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18" width="10.88671875" customWidth="1"/>
    <col min="19" max="19" width="11.21875" customWidth="1"/>
    <col min="20" max="20" width="2" bestFit="1" customWidth="1"/>
    <col min="21" max="21" width="12.33203125" bestFit="1" customWidth="1"/>
    <col min="23" max="23" width="6.6640625" bestFit="1" customWidth="1"/>
    <col min="24" max="24" width="9.33203125" bestFit="1" customWidth="1"/>
    <col min="25" max="25" width="2" bestFit="1" customWidth="1"/>
    <col min="26" max="26" width="21.44140625" bestFit="1" customWidth="1"/>
    <col min="27" max="27" width="22.88671875" customWidth="1"/>
    <col min="28" max="42" width="11.6640625" customWidth="1"/>
  </cols>
  <sheetData>
    <row r="1" spans="1:42" s="9" customFormat="1">
      <c r="U1" s="37" t="s">
        <v>119</v>
      </c>
      <c r="V1" s="1" t="s">
        <v>120</v>
      </c>
      <c r="W1" s="1" t="s">
        <v>121</v>
      </c>
      <c r="X1" s="1" t="s">
        <v>142</v>
      </c>
    </row>
    <row r="2" spans="1:42" ht="15.6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178" t="s">
        <v>268</v>
      </c>
      <c r="W2" s="20" t="s">
        <v>97</v>
      </c>
      <c r="X2" s="20" t="s">
        <v>143</v>
      </c>
      <c r="AA2" s="10"/>
      <c r="AB2" s="94" t="s">
        <v>47</v>
      </c>
      <c r="AC2" s="94" t="s">
        <v>48</v>
      </c>
      <c r="AD2" s="94" t="s">
        <v>49</v>
      </c>
      <c r="AE2" s="94" t="s">
        <v>194</v>
      </c>
      <c r="AF2" s="94" t="s">
        <v>195</v>
      </c>
      <c r="AG2" s="94" t="s">
        <v>196</v>
      </c>
      <c r="AH2" s="94" t="s">
        <v>197</v>
      </c>
      <c r="AI2" s="94" t="s">
        <v>198</v>
      </c>
      <c r="AJ2" s="94" t="s">
        <v>199</v>
      </c>
      <c r="AK2" s="94" t="s">
        <v>200</v>
      </c>
      <c r="AL2" s="94" t="s">
        <v>50</v>
      </c>
      <c r="AM2" s="94" t="s">
        <v>51</v>
      </c>
      <c r="AN2" s="94" t="s">
        <v>52</v>
      </c>
      <c r="AO2" s="94" t="s">
        <v>53</v>
      </c>
      <c r="AP2" s="94" t="s">
        <v>54</v>
      </c>
    </row>
    <row r="3" spans="1:42" ht="39.6">
      <c r="C3" s="12"/>
      <c r="D3" s="95" t="s">
        <v>55</v>
      </c>
      <c r="E3" s="95" t="s">
        <v>56</v>
      </c>
      <c r="F3" s="95" t="s">
        <v>229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  <c r="Z3" s="139" t="s">
        <v>231</v>
      </c>
      <c r="AA3" s="12"/>
      <c r="AB3" s="95" t="s">
        <v>55</v>
      </c>
      <c r="AC3" s="95" t="s">
        <v>56</v>
      </c>
      <c r="AD3" s="95" t="s">
        <v>229</v>
      </c>
      <c r="AE3" s="95" t="s">
        <v>208</v>
      </c>
      <c r="AF3" s="95" t="s">
        <v>202</v>
      </c>
      <c r="AG3" s="95" t="s">
        <v>196</v>
      </c>
      <c r="AH3" s="95" t="s">
        <v>203</v>
      </c>
      <c r="AI3" s="95" t="s">
        <v>204</v>
      </c>
      <c r="AJ3" s="95" t="s">
        <v>205</v>
      </c>
      <c r="AK3" s="95" t="s">
        <v>206</v>
      </c>
      <c r="AL3" s="95" t="s">
        <v>57</v>
      </c>
      <c r="AM3" s="95" t="s">
        <v>58</v>
      </c>
      <c r="AN3" s="95" t="s">
        <v>59</v>
      </c>
      <c r="AO3" s="95" t="s">
        <v>60</v>
      </c>
      <c r="AP3" s="95" t="s">
        <v>112</v>
      </c>
    </row>
    <row r="4" spans="1:42">
      <c r="C4" s="236" t="s">
        <v>62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O4" s="238"/>
      <c r="P4" s="238"/>
      <c r="Q4" s="238"/>
      <c r="R4" s="238"/>
      <c r="S4" s="239"/>
      <c r="AA4" s="13" t="s">
        <v>62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4.4">
      <c r="B5" s="97" t="s">
        <v>63</v>
      </c>
      <c r="C5" s="240" t="s">
        <v>64</v>
      </c>
      <c r="D5" s="292">
        <v>8.75</v>
      </c>
      <c r="E5" s="293">
        <v>689.86599999999999</v>
      </c>
      <c r="F5" s="293">
        <v>25.5395</v>
      </c>
      <c r="G5" s="294">
        <v>0</v>
      </c>
      <c r="H5" s="294">
        <v>0</v>
      </c>
      <c r="I5" s="293">
        <v>0.29310000000000003</v>
      </c>
      <c r="J5" s="293">
        <v>0</v>
      </c>
      <c r="K5" s="293">
        <v>0.16750000000000001</v>
      </c>
      <c r="L5" s="294">
        <v>0</v>
      </c>
      <c r="M5" s="294">
        <v>0</v>
      </c>
      <c r="N5" s="295">
        <v>0</v>
      </c>
      <c r="O5" s="296">
        <v>423.411</v>
      </c>
      <c r="P5" s="295">
        <v>0</v>
      </c>
      <c r="Q5" s="295">
        <v>0</v>
      </c>
      <c r="R5" s="295">
        <v>0</v>
      </c>
      <c r="S5" s="297">
        <f>SUM(D5:R5)</f>
        <v>1148.0271</v>
      </c>
      <c r="U5" s="14"/>
      <c r="Z5" s="97" t="s">
        <v>63</v>
      </c>
      <c r="AA5" s="140" t="s">
        <v>64</v>
      </c>
      <c r="AB5" s="141">
        <v>1</v>
      </c>
      <c r="AC5" s="142">
        <v>0</v>
      </c>
      <c r="AD5" s="142">
        <v>0.3</v>
      </c>
      <c r="AE5" s="142">
        <v>0.3</v>
      </c>
      <c r="AF5" s="142">
        <v>0.3</v>
      </c>
      <c r="AG5" s="142">
        <v>0.3</v>
      </c>
      <c r="AH5" s="142">
        <v>0.3</v>
      </c>
      <c r="AI5" s="142">
        <v>0.3</v>
      </c>
      <c r="AJ5" s="142">
        <v>0.3</v>
      </c>
      <c r="AK5" s="142">
        <v>0.3</v>
      </c>
      <c r="AL5" s="142">
        <v>0</v>
      </c>
      <c r="AM5" s="142">
        <v>1</v>
      </c>
      <c r="AN5" s="143">
        <v>0.5</v>
      </c>
      <c r="AO5" s="143">
        <v>0.5</v>
      </c>
      <c r="AP5" s="144">
        <v>0.5</v>
      </c>
    </row>
    <row r="6" spans="1:42" ht="14.4">
      <c r="B6" s="97" t="s">
        <v>65</v>
      </c>
      <c r="C6" s="240" t="s">
        <v>66</v>
      </c>
      <c r="D6" s="298">
        <v>8.7089999999999996</v>
      </c>
      <c r="E6" s="299">
        <v>0</v>
      </c>
      <c r="F6" s="299">
        <v>0</v>
      </c>
      <c r="G6" s="300">
        <v>90.058099999999996</v>
      </c>
      <c r="H6" s="299">
        <v>0</v>
      </c>
      <c r="I6" s="300">
        <v>1.4654</v>
      </c>
      <c r="J6" s="300">
        <v>48.3157</v>
      </c>
      <c r="K6" s="299">
        <v>0</v>
      </c>
      <c r="L6" s="299">
        <v>0</v>
      </c>
      <c r="M6" s="300">
        <v>17.751999999999999</v>
      </c>
      <c r="N6" s="295">
        <v>0</v>
      </c>
      <c r="O6" s="295">
        <v>0</v>
      </c>
      <c r="P6" s="295">
        <v>0</v>
      </c>
      <c r="Q6" s="295">
        <v>0</v>
      </c>
      <c r="R6" s="295">
        <v>0</v>
      </c>
      <c r="S6" s="297">
        <f>SUM(D6:R6)</f>
        <v>166.30020000000002</v>
      </c>
      <c r="Z6" s="97" t="s">
        <v>65</v>
      </c>
      <c r="AA6" s="145" t="s">
        <v>66</v>
      </c>
      <c r="AB6" s="146">
        <v>1</v>
      </c>
      <c r="AC6" s="147">
        <v>0</v>
      </c>
      <c r="AD6" s="147">
        <v>0.3</v>
      </c>
      <c r="AE6" s="147">
        <v>0.3</v>
      </c>
      <c r="AF6" s="147">
        <v>0.3</v>
      </c>
      <c r="AG6" s="147">
        <v>0.3</v>
      </c>
      <c r="AH6" s="147">
        <v>0.3</v>
      </c>
      <c r="AI6" s="147">
        <v>0.3</v>
      </c>
      <c r="AJ6" s="147">
        <v>0.3</v>
      </c>
      <c r="AK6" s="147">
        <v>0.3</v>
      </c>
      <c r="AL6" s="147">
        <v>0</v>
      </c>
      <c r="AM6" s="147">
        <v>1</v>
      </c>
      <c r="AN6" s="148">
        <v>0.5</v>
      </c>
      <c r="AO6" s="148">
        <v>0.5</v>
      </c>
      <c r="AP6" s="149">
        <v>0.5</v>
      </c>
    </row>
    <row r="7" spans="1:42" ht="14.4">
      <c r="B7" s="97" t="s">
        <v>67</v>
      </c>
      <c r="C7" s="240" t="s">
        <v>68</v>
      </c>
      <c r="D7" s="298">
        <v>-0.16750000000000001</v>
      </c>
      <c r="E7" s="300">
        <v>-537.33399999999995</v>
      </c>
      <c r="F7" s="300">
        <v>-6.1130000000000004</v>
      </c>
      <c r="G7" s="300">
        <v>-7.2431999999999999</v>
      </c>
      <c r="H7" s="299">
        <v>0</v>
      </c>
      <c r="I7" s="299">
        <v>0</v>
      </c>
      <c r="J7" s="299">
        <v>0</v>
      </c>
      <c r="K7" s="299">
        <v>0</v>
      </c>
      <c r="L7" s="299">
        <v>0</v>
      </c>
      <c r="M7" s="299">
        <v>0</v>
      </c>
      <c r="N7" s="295">
        <v>0</v>
      </c>
      <c r="O7" s="295">
        <v>0</v>
      </c>
      <c r="P7" s="295">
        <v>0</v>
      </c>
      <c r="Q7" s="295">
        <v>0</v>
      </c>
      <c r="R7" s="296">
        <v>-8.5829000000000004</v>
      </c>
      <c r="S7" s="297">
        <f>SUM(D7:R7)</f>
        <v>-559.44060000000002</v>
      </c>
      <c r="U7" s="14"/>
      <c r="Z7" s="97" t="s">
        <v>67</v>
      </c>
      <c r="AA7" s="150" t="s">
        <v>68</v>
      </c>
      <c r="AB7" s="146">
        <v>1</v>
      </c>
      <c r="AC7" s="147">
        <v>0</v>
      </c>
      <c r="AD7" s="147">
        <v>0.3</v>
      </c>
      <c r="AE7" s="147">
        <v>0.3</v>
      </c>
      <c r="AF7" s="147">
        <v>0.3</v>
      </c>
      <c r="AG7" s="147">
        <v>0.3</v>
      </c>
      <c r="AH7" s="147">
        <v>0.3</v>
      </c>
      <c r="AI7" s="147">
        <v>0.3</v>
      </c>
      <c r="AJ7" s="147">
        <v>0.3</v>
      </c>
      <c r="AK7" s="147">
        <v>0.3</v>
      </c>
      <c r="AL7" s="147">
        <v>0</v>
      </c>
      <c r="AM7" s="147">
        <v>1</v>
      </c>
      <c r="AN7" s="148">
        <v>0.5</v>
      </c>
      <c r="AO7" s="148">
        <v>0.5</v>
      </c>
      <c r="AP7" s="149">
        <v>0.5</v>
      </c>
    </row>
    <row r="8" spans="1:42" ht="14.4">
      <c r="B8" s="229" t="s">
        <v>247</v>
      </c>
      <c r="C8" s="104" t="s">
        <v>248</v>
      </c>
      <c r="D8" s="301">
        <f>SUM(D5:D7)</f>
        <v>17.291499999999999</v>
      </c>
      <c r="E8" s="302">
        <f t="shared" ref="E8:R8" si="0">SUM(E5:E7)</f>
        <v>152.53200000000004</v>
      </c>
      <c r="F8" s="302">
        <f t="shared" si="0"/>
        <v>19.426500000000001</v>
      </c>
      <c r="G8" s="302">
        <f t="shared" si="0"/>
        <v>82.814899999999994</v>
      </c>
      <c r="H8" s="106">
        <f t="shared" si="0"/>
        <v>0</v>
      </c>
      <c r="I8" s="302">
        <f t="shared" si="0"/>
        <v>1.7585000000000002</v>
      </c>
      <c r="J8" s="302">
        <f t="shared" si="0"/>
        <v>48.3157</v>
      </c>
      <c r="K8" s="302">
        <f t="shared" si="0"/>
        <v>0.16750000000000001</v>
      </c>
      <c r="L8" s="106">
        <f t="shared" si="0"/>
        <v>0</v>
      </c>
      <c r="M8" s="302">
        <f t="shared" si="0"/>
        <v>17.751999999999999</v>
      </c>
      <c r="N8" s="106">
        <f t="shared" si="0"/>
        <v>0</v>
      </c>
      <c r="O8" s="302">
        <f t="shared" si="0"/>
        <v>423.411</v>
      </c>
      <c r="P8" s="106">
        <f t="shared" si="0"/>
        <v>0</v>
      </c>
      <c r="Q8" s="106">
        <f t="shared" si="0"/>
        <v>0</v>
      </c>
      <c r="R8" s="302">
        <f t="shared" si="0"/>
        <v>-8.5829000000000004</v>
      </c>
      <c r="S8" s="303">
        <f>SUM(S5:S7)</f>
        <v>754.88669999999991</v>
      </c>
      <c r="Z8" s="103"/>
      <c r="AA8" s="151"/>
      <c r="AB8" s="151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3"/>
    </row>
    <row r="9" spans="1:42">
      <c r="B9" s="103"/>
      <c r="C9" s="242" t="s">
        <v>69</v>
      </c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5"/>
      <c r="Z9" s="103"/>
      <c r="AA9" s="13" t="s">
        <v>69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>
      <c r="B10" s="97" t="s">
        <v>70</v>
      </c>
      <c r="C10" s="108" t="s">
        <v>71</v>
      </c>
      <c r="D10" s="306">
        <v>0</v>
      </c>
      <c r="E10" s="307">
        <v>-18.045000000000002</v>
      </c>
      <c r="F10" s="306">
        <v>0</v>
      </c>
      <c r="G10" s="306">
        <v>0</v>
      </c>
      <c r="H10" s="306">
        <v>0</v>
      </c>
      <c r="I10" s="306">
        <v>0</v>
      </c>
      <c r="J10" s="306">
        <v>0</v>
      </c>
      <c r="K10" s="306">
        <v>0</v>
      </c>
      <c r="L10" s="306">
        <v>0</v>
      </c>
      <c r="M10" s="306">
        <v>0</v>
      </c>
      <c r="N10" s="306">
        <v>0</v>
      </c>
      <c r="O10" s="307">
        <v>0</v>
      </c>
      <c r="P10" s="306">
        <v>0</v>
      </c>
      <c r="Q10" s="306">
        <v>0</v>
      </c>
      <c r="R10" s="306">
        <v>-9.0429999999999993</v>
      </c>
      <c r="S10" s="308">
        <f>SUM(D10:R10)</f>
        <v>-27.088000000000001</v>
      </c>
      <c r="Z10" s="97" t="s">
        <v>70</v>
      </c>
      <c r="AA10" s="108" t="s">
        <v>71</v>
      </c>
      <c r="AB10" s="154">
        <v>1</v>
      </c>
      <c r="AC10" s="155">
        <v>0</v>
      </c>
      <c r="AD10" s="155">
        <v>0.3</v>
      </c>
      <c r="AE10" s="155">
        <v>0.3</v>
      </c>
      <c r="AF10" s="155">
        <v>0.3</v>
      </c>
      <c r="AG10" s="155">
        <v>0.3</v>
      </c>
      <c r="AH10" s="155">
        <v>0.3</v>
      </c>
      <c r="AI10" s="155">
        <v>0.3</v>
      </c>
      <c r="AJ10" s="155">
        <v>0.3</v>
      </c>
      <c r="AK10" s="155">
        <v>0.3</v>
      </c>
      <c r="AL10" s="155">
        <v>0</v>
      </c>
      <c r="AM10" s="155">
        <v>1</v>
      </c>
      <c r="AN10" s="155">
        <v>0.5</v>
      </c>
      <c r="AO10" s="155">
        <v>0.5</v>
      </c>
      <c r="AP10" s="156"/>
    </row>
    <row r="11" spans="1:42" ht="14.4">
      <c r="B11" s="97" t="s">
        <v>54</v>
      </c>
      <c r="C11" s="111" t="s">
        <v>72</v>
      </c>
      <c r="D11" s="299">
        <v>0</v>
      </c>
      <c r="E11" s="300">
        <v>-114.2996</v>
      </c>
      <c r="F11" s="299">
        <v>0</v>
      </c>
      <c r="G11" s="300">
        <v>-0.79549999999999998</v>
      </c>
      <c r="H11" s="299">
        <v>0</v>
      </c>
      <c r="I11" s="299">
        <v>0</v>
      </c>
      <c r="J11" s="299">
        <v>0</v>
      </c>
      <c r="K11" s="299">
        <v>0</v>
      </c>
      <c r="L11" s="299">
        <v>0</v>
      </c>
      <c r="M11" s="299">
        <v>0</v>
      </c>
      <c r="N11" s="299">
        <v>0</v>
      </c>
      <c r="O11" s="300">
        <v>-43.71</v>
      </c>
      <c r="P11" s="306">
        <v>0</v>
      </c>
      <c r="Q11" s="306">
        <v>0</v>
      </c>
      <c r="R11" s="300">
        <v>72.934100000000001</v>
      </c>
      <c r="S11" s="297">
        <f>SUM(D11:R11)</f>
        <v>-85.871000000000009</v>
      </c>
      <c r="Z11" s="97" t="s">
        <v>54</v>
      </c>
      <c r="AA11" s="111" t="s">
        <v>72</v>
      </c>
      <c r="AB11" s="146">
        <v>1</v>
      </c>
      <c r="AC11" s="147">
        <v>0</v>
      </c>
      <c r="AD11" s="147">
        <v>0.3</v>
      </c>
      <c r="AE11" s="147">
        <v>0.3</v>
      </c>
      <c r="AF11" s="147">
        <v>0.3</v>
      </c>
      <c r="AG11" s="147">
        <v>0.3</v>
      </c>
      <c r="AH11" s="147">
        <v>0.3</v>
      </c>
      <c r="AI11" s="147">
        <v>0.3</v>
      </c>
      <c r="AJ11" s="147">
        <v>0.3</v>
      </c>
      <c r="AK11" s="147">
        <v>0.3</v>
      </c>
      <c r="AL11" s="147">
        <v>0</v>
      </c>
      <c r="AM11" s="147">
        <v>1</v>
      </c>
      <c r="AN11" s="157">
        <v>0.5</v>
      </c>
      <c r="AO11" s="157">
        <v>0.5</v>
      </c>
      <c r="AP11" s="158">
        <v>0.5</v>
      </c>
    </row>
    <row r="12" spans="1:42">
      <c r="B12" s="97" t="s">
        <v>73</v>
      </c>
      <c r="C12" s="111" t="s">
        <v>74</v>
      </c>
      <c r="D12" s="306">
        <v>0</v>
      </c>
      <c r="E12" s="306">
        <v>0</v>
      </c>
      <c r="F12" s="306">
        <v>0</v>
      </c>
      <c r="G12" s="306">
        <v>0</v>
      </c>
      <c r="H12" s="306">
        <v>0</v>
      </c>
      <c r="I12" s="306">
        <v>0</v>
      </c>
      <c r="J12" s="306">
        <v>0</v>
      </c>
      <c r="K12" s="306">
        <v>0</v>
      </c>
      <c r="L12" s="306">
        <v>0</v>
      </c>
      <c r="M12" s="306">
        <v>0</v>
      </c>
      <c r="N12" s="306">
        <v>0</v>
      </c>
      <c r="O12" s="307">
        <v>-5.9029999999999996</v>
      </c>
      <c r="P12" s="306">
        <v>0</v>
      </c>
      <c r="Q12" s="306">
        <v>0</v>
      </c>
      <c r="R12" s="306">
        <v>0</v>
      </c>
      <c r="S12" s="308">
        <f>SUM(D12:R12)</f>
        <v>-5.9029999999999996</v>
      </c>
      <c r="Z12" s="97" t="s">
        <v>73</v>
      </c>
      <c r="AA12" s="111" t="s">
        <v>74</v>
      </c>
      <c r="AB12" s="159">
        <v>1</v>
      </c>
      <c r="AC12" s="157">
        <v>0</v>
      </c>
      <c r="AD12" s="157">
        <v>0.3</v>
      </c>
      <c r="AE12" s="157">
        <v>0.3</v>
      </c>
      <c r="AF12" s="157">
        <v>0.3</v>
      </c>
      <c r="AG12" s="157">
        <v>0.3</v>
      </c>
      <c r="AH12" s="157">
        <v>0.3</v>
      </c>
      <c r="AI12" s="157">
        <v>0.3</v>
      </c>
      <c r="AJ12" s="157">
        <v>0.3</v>
      </c>
      <c r="AK12" s="157">
        <v>0.3</v>
      </c>
      <c r="AL12" s="157">
        <v>0</v>
      </c>
      <c r="AM12" s="157">
        <v>1</v>
      </c>
      <c r="AN12" s="157">
        <v>0.5</v>
      </c>
      <c r="AO12" s="157">
        <v>0.5</v>
      </c>
      <c r="AP12" s="158"/>
    </row>
    <row r="13" spans="1:42">
      <c r="B13" s="97" t="s">
        <v>75</v>
      </c>
      <c r="C13" s="111" t="s">
        <v>76</v>
      </c>
      <c r="D13" s="309">
        <v>0</v>
      </c>
      <c r="E13" s="306">
        <v>0</v>
      </c>
      <c r="F13" s="307">
        <v>-17.542999999999999</v>
      </c>
      <c r="G13" s="307">
        <v>6.4894999999999996</v>
      </c>
      <c r="H13" s="306">
        <v>0</v>
      </c>
      <c r="I13" s="307">
        <v>0.20930000000000001</v>
      </c>
      <c r="J13" s="307">
        <v>6.4058000000000002</v>
      </c>
      <c r="K13" s="306">
        <v>0</v>
      </c>
      <c r="L13" s="307">
        <v>3.14</v>
      </c>
      <c r="M13" s="307">
        <v>0.58620000000000005</v>
      </c>
      <c r="N13" s="306">
        <v>0</v>
      </c>
      <c r="O13" s="310"/>
      <c r="P13" s="306">
        <v>0</v>
      </c>
      <c r="Q13" s="306">
        <v>0</v>
      </c>
      <c r="R13" s="306">
        <v>0</v>
      </c>
      <c r="S13" s="308">
        <f>SUM(D13:R13)</f>
        <v>-0.71219999999999861</v>
      </c>
      <c r="Z13" s="97" t="s">
        <v>75</v>
      </c>
      <c r="AA13" s="111" t="s">
        <v>76</v>
      </c>
      <c r="AB13" s="160">
        <v>1</v>
      </c>
      <c r="AC13" s="161">
        <v>0</v>
      </c>
      <c r="AD13" s="161">
        <v>0.3</v>
      </c>
      <c r="AE13" s="161">
        <v>0.3</v>
      </c>
      <c r="AF13" s="161">
        <v>0.3</v>
      </c>
      <c r="AG13" s="161">
        <v>0.3</v>
      </c>
      <c r="AH13" s="161">
        <v>0.3</v>
      </c>
      <c r="AI13" s="161">
        <v>0.3</v>
      </c>
      <c r="AJ13" s="161">
        <v>0.3</v>
      </c>
      <c r="AK13" s="161">
        <v>0.3</v>
      </c>
      <c r="AL13" s="161">
        <v>0</v>
      </c>
      <c r="AM13" s="161">
        <v>1</v>
      </c>
      <c r="AN13" s="161">
        <v>0.5</v>
      </c>
      <c r="AO13" s="161">
        <v>0.5</v>
      </c>
      <c r="AP13" s="162"/>
    </row>
    <row r="14" spans="1:42" ht="14.4">
      <c r="B14" s="103"/>
      <c r="C14" s="104" t="s">
        <v>77</v>
      </c>
      <c r="D14" s="113">
        <f>SUM(D10:D13)</f>
        <v>0</v>
      </c>
      <c r="E14" s="302">
        <f t="shared" ref="E14:R14" si="1">SUM(E10:E13)</f>
        <v>-132.34460000000001</v>
      </c>
      <c r="F14" s="302">
        <f t="shared" si="1"/>
        <v>-17.542999999999999</v>
      </c>
      <c r="G14" s="302">
        <f t="shared" si="1"/>
        <v>5.694</v>
      </c>
      <c r="H14" s="106">
        <f t="shared" si="1"/>
        <v>0</v>
      </c>
      <c r="I14" s="302">
        <f t="shared" si="1"/>
        <v>0.20930000000000001</v>
      </c>
      <c r="J14" s="302">
        <f t="shared" si="1"/>
        <v>6.4058000000000002</v>
      </c>
      <c r="K14" s="106">
        <f t="shared" si="1"/>
        <v>0</v>
      </c>
      <c r="L14" s="302">
        <f t="shared" si="1"/>
        <v>3.14</v>
      </c>
      <c r="M14" s="302">
        <f t="shared" si="1"/>
        <v>0.58620000000000005</v>
      </c>
      <c r="N14" s="106">
        <f t="shared" si="1"/>
        <v>0</v>
      </c>
      <c r="O14" s="302">
        <f t="shared" si="1"/>
        <v>-49.613</v>
      </c>
      <c r="P14" s="106">
        <f t="shared" si="1"/>
        <v>0</v>
      </c>
      <c r="Q14" s="106">
        <f t="shared" si="1"/>
        <v>0</v>
      </c>
      <c r="R14" s="302">
        <f t="shared" si="1"/>
        <v>63.891100000000002</v>
      </c>
      <c r="S14" s="303">
        <f>SUM(S10:S13)</f>
        <v>-119.5742</v>
      </c>
      <c r="Z14" s="103"/>
      <c r="AA14" s="151"/>
      <c r="AB14" s="151"/>
      <c r="AC14" s="152"/>
      <c r="AD14" s="152"/>
      <c r="AE14" s="152"/>
      <c r="AF14" s="152"/>
      <c r="AG14" s="152"/>
      <c r="AH14" s="152"/>
      <c r="AI14" s="152"/>
      <c r="AJ14" s="152"/>
      <c r="AK14" s="152"/>
      <c r="AL14" s="163">
        <v>0</v>
      </c>
      <c r="AM14" s="152"/>
      <c r="AN14" s="152"/>
      <c r="AO14" s="152"/>
      <c r="AP14" s="153"/>
    </row>
    <row r="15" spans="1:42">
      <c r="B15" s="103"/>
      <c r="C15" s="242" t="s">
        <v>78</v>
      </c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5"/>
      <c r="Z15" s="103"/>
      <c r="AA15" s="13" t="s">
        <v>78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64">
        <v>0</v>
      </c>
      <c r="AM15" s="10"/>
      <c r="AN15" s="10"/>
      <c r="AO15" s="10"/>
      <c r="AP15" s="10"/>
    </row>
    <row r="16" spans="1:42" ht="14.4">
      <c r="A16" s="9"/>
      <c r="B16" s="97" t="s">
        <v>79</v>
      </c>
      <c r="C16" s="114" t="s">
        <v>80</v>
      </c>
      <c r="D16" s="311">
        <v>0</v>
      </c>
      <c r="E16" s="299">
        <v>0</v>
      </c>
      <c r="F16" s="311">
        <v>0</v>
      </c>
      <c r="G16" s="311">
        <v>0</v>
      </c>
      <c r="H16" s="311">
        <v>0</v>
      </c>
      <c r="I16" s="312">
        <v>1.4654</v>
      </c>
      <c r="J16" s="311">
        <v>0</v>
      </c>
      <c r="K16" s="311">
        <v>0</v>
      </c>
      <c r="L16" s="311">
        <v>0</v>
      </c>
      <c r="M16" s="311">
        <v>0</v>
      </c>
      <c r="N16" s="311">
        <v>0</v>
      </c>
      <c r="O16" s="312">
        <v>153.279</v>
      </c>
      <c r="P16" s="311">
        <v>0</v>
      </c>
      <c r="Q16" s="311">
        <v>0</v>
      </c>
      <c r="R16" s="312">
        <v>27.2561</v>
      </c>
      <c r="S16" s="313">
        <f>SUM(D16:R16)</f>
        <v>182.00049999999999</v>
      </c>
      <c r="Z16" s="97" t="s">
        <v>79</v>
      </c>
      <c r="AA16" s="123" t="s">
        <v>80</v>
      </c>
      <c r="AB16" s="165">
        <v>1</v>
      </c>
      <c r="AC16" s="142">
        <v>0</v>
      </c>
      <c r="AD16" s="166">
        <v>0.3</v>
      </c>
      <c r="AE16" s="166">
        <v>0.3</v>
      </c>
      <c r="AF16" s="166">
        <v>0.3</v>
      </c>
      <c r="AG16" s="166">
        <v>0.3</v>
      </c>
      <c r="AH16" s="166">
        <v>0.3</v>
      </c>
      <c r="AI16" s="166">
        <v>0.3</v>
      </c>
      <c r="AJ16" s="166">
        <v>0.3</v>
      </c>
      <c r="AK16" s="166">
        <v>0.3</v>
      </c>
      <c r="AL16" s="166">
        <v>0</v>
      </c>
      <c r="AM16" s="166">
        <v>1</v>
      </c>
      <c r="AN16" s="166">
        <v>0.5</v>
      </c>
      <c r="AO16" s="166">
        <v>0.5</v>
      </c>
      <c r="AP16" s="167">
        <v>0.5</v>
      </c>
    </row>
    <row r="17" spans="1:42">
      <c r="A17" s="9"/>
      <c r="B17" s="97" t="s">
        <v>81</v>
      </c>
      <c r="C17" s="115" t="s">
        <v>82</v>
      </c>
      <c r="D17" s="311">
        <v>0</v>
      </c>
      <c r="E17" s="311">
        <v>0</v>
      </c>
      <c r="F17" s="311">
        <v>0</v>
      </c>
      <c r="G17" s="311">
        <v>0</v>
      </c>
      <c r="H17" s="311">
        <v>0</v>
      </c>
      <c r="I17" s="312">
        <v>0.58620000000000005</v>
      </c>
      <c r="J17" s="311">
        <v>0</v>
      </c>
      <c r="K17" s="311">
        <v>0</v>
      </c>
      <c r="L17" s="312">
        <v>0.83740000000000003</v>
      </c>
      <c r="M17" s="311">
        <v>0</v>
      </c>
      <c r="N17" s="311">
        <v>0</v>
      </c>
      <c r="O17" s="312">
        <v>110.238</v>
      </c>
      <c r="P17" s="311">
        <v>0</v>
      </c>
      <c r="Q17" s="311">
        <v>0</v>
      </c>
      <c r="R17" s="312">
        <v>10.8857</v>
      </c>
      <c r="S17" s="313">
        <f t="shared" ref="S17:S23" si="2">SUM(D17:R17)</f>
        <v>122.54729999999999</v>
      </c>
      <c r="Z17" s="97" t="s">
        <v>81</v>
      </c>
      <c r="AA17" s="126" t="s">
        <v>82</v>
      </c>
      <c r="AB17" s="168">
        <v>1</v>
      </c>
      <c r="AC17" s="169">
        <v>0</v>
      </c>
      <c r="AD17" s="169">
        <v>0.3</v>
      </c>
      <c r="AE17" s="169">
        <v>0.3</v>
      </c>
      <c r="AF17" s="169">
        <v>0.3</v>
      </c>
      <c r="AG17" s="169">
        <v>0.3</v>
      </c>
      <c r="AH17" s="169">
        <v>0.3</v>
      </c>
      <c r="AI17" s="169">
        <v>0.3</v>
      </c>
      <c r="AJ17" s="169">
        <v>0.3</v>
      </c>
      <c r="AK17" s="169">
        <v>0.3</v>
      </c>
      <c r="AL17" s="169">
        <v>0</v>
      </c>
      <c r="AM17" s="169">
        <v>1</v>
      </c>
      <c r="AN17" s="169">
        <v>0.5</v>
      </c>
      <c r="AO17" s="169">
        <v>0.5</v>
      </c>
      <c r="AP17" s="170">
        <v>0.5</v>
      </c>
    </row>
    <row r="18" spans="1:42">
      <c r="A18" s="9"/>
      <c r="B18" s="97" t="s">
        <v>83</v>
      </c>
      <c r="C18" s="115" t="s">
        <v>84</v>
      </c>
      <c r="D18" s="312">
        <v>17.040299999999998</v>
      </c>
      <c r="E18" s="312">
        <v>11.095000000000001</v>
      </c>
      <c r="F18" s="311">
        <v>0</v>
      </c>
      <c r="G18" s="312">
        <v>73.436499999999995</v>
      </c>
      <c r="H18" s="311">
        <v>0</v>
      </c>
      <c r="I18" s="311">
        <v>0</v>
      </c>
      <c r="J18" s="311">
        <v>0</v>
      </c>
      <c r="K18" s="311">
        <v>0</v>
      </c>
      <c r="L18" s="312">
        <v>2.5121000000000002</v>
      </c>
      <c r="M18" s="312">
        <v>9.3366000000000007</v>
      </c>
      <c r="N18" s="311">
        <v>0</v>
      </c>
      <c r="O18" s="312">
        <v>110.238</v>
      </c>
      <c r="P18" s="311">
        <v>0</v>
      </c>
      <c r="Q18" s="311">
        <v>0</v>
      </c>
      <c r="R18" s="312">
        <v>16.747199999999999</v>
      </c>
      <c r="S18" s="313">
        <f t="shared" si="2"/>
        <v>240.4057</v>
      </c>
      <c r="Z18" s="97" t="s">
        <v>83</v>
      </c>
      <c r="AA18" s="126" t="s">
        <v>84</v>
      </c>
      <c r="AB18" s="168">
        <v>1</v>
      </c>
      <c r="AC18" s="169">
        <v>0</v>
      </c>
      <c r="AD18" s="169">
        <v>0.3</v>
      </c>
      <c r="AE18" s="169">
        <v>0.3</v>
      </c>
      <c r="AF18" s="169">
        <v>0.3</v>
      </c>
      <c r="AG18" s="169">
        <v>0.3</v>
      </c>
      <c r="AH18" s="169">
        <v>0.3</v>
      </c>
      <c r="AI18" s="169">
        <v>0.3</v>
      </c>
      <c r="AJ18" s="169">
        <v>0.3</v>
      </c>
      <c r="AK18" s="169">
        <v>0.3</v>
      </c>
      <c r="AL18" s="169">
        <v>0</v>
      </c>
      <c r="AM18" s="169">
        <v>1</v>
      </c>
      <c r="AN18" s="169">
        <v>0.5</v>
      </c>
      <c r="AO18" s="169">
        <v>0.5</v>
      </c>
      <c r="AP18" s="170">
        <v>0.5</v>
      </c>
    </row>
    <row r="19" spans="1:42">
      <c r="A19" s="9"/>
      <c r="B19" s="97" t="s">
        <v>85</v>
      </c>
      <c r="C19" s="115" t="s">
        <v>86</v>
      </c>
      <c r="D19" s="311">
        <v>0</v>
      </c>
      <c r="E19" s="311">
        <v>0</v>
      </c>
      <c r="F19" s="311">
        <v>0</v>
      </c>
      <c r="G19" s="311">
        <v>0</v>
      </c>
      <c r="H19" s="311">
        <v>0</v>
      </c>
      <c r="I19" s="311">
        <v>0</v>
      </c>
      <c r="J19" s="311">
        <v>0</v>
      </c>
      <c r="K19" s="311">
        <v>0</v>
      </c>
      <c r="L19" s="311">
        <v>0</v>
      </c>
      <c r="M19" s="311">
        <v>0</v>
      </c>
      <c r="N19" s="311">
        <v>0</v>
      </c>
      <c r="O19" s="311">
        <v>0</v>
      </c>
      <c r="P19" s="311">
        <v>0</v>
      </c>
      <c r="Q19" s="311">
        <v>0</v>
      </c>
      <c r="R19" s="314">
        <v>0</v>
      </c>
      <c r="S19" s="313">
        <f t="shared" si="2"/>
        <v>0</v>
      </c>
      <c r="Z19" s="97" t="s">
        <v>85</v>
      </c>
      <c r="AA19" s="126" t="s">
        <v>86</v>
      </c>
      <c r="AB19" s="168">
        <v>1</v>
      </c>
      <c r="AC19" s="169">
        <v>0</v>
      </c>
      <c r="AD19" s="169">
        <v>0.3</v>
      </c>
      <c r="AE19" s="169">
        <v>0.3</v>
      </c>
      <c r="AF19" s="169">
        <v>0.3</v>
      </c>
      <c r="AG19" s="169">
        <v>0.3</v>
      </c>
      <c r="AH19" s="169">
        <v>0.3</v>
      </c>
      <c r="AI19" s="169">
        <v>0.3</v>
      </c>
      <c r="AJ19" s="169">
        <v>0.3</v>
      </c>
      <c r="AK19" s="169">
        <v>0.3</v>
      </c>
      <c r="AL19" s="169">
        <v>0</v>
      </c>
      <c r="AM19" s="169">
        <v>1</v>
      </c>
      <c r="AN19" s="169">
        <v>0.5</v>
      </c>
      <c r="AO19" s="169">
        <v>0.5</v>
      </c>
      <c r="AP19" s="170">
        <v>0.5</v>
      </c>
    </row>
    <row r="20" spans="1:42" ht="14.4">
      <c r="A20" s="9"/>
      <c r="B20" s="97" t="s">
        <v>87</v>
      </c>
      <c r="C20" s="115" t="s">
        <v>88</v>
      </c>
      <c r="D20" s="311">
        <v>0</v>
      </c>
      <c r="E20" s="312">
        <v>6.8663999999999996</v>
      </c>
      <c r="F20" s="311">
        <v>0</v>
      </c>
      <c r="G20" s="300">
        <v>17.961400000000001</v>
      </c>
      <c r="H20" s="299">
        <v>0</v>
      </c>
      <c r="I20" s="299">
        <v>0</v>
      </c>
      <c r="J20" s="300">
        <v>55.726300000000002</v>
      </c>
      <c r="K20" s="299">
        <v>0</v>
      </c>
      <c r="L20" s="299">
        <v>0</v>
      </c>
      <c r="M20" s="300">
        <v>7.4105999999999996</v>
      </c>
      <c r="N20" s="311">
        <v>0</v>
      </c>
      <c r="O20" s="311">
        <v>0</v>
      </c>
      <c r="P20" s="311">
        <v>0</v>
      </c>
      <c r="Q20" s="311">
        <v>0</v>
      </c>
      <c r="R20" s="314">
        <v>0</v>
      </c>
      <c r="S20" s="313">
        <f t="shared" si="2"/>
        <v>87.964700000000008</v>
      </c>
      <c r="Z20" s="97" t="s">
        <v>87</v>
      </c>
      <c r="AA20" s="126" t="s">
        <v>88</v>
      </c>
      <c r="AB20" s="168">
        <v>1</v>
      </c>
      <c r="AC20" s="169">
        <v>0</v>
      </c>
      <c r="AD20" s="147">
        <v>0.3</v>
      </c>
      <c r="AE20" s="147">
        <v>0.3</v>
      </c>
      <c r="AF20" s="147">
        <v>0.3</v>
      </c>
      <c r="AG20" s="147">
        <v>0.3</v>
      </c>
      <c r="AH20" s="147">
        <v>0.3</v>
      </c>
      <c r="AI20" s="147">
        <v>0.3</v>
      </c>
      <c r="AJ20" s="147">
        <v>0.3</v>
      </c>
      <c r="AK20" s="147">
        <v>0.3</v>
      </c>
      <c r="AL20" s="169">
        <v>0</v>
      </c>
      <c r="AM20" s="169">
        <v>1</v>
      </c>
      <c r="AN20" s="169">
        <v>0.5</v>
      </c>
      <c r="AO20" s="169">
        <v>0.5</v>
      </c>
      <c r="AP20" s="170">
        <v>0.5</v>
      </c>
    </row>
    <row r="21" spans="1:42">
      <c r="A21" s="9"/>
      <c r="B21" s="97" t="s">
        <v>89</v>
      </c>
      <c r="C21" s="116" t="s">
        <v>90</v>
      </c>
      <c r="D21" s="315">
        <v>0</v>
      </c>
      <c r="E21" s="316">
        <v>14.968999999999999</v>
      </c>
      <c r="F21" s="315">
        <v>0</v>
      </c>
      <c r="G21" s="315">
        <v>0</v>
      </c>
      <c r="H21" s="315">
        <v>0</v>
      </c>
      <c r="I21" s="315">
        <v>0</v>
      </c>
      <c r="J21" s="315">
        <v>0</v>
      </c>
      <c r="K21" s="324">
        <f t="shared" ref="K21" si="3">IF((SUM(K16:K20,K22:K23)-SUM(K10:K12))&gt;K8,0,(K8-SUM(K16:K20,K22:K23)+SUM(K10:K12)))</f>
        <v>0.16750000000000001</v>
      </c>
      <c r="L21" s="315">
        <v>0</v>
      </c>
      <c r="M21" s="325">
        <f>IF((SUM(M16:M20,M22:M23)-SUM(M10:M12))&gt;M8,0,(M8-SUM(M16:M20,M22:M23)+SUM(M10:M12)))</f>
        <v>0</v>
      </c>
      <c r="N21" s="315">
        <v>0</v>
      </c>
      <c r="O21" s="324">
        <v>4.2999999999999997E-2</v>
      </c>
      <c r="P21" s="315">
        <v>0</v>
      </c>
      <c r="Q21" s="315">
        <v>0</v>
      </c>
      <c r="R21" s="316">
        <v>0.41870000000000002</v>
      </c>
      <c r="S21" s="326">
        <f>SUM(D21:R21)</f>
        <v>15.598199999999999</v>
      </c>
      <c r="Z21" s="97" t="s">
        <v>89</v>
      </c>
      <c r="AA21" s="129" t="s">
        <v>90</v>
      </c>
      <c r="AB21" s="171">
        <v>1</v>
      </c>
      <c r="AC21" s="172">
        <v>0</v>
      </c>
      <c r="AD21" s="172">
        <v>0.3</v>
      </c>
      <c r="AE21" s="172">
        <v>0.3</v>
      </c>
      <c r="AF21" s="172">
        <v>0.3</v>
      </c>
      <c r="AG21" s="172">
        <v>0.3</v>
      </c>
      <c r="AH21" s="172">
        <v>0.3</v>
      </c>
      <c r="AI21" s="172">
        <v>0.3</v>
      </c>
      <c r="AJ21" s="172">
        <v>0.3</v>
      </c>
      <c r="AK21" s="172">
        <v>0.3</v>
      </c>
      <c r="AL21" s="172">
        <v>0</v>
      </c>
      <c r="AM21" s="172">
        <v>1</v>
      </c>
      <c r="AN21" s="172">
        <v>0.5</v>
      </c>
      <c r="AO21" s="172">
        <v>0.5</v>
      </c>
      <c r="AP21" s="173">
        <v>0.5</v>
      </c>
    </row>
    <row r="22" spans="1:42">
      <c r="A22" s="9"/>
      <c r="B22" s="97" t="s">
        <v>110</v>
      </c>
      <c r="C22" s="115" t="s">
        <v>91</v>
      </c>
      <c r="D22" s="311">
        <v>0</v>
      </c>
      <c r="E22" s="312">
        <v>4.3960999999999997</v>
      </c>
      <c r="F22" s="311">
        <v>0</v>
      </c>
      <c r="G22" s="311">
        <v>0</v>
      </c>
      <c r="H22" s="311">
        <v>0</v>
      </c>
      <c r="I22" s="311">
        <v>0</v>
      </c>
      <c r="J22" s="311">
        <v>0</v>
      </c>
      <c r="K22" s="311">
        <v>0</v>
      </c>
      <c r="L22" s="311">
        <v>0</v>
      </c>
      <c r="M22" s="312">
        <v>17.751999999999999</v>
      </c>
      <c r="N22" s="311">
        <v>0</v>
      </c>
      <c r="O22" s="311">
        <v>0</v>
      </c>
      <c r="P22" s="311">
        <v>0</v>
      </c>
      <c r="Q22" s="311">
        <v>0</v>
      </c>
      <c r="R22" s="311">
        <v>0</v>
      </c>
      <c r="S22" s="313">
        <f t="shared" si="2"/>
        <v>22.148099999999999</v>
      </c>
      <c r="Z22" s="97" t="s">
        <v>110</v>
      </c>
      <c r="AA22" s="126" t="s">
        <v>91</v>
      </c>
      <c r="AB22" s="168">
        <v>1</v>
      </c>
      <c r="AC22" s="169">
        <v>0</v>
      </c>
      <c r="AD22" s="169">
        <v>0.3</v>
      </c>
      <c r="AE22" s="169">
        <v>0.3</v>
      </c>
      <c r="AF22" s="169">
        <v>0.3</v>
      </c>
      <c r="AG22" s="169">
        <v>0.3</v>
      </c>
      <c r="AH22" s="169">
        <v>0.3</v>
      </c>
      <c r="AI22" s="169">
        <v>0.3</v>
      </c>
      <c r="AJ22" s="169">
        <v>0.3</v>
      </c>
      <c r="AK22" s="169">
        <v>0.3</v>
      </c>
      <c r="AL22" s="169">
        <v>0</v>
      </c>
      <c r="AM22" s="169">
        <v>1</v>
      </c>
      <c r="AN22" s="169">
        <v>0.5</v>
      </c>
      <c r="AO22" s="169">
        <v>0.5</v>
      </c>
      <c r="AP22" s="170">
        <v>0.5</v>
      </c>
    </row>
    <row r="23" spans="1:42">
      <c r="A23" s="9"/>
      <c r="B23" s="97" t="s">
        <v>111</v>
      </c>
      <c r="C23" s="115" t="s">
        <v>92</v>
      </c>
      <c r="D23" s="311">
        <v>0</v>
      </c>
      <c r="E23" s="311">
        <v>0</v>
      </c>
      <c r="F23" s="311">
        <v>0</v>
      </c>
      <c r="G23" s="312">
        <v>-4.19E-2</v>
      </c>
      <c r="H23" s="311">
        <v>0</v>
      </c>
      <c r="I23" s="311">
        <v>0</v>
      </c>
      <c r="J23" s="311">
        <v>0</v>
      </c>
      <c r="K23" s="311">
        <v>0</v>
      </c>
      <c r="L23" s="311">
        <v>0</v>
      </c>
      <c r="M23" s="311">
        <v>0</v>
      </c>
      <c r="N23" s="311">
        <v>0</v>
      </c>
      <c r="O23" s="311">
        <v>0</v>
      </c>
      <c r="P23" s="311">
        <v>0</v>
      </c>
      <c r="Q23" s="311">
        <v>0</v>
      </c>
      <c r="R23" s="311">
        <v>0</v>
      </c>
      <c r="S23" s="313">
        <f t="shared" si="2"/>
        <v>-4.19E-2</v>
      </c>
      <c r="Z23" s="97" t="s">
        <v>111</v>
      </c>
      <c r="AA23" s="126" t="s">
        <v>92</v>
      </c>
      <c r="AB23" s="168">
        <v>1</v>
      </c>
      <c r="AC23" s="169">
        <v>0</v>
      </c>
      <c r="AD23" s="169">
        <v>0.3</v>
      </c>
      <c r="AE23" s="169">
        <v>0.3</v>
      </c>
      <c r="AF23" s="169">
        <v>0.3</v>
      </c>
      <c r="AG23" s="169">
        <v>0.3</v>
      </c>
      <c r="AH23" s="169">
        <v>0.3</v>
      </c>
      <c r="AI23" s="169">
        <v>0.3</v>
      </c>
      <c r="AJ23" s="169">
        <v>0.3</v>
      </c>
      <c r="AK23" s="169">
        <v>0.3</v>
      </c>
      <c r="AL23" s="169">
        <v>0</v>
      </c>
      <c r="AM23" s="169">
        <v>1</v>
      </c>
      <c r="AN23" s="169">
        <v>0.5</v>
      </c>
      <c r="AO23" s="169">
        <v>0.5</v>
      </c>
      <c r="AP23" s="170">
        <v>0.5</v>
      </c>
    </row>
    <row r="24" spans="1:42" ht="14.4">
      <c r="A24" s="9"/>
      <c r="B24" s="229" t="s">
        <v>113</v>
      </c>
      <c r="C24" s="104" t="s">
        <v>246</v>
      </c>
      <c r="D24" s="317">
        <f t="shared" ref="D24:S24" si="4">SUM(D16:D23)</f>
        <v>17.040299999999998</v>
      </c>
      <c r="E24" s="318">
        <f t="shared" si="4"/>
        <v>37.326499999999996</v>
      </c>
      <c r="F24" s="119">
        <f t="shared" si="4"/>
        <v>0</v>
      </c>
      <c r="G24" s="318">
        <f t="shared" si="4"/>
        <v>91.355999999999995</v>
      </c>
      <c r="H24" s="119">
        <f t="shared" si="4"/>
        <v>0</v>
      </c>
      <c r="I24" s="318">
        <f t="shared" si="4"/>
        <v>2.0516000000000001</v>
      </c>
      <c r="J24" s="318">
        <f t="shared" si="4"/>
        <v>55.726300000000002</v>
      </c>
      <c r="K24" s="318">
        <f t="shared" si="4"/>
        <v>0.16750000000000001</v>
      </c>
      <c r="L24" s="318">
        <f t="shared" si="4"/>
        <v>3.3495000000000004</v>
      </c>
      <c r="M24" s="318">
        <f t="shared" si="4"/>
        <v>34.499200000000002</v>
      </c>
      <c r="N24" s="119">
        <f t="shared" si="4"/>
        <v>0</v>
      </c>
      <c r="O24" s="318">
        <f t="shared" si="4"/>
        <v>373.798</v>
      </c>
      <c r="P24" s="119">
        <f t="shared" si="4"/>
        <v>0</v>
      </c>
      <c r="Q24" s="119">
        <f t="shared" si="4"/>
        <v>0</v>
      </c>
      <c r="R24" s="317">
        <f>SUM(R16:R23)</f>
        <v>55.307700000000004</v>
      </c>
      <c r="S24" s="319">
        <f t="shared" si="4"/>
        <v>670.62259999999992</v>
      </c>
      <c r="Z24" s="97" t="s">
        <v>113</v>
      </c>
      <c r="AA24" s="151"/>
      <c r="AB24" s="174">
        <v>1</v>
      </c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75">
        <v>0.5</v>
      </c>
    </row>
    <row r="25" spans="1:4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4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42" ht="14.4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4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4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4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4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4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21" ht="39.6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229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4.4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4.4">
      <c r="A49" s="9"/>
      <c r="B49" s="97" t="s">
        <v>87</v>
      </c>
      <c r="C49" s="116" t="s">
        <v>225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226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3" t="s">
        <v>146</v>
      </c>
      <c r="D52" s="134" t="s">
        <v>147</v>
      </c>
      <c r="E52" s="135" t="s">
        <v>148</v>
      </c>
      <c r="S52" s="11"/>
    </row>
    <row r="53" spans="1:21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>
      <c r="A54" s="9"/>
      <c r="B54" s="97" t="s">
        <v>79</v>
      </c>
      <c r="C54" s="137">
        <v>1</v>
      </c>
      <c r="D54" s="137"/>
      <c r="E54" s="137"/>
    </row>
    <row r="55" spans="1:21">
      <c r="A55" s="9"/>
      <c r="B55" s="97" t="s">
        <v>87</v>
      </c>
      <c r="C55" s="137">
        <v>1</v>
      </c>
      <c r="D55" s="137"/>
      <c r="E55" s="137"/>
    </row>
    <row r="56" spans="1:21">
      <c r="A56" s="9"/>
      <c r="B56" s="97" t="s">
        <v>89</v>
      </c>
      <c r="C56" s="137">
        <v>1</v>
      </c>
      <c r="D56" s="137"/>
      <c r="E56" s="137"/>
    </row>
    <row r="57" spans="1:21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36"/>
  <sheetViews>
    <sheetView topLeftCell="A4" zoomScale="80" zoomScaleNormal="80" workbookViewId="0">
      <selection activeCell="E24" sqref="E24:F31"/>
    </sheetView>
  </sheetViews>
  <sheetFormatPr defaultColWidth="8.88671875" defaultRowHeight="13.2"/>
  <cols>
    <col min="1" max="1" width="2" style="50" bestFit="1" customWidth="1"/>
    <col min="2" max="2" width="13.33203125" style="50" bestFit="1" customWidth="1"/>
    <col min="3" max="3" width="11.88671875" style="50" bestFit="1" customWidth="1"/>
    <col min="4" max="4" width="27.44140625" style="50" bestFit="1" customWidth="1"/>
    <col min="5" max="5" width="7.5546875" style="50" bestFit="1" customWidth="1"/>
    <col min="6" max="6" width="8.33203125" style="50" customWidth="1"/>
    <col min="7" max="7" width="13.109375" style="50" bestFit="1" customWidth="1"/>
    <col min="8" max="8" width="8.44140625" style="50" bestFit="1" customWidth="1"/>
    <col min="9" max="9" width="13.6640625" style="50" customWidth="1"/>
    <col min="10" max="10" width="2" style="50" bestFit="1" customWidth="1"/>
    <col min="11" max="11" width="11.88671875" style="50" bestFit="1" customWidth="1"/>
    <col min="12" max="12" width="7.109375" style="50" customWidth="1"/>
    <col min="13" max="13" width="11.44140625" style="50" bestFit="1" customWidth="1"/>
    <col min="14" max="14" width="37.44140625" style="50" bestFit="1" customWidth="1"/>
    <col min="15" max="15" width="5.6640625" style="50" customWidth="1"/>
    <col min="16" max="16" width="11" style="50" customWidth="1"/>
    <col min="17" max="17" width="13.109375" style="50" customWidth="1"/>
    <col min="18" max="18" width="13.5546875" style="50" customWidth="1"/>
    <col min="19" max="19" width="7.5546875" style="50" bestFit="1" customWidth="1"/>
    <col min="20" max="16384" width="8.88671875" style="50"/>
  </cols>
  <sheetData>
    <row r="1" spans="2:25" ht="28.8">
      <c r="B1" s="45" t="s">
        <v>94</v>
      </c>
      <c r="C1" s="45" t="s">
        <v>95</v>
      </c>
      <c r="D1" s="45" t="s">
        <v>96</v>
      </c>
      <c r="E1" s="45" t="s">
        <v>98</v>
      </c>
      <c r="F1" s="55"/>
      <c r="G1" s="45" t="s">
        <v>99</v>
      </c>
    </row>
    <row r="2" spans="2:25" ht="15.6">
      <c r="B2" s="20" t="s">
        <v>207</v>
      </c>
      <c r="C2" s="20" t="str">
        <f>EnergyBalance!G$2</f>
        <v>DSL</v>
      </c>
      <c r="D2" s="20" t="str">
        <f>EnergyBalance!G$3</f>
        <v>Diesel oil</v>
      </c>
      <c r="E2" s="20" t="str">
        <f>EnergyBalance!$W$2</f>
        <v>PJ</v>
      </c>
      <c r="G2" s="20" t="str">
        <f>EnergyBalance!V2</f>
        <v>M€2016</v>
      </c>
      <c r="K2" s="279" t="s">
        <v>14</v>
      </c>
      <c r="L2" s="279"/>
      <c r="M2" s="280"/>
      <c r="N2" s="280"/>
      <c r="O2" s="280"/>
      <c r="P2" s="280"/>
      <c r="Q2" s="280"/>
      <c r="R2" s="280"/>
      <c r="S2" s="280"/>
    </row>
    <row r="3" spans="2:25" ht="15.6">
      <c r="C3" s="20" t="str">
        <f>EnergyBalance!H$2</f>
        <v>KER</v>
      </c>
      <c r="D3" s="20" t="str">
        <f>EnergyBalance!H$3</f>
        <v>Kerosenes</v>
      </c>
      <c r="E3" s="20" t="str">
        <f>EnergyBalance!$W$2</f>
        <v>PJ</v>
      </c>
      <c r="K3" s="281" t="s">
        <v>7</v>
      </c>
      <c r="L3" s="282" t="s">
        <v>30</v>
      </c>
      <c r="M3" s="281" t="s">
        <v>0</v>
      </c>
      <c r="N3" s="281" t="s">
        <v>3</v>
      </c>
      <c r="O3" s="281" t="s">
        <v>4</v>
      </c>
      <c r="P3" s="281" t="s">
        <v>8</v>
      </c>
      <c r="Q3" s="281" t="s">
        <v>9</v>
      </c>
      <c r="R3" s="281" t="s">
        <v>10</v>
      </c>
      <c r="S3" s="281" t="s">
        <v>12</v>
      </c>
    </row>
    <row r="4" spans="2:25" ht="22.2" thickBot="1">
      <c r="C4" s="20" t="str">
        <f>EnergyBalance!I$2</f>
        <v>LPG</v>
      </c>
      <c r="D4" s="20" t="str">
        <f>EnergyBalance!I$3</f>
        <v>LPG</v>
      </c>
      <c r="E4" s="20" t="str">
        <f>EnergyBalance!$W$2</f>
        <v>PJ</v>
      </c>
      <c r="K4" s="273" t="s">
        <v>40</v>
      </c>
      <c r="L4" s="273" t="s">
        <v>31</v>
      </c>
      <c r="M4" s="273" t="s">
        <v>26</v>
      </c>
      <c r="N4" s="273" t="s">
        <v>27</v>
      </c>
      <c r="O4" s="273" t="s">
        <v>4</v>
      </c>
      <c r="P4" s="273" t="s">
        <v>43</v>
      </c>
      <c r="Q4" s="273" t="s">
        <v>44</v>
      </c>
      <c r="R4" s="273" t="s">
        <v>28</v>
      </c>
      <c r="S4" s="273" t="s">
        <v>29</v>
      </c>
      <c r="V4" s="52"/>
      <c r="W4" s="52"/>
    </row>
    <row r="5" spans="2:25" ht="15.6">
      <c r="C5" s="20" t="str">
        <f>EnergyBalance!J$2</f>
        <v>GSL</v>
      </c>
      <c r="D5" s="20" t="str">
        <f>EnergyBalance!J$3</f>
        <v>Motor spirit</v>
      </c>
      <c r="E5" s="20" t="str">
        <f>EnergyBalance!$W$2</f>
        <v>PJ</v>
      </c>
      <c r="K5" s="283" t="s">
        <v>93</v>
      </c>
      <c r="L5" s="284"/>
      <c r="M5" s="283" t="str">
        <f t="shared" ref="M5:N11" si="0">C2</f>
        <v>DSL</v>
      </c>
      <c r="N5" s="283" t="str">
        <f t="shared" si="0"/>
        <v>Diesel oil</v>
      </c>
      <c r="O5" s="283" t="str">
        <f>$E$2</f>
        <v>PJ</v>
      </c>
      <c r="P5" s="283"/>
      <c r="Q5" s="283"/>
      <c r="R5" s="283"/>
      <c r="S5" s="283"/>
      <c r="U5" s="52"/>
      <c r="V5" s="52"/>
      <c r="W5" s="52"/>
      <c r="X5" s="52"/>
      <c r="Y5" s="52"/>
    </row>
    <row r="6" spans="2:25" ht="15.6">
      <c r="C6" s="20" t="str">
        <f>EnergyBalance!K$2</f>
        <v>NAP</v>
      </c>
      <c r="D6" s="20" t="str">
        <f>EnergyBalance!K$3</f>
        <v>Naphtha</v>
      </c>
      <c r="E6" s="20" t="str">
        <f>EnergyBalance!$W$2</f>
        <v>PJ</v>
      </c>
      <c r="K6" s="283"/>
      <c r="L6" s="284"/>
      <c r="M6" s="283" t="str">
        <f t="shared" si="0"/>
        <v>KER</v>
      </c>
      <c r="N6" s="283" t="str">
        <f t="shared" si="0"/>
        <v>Kerosenes</v>
      </c>
      <c r="O6" s="283" t="str">
        <f t="shared" ref="O6:O11" si="1">$E$2</f>
        <v>PJ</v>
      </c>
      <c r="P6" s="283"/>
      <c r="Q6" s="283"/>
      <c r="R6" s="283"/>
      <c r="S6" s="283"/>
      <c r="U6" s="52"/>
      <c r="V6" s="52"/>
      <c r="W6" s="52"/>
      <c r="X6" s="52"/>
      <c r="Y6" s="52"/>
    </row>
    <row r="7" spans="2:25" ht="15.6">
      <c r="C7" s="20" t="str">
        <f>EnergyBalance!L$2</f>
        <v>HFO</v>
      </c>
      <c r="D7" s="20" t="str">
        <f>EnergyBalance!L$3</f>
        <v>Heavy Fuel Oil</v>
      </c>
      <c r="E7" s="20" t="str">
        <f>EnergyBalance!$W$2</f>
        <v>PJ</v>
      </c>
      <c r="K7" s="283"/>
      <c r="L7" s="284"/>
      <c r="M7" s="283" t="str">
        <f t="shared" si="0"/>
        <v>LPG</v>
      </c>
      <c r="N7" s="283" t="str">
        <f t="shared" si="0"/>
        <v>LPG</v>
      </c>
      <c r="O7" s="283" t="str">
        <f t="shared" si="1"/>
        <v>PJ</v>
      </c>
      <c r="P7" s="283"/>
      <c r="Q7" s="283"/>
      <c r="R7" s="283"/>
      <c r="S7" s="283"/>
      <c r="U7" s="52"/>
      <c r="V7" s="52"/>
      <c r="X7" s="52"/>
      <c r="Y7" s="52"/>
    </row>
    <row r="8" spans="2:25" ht="15.6">
      <c r="C8" s="20" t="str">
        <f>EnergyBalance!M$2</f>
        <v>OPP</v>
      </c>
      <c r="D8" s="20" t="str">
        <f>EnergyBalance!M$3</f>
        <v>Other Petroleum Products</v>
      </c>
      <c r="E8" s="20" t="str">
        <f>EnergyBalance!$W$2</f>
        <v>PJ</v>
      </c>
      <c r="K8" s="283"/>
      <c r="L8" s="284"/>
      <c r="M8" s="283" t="str">
        <f t="shared" si="0"/>
        <v>GSL</v>
      </c>
      <c r="N8" s="283" t="str">
        <f t="shared" si="0"/>
        <v>Motor spirit</v>
      </c>
      <c r="O8" s="283" t="str">
        <f t="shared" si="1"/>
        <v>PJ</v>
      </c>
      <c r="P8" s="283"/>
      <c r="Q8" s="283"/>
      <c r="R8" s="283"/>
      <c r="S8" s="283"/>
      <c r="U8" s="52"/>
      <c r="V8" s="52"/>
    </row>
    <row r="9" spans="2:25">
      <c r="K9" s="283"/>
      <c r="L9" s="284"/>
      <c r="M9" s="283" t="str">
        <f t="shared" si="0"/>
        <v>NAP</v>
      </c>
      <c r="N9" s="283" t="str">
        <f t="shared" si="0"/>
        <v>Naphtha</v>
      </c>
      <c r="O9" s="283" t="str">
        <f t="shared" si="1"/>
        <v>PJ</v>
      </c>
      <c r="P9" s="283"/>
      <c r="Q9" s="283"/>
      <c r="R9" s="283"/>
      <c r="S9" s="283"/>
      <c r="U9" s="52"/>
      <c r="V9" s="52"/>
    </row>
    <row r="10" spans="2:25" s="52" customFormat="1">
      <c r="B10" s="50"/>
      <c r="C10" s="50"/>
      <c r="D10" s="50"/>
      <c r="E10" s="50"/>
      <c r="F10" s="50"/>
      <c r="G10" s="50"/>
      <c r="H10" s="50"/>
      <c r="I10" s="50"/>
      <c r="K10" s="283"/>
      <c r="L10" s="284"/>
      <c r="M10" s="283" t="str">
        <f t="shared" si="0"/>
        <v>HFO</v>
      </c>
      <c r="N10" s="283" t="str">
        <f t="shared" si="0"/>
        <v>Heavy Fuel Oil</v>
      </c>
      <c r="O10" s="283" t="str">
        <f t="shared" si="1"/>
        <v>PJ</v>
      </c>
      <c r="P10" s="283"/>
      <c r="Q10" s="283"/>
      <c r="R10" s="283"/>
      <c r="S10" s="283"/>
      <c r="T10" s="50"/>
      <c r="X10" s="50"/>
      <c r="Y10" s="50"/>
    </row>
    <row r="11" spans="2:25" s="52" customFormat="1">
      <c r="K11" s="283"/>
      <c r="L11" s="284"/>
      <c r="M11" s="283" t="str">
        <f t="shared" si="0"/>
        <v>OPP</v>
      </c>
      <c r="N11" s="283" t="str">
        <f t="shared" si="0"/>
        <v>Other Petroleum Products</v>
      </c>
      <c r="O11" s="283" t="str">
        <f t="shared" si="1"/>
        <v>PJ</v>
      </c>
      <c r="P11" s="283"/>
      <c r="Q11" s="283"/>
      <c r="R11" s="283"/>
      <c r="S11" s="283"/>
      <c r="T11" s="50"/>
    </row>
    <row r="12" spans="2:25" s="52" customFormat="1"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2:25">
      <c r="F13" s="7" t="s">
        <v>13</v>
      </c>
      <c r="H13" s="7"/>
      <c r="K13" s="279" t="s">
        <v>15</v>
      </c>
      <c r="L13" s="279"/>
      <c r="M13" s="285"/>
      <c r="N13" s="285"/>
      <c r="O13" s="285"/>
      <c r="P13" s="285"/>
      <c r="Q13" s="285"/>
      <c r="R13" s="285"/>
      <c r="S13" s="285"/>
      <c r="W13" s="52"/>
      <c r="X13" s="52"/>
      <c r="Y13" s="52"/>
    </row>
    <row r="14" spans="2:25">
      <c r="B14" s="75" t="s">
        <v>1</v>
      </c>
      <c r="C14" s="76" t="s">
        <v>5</v>
      </c>
      <c r="D14" s="75" t="s">
        <v>6</v>
      </c>
      <c r="E14" s="75" t="s">
        <v>158</v>
      </c>
      <c r="F14" s="222" t="s">
        <v>8</v>
      </c>
      <c r="G14" s="222" t="s">
        <v>37</v>
      </c>
      <c r="H14" s="222" t="s">
        <v>38</v>
      </c>
      <c r="I14" s="222" t="s">
        <v>101</v>
      </c>
      <c r="K14" s="281" t="s">
        <v>11</v>
      </c>
      <c r="L14" s="282" t="s">
        <v>30</v>
      </c>
      <c r="M14" s="281" t="s">
        <v>1</v>
      </c>
      <c r="N14" s="281" t="s">
        <v>2</v>
      </c>
      <c r="O14" s="281" t="s">
        <v>16</v>
      </c>
      <c r="P14" s="281" t="s">
        <v>17</v>
      </c>
      <c r="Q14" s="281" t="s">
        <v>18</v>
      </c>
      <c r="R14" s="281" t="s">
        <v>19</v>
      </c>
      <c r="S14" s="281" t="s">
        <v>20</v>
      </c>
      <c r="W14" s="52"/>
      <c r="X14" s="52"/>
      <c r="Y14" s="52"/>
    </row>
    <row r="15" spans="2:25" ht="21.6" thickBot="1">
      <c r="B15" s="26" t="s">
        <v>42</v>
      </c>
      <c r="C15" s="26" t="s">
        <v>32</v>
      </c>
      <c r="D15" s="26" t="s">
        <v>33</v>
      </c>
      <c r="E15" s="26"/>
      <c r="F15" s="24"/>
      <c r="G15" s="93" t="s">
        <v>39</v>
      </c>
      <c r="H15" s="93" t="s">
        <v>118</v>
      </c>
      <c r="I15" s="93" t="s">
        <v>117</v>
      </c>
      <c r="K15" s="273" t="s">
        <v>41</v>
      </c>
      <c r="L15" s="273" t="s">
        <v>31</v>
      </c>
      <c r="M15" s="273" t="s">
        <v>21</v>
      </c>
      <c r="N15" s="273" t="s">
        <v>22</v>
      </c>
      <c r="O15" s="273" t="s">
        <v>23</v>
      </c>
      <c r="P15" s="273" t="s">
        <v>24</v>
      </c>
      <c r="Q15" s="273" t="s">
        <v>46</v>
      </c>
      <c r="R15" s="273" t="s">
        <v>45</v>
      </c>
      <c r="S15" s="273" t="s">
        <v>25</v>
      </c>
      <c r="X15" s="52"/>
      <c r="Y15" s="52"/>
    </row>
    <row r="16" spans="2:25" s="52" customFormat="1" ht="13.8" thickBot="1">
      <c r="B16" s="26" t="s">
        <v>115</v>
      </c>
      <c r="C16" s="24"/>
      <c r="D16" s="24"/>
      <c r="E16" s="24"/>
      <c r="F16" s="24"/>
      <c r="G16" s="24" t="str">
        <f>$E$2</f>
        <v>PJ</v>
      </c>
      <c r="H16" s="24" t="str">
        <f>$G$2&amp;"/"&amp;$E$2</f>
        <v>M€2016/PJ</v>
      </c>
      <c r="I16" s="24" t="str">
        <f>$E$2</f>
        <v>PJ</v>
      </c>
      <c r="J16" s="50"/>
      <c r="K16" s="273" t="s">
        <v>104</v>
      </c>
      <c r="L16" s="277"/>
      <c r="M16" s="277"/>
      <c r="N16" s="277"/>
      <c r="O16" s="277"/>
      <c r="P16" s="277"/>
      <c r="Q16" s="277"/>
      <c r="R16" s="277"/>
      <c r="S16" s="277"/>
      <c r="T16" s="50"/>
      <c r="W16" s="50"/>
      <c r="X16" s="50"/>
      <c r="Y16" s="50"/>
    </row>
    <row r="17" spans="2:25" s="52" customFormat="1">
      <c r="B17" s="64" t="str">
        <f t="shared" ref="B17:B30" si="2">M17</f>
        <v>IMPDSL1</v>
      </c>
      <c r="C17" s="64"/>
      <c r="D17" s="64" t="str">
        <f t="shared" ref="D17:D23" si="3">C2</f>
        <v>DSL</v>
      </c>
      <c r="E17" s="64"/>
      <c r="F17" s="64"/>
      <c r="G17" s="77"/>
      <c r="H17" s="188">
        <f>Pri_OIL!$F$14*1.3</f>
        <v>10.4</v>
      </c>
      <c r="I17" s="181"/>
      <c r="K17" s="284" t="str">
        <f>EnergyBalance!$B$6</f>
        <v>IMP</v>
      </c>
      <c r="L17" s="284"/>
      <c r="M17" s="284" t="str">
        <f t="shared" ref="M17:M23" si="4">$K$17&amp;C2&amp;1</f>
        <v>IMPDSL1</v>
      </c>
      <c r="N17" s="286" t="str">
        <f t="shared" ref="N17:N23" si="5">"Import of "&amp;D2&amp; " Step "&amp;RIGHT(M17,1)</f>
        <v>Import of Diesel oil Step 1</v>
      </c>
      <c r="O17" s="284" t="str">
        <f>$E$2</f>
        <v>PJ</v>
      </c>
      <c r="P17" s="284"/>
      <c r="Q17" s="284"/>
      <c r="R17" s="284"/>
      <c r="S17" s="284"/>
      <c r="T17" s="50"/>
      <c r="W17" s="50"/>
      <c r="X17" s="50"/>
      <c r="Y17" s="50"/>
    </row>
    <row r="18" spans="2:25" s="52" customFormat="1">
      <c r="B18" s="64" t="str">
        <f t="shared" si="2"/>
        <v>IMPKER1</v>
      </c>
      <c r="C18" s="64"/>
      <c r="D18" s="64" t="str">
        <f t="shared" si="3"/>
        <v>KER</v>
      </c>
      <c r="E18" s="64"/>
      <c r="F18" s="64"/>
      <c r="G18" s="77"/>
      <c r="H18" s="188">
        <f>Pri_OIL!$F$14*1.4</f>
        <v>11.2</v>
      </c>
      <c r="I18" s="181"/>
      <c r="K18" s="284"/>
      <c r="L18" s="284"/>
      <c r="M18" s="284" t="str">
        <f t="shared" si="4"/>
        <v>IMPKER1</v>
      </c>
      <c r="N18" s="286" t="str">
        <f t="shared" si="5"/>
        <v>Import of Kerosenes Step 1</v>
      </c>
      <c r="O18" s="284" t="str">
        <f t="shared" ref="O18:O23" si="6">$E$2</f>
        <v>PJ</v>
      </c>
      <c r="P18" s="284"/>
      <c r="Q18" s="284"/>
      <c r="R18" s="284"/>
      <c r="S18" s="284"/>
      <c r="W18" s="51"/>
      <c r="X18" s="50"/>
      <c r="Y18" s="50"/>
    </row>
    <row r="19" spans="2:25" s="52" customFormat="1">
      <c r="B19" s="64" t="str">
        <f t="shared" si="2"/>
        <v>IMPLPG1</v>
      </c>
      <c r="C19" s="64"/>
      <c r="D19" s="64" t="str">
        <f t="shared" si="3"/>
        <v>LPG</v>
      </c>
      <c r="E19" s="64"/>
      <c r="F19" s="64"/>
      <c r="G19" s="77"/>
      <c r="H19" s="188">
        <f>Pri_OIL!$F$14*1.1</f>
        <v>8.8000000000000007</v>
      </c>
      <c r="I19" s="181"/>
      <c r="K19" s="284"/>
      <c r="L19" s="284"/>
      <c r="M19" s="284" t="str">
        <f t="shared" si="4"/>
        <v>IMPLPG1</v>
      </c>
      <c r="N19" s="286" t="str">
        <f t="shared" si="5"/>
        <v>Import of LPG Step 1</v>
      </c>
      <c r="O19" s="284" t="str">
        <f t="shared" si="6"/>
        <v>PJ</v>
      </c>
      <c r="P19" s="284"/>
      <c r="Q19" s="284"/>
      <c r="R19" s="284"/>
      <c r="S19" s="284"/>
      <c r="W19" s="50"/>
      <c r="X19" s="51"/>
      <c r="Y19" s="51"/>
    </row>
    <row r="20" spans="2:25" s="52" customFormat="1">
      <c r="B20" s="64" t="str">
        <f t="shared" si="2"/>
        <v>IMPGSL1</v>
      </c>
      <c r="C20" s="64"/>
      <c r="D20" s="64" t="str">
        <f t="shared" si="3"/>
        <v>GSL</v>
      </c>
      <c r="E20" s="64"/>
      <c r="F20" s="64"/>
      <c r="G20" s="77"/>
      <c r="H20" s="188">
        <f>Pri_OIL!$F$14*1.4</f>
        <v>11.2</v>
      </c>
      <c r="I20" s="181"/>
      <c r="K20" s="284"/>
      <c r="L20" s="284"/>
      <c r="M20" s="284" t="str">
        <f t="shared" si="4"/>
        <v>IMPGSL1</v>
      </c>
      <c r="N20" s="286" t="str">
        <f t="shared" si="5"/>
        <v>Import of Motor spirit Step 1</v>
      </c>
      <c r="O20" s="284" t="str">
        <f t="shared" si="6"/>
        <v>PJ</v>
      </c>
      <c r="P20" s="284"/>
      <c r="Q20" s="284"/>
      <c r="R20" s="284"/>
      <c r="S20" s="284"/>
      <c r="W20" s="50"/>
      <c r="X20" s="50"/>
      <c r="Y20" s="50"/>
    </row>
    <row r="21" spans="2:25" s="52" customFormat="1">
      <c r="B21" s="64" t="str">
        <f t="shared" si="2"/>
        <v>IMPNAP1</v>
      </c>
      <c r="C21" s="64"/>
      <c r="D21" s="64" t="str">
        <f t="shared" si="3"/>
        <v>NAP</v>
      </c>
      <c r="E21" s="64"/>
      <c r="F21" s="64"/>
      <c r="G21" s="77"/>
      <c r="H21" s="188">
        <f>Pri_OIL!$F$14*1.05</f>
        <v>8.4</v>
      </c>
      <c r="I21" s="181"/>
      <c r="K21" s="284"/>
      <c r="L21" s="284"/>
      <c r="M21" s="284" t="str">
        <f t="shared" si="4"/>
        <v>IMPNAP1</v>
      </c>
      <c r="N21" s="286" t="str">
        <f t="shared" si="5"/>
        <v>Import of Naphtha Step 1</v>
      </c>
      <c r="O21" s="284" t="str">
        <f t="shared" si="6"/>
        <v>PJ</v>
      </c>
      <c r="P21" s="284"/>
      <c r="Q21" s="284"/>
      <c r="R21" s="284"/>
      <c r="S21" s="284"/>
      <c r="U21" s="50"/>
      <c r="V21" s="50"/>
      <c r="W21" s="50"/>
      <c r="X21" s="50"/>
      <c r="Y21" s="50"/>
    </row>
    <row r="22" spans="2:25" s="52" customFormat="1">
      <c r="B22" s="64" t="str">
        <f t="shared" si="2"/>
        <v>IMPHFO1</v>
      </c>
      <c r="C22" s="64"/>
      <c r="D22" s="64" t="str">
        <f t="shared" si="3"/>
        <v>HFO</v>
      </c>
      <c r="E22" s="64"/>
      <c r="F22" s="64"/>
      <c r="G22" s="77"/>
      <c r="H22" s="188">
        <f>Pri_OIL!$F$14*1.05</f>
        <v>8.4</v>
      </c>
      <c r="I22" s="181"/>
      <c r="K22" s="284"/>
      <c r="L22" s="284"/>
      <c r="M22" s="284" t="str">
        <f t="shared" si="4"/>
        <v>IMPHFO1</v>
      </c>
      <c r="N22" s="286" t="str">
        <f t="shared" si="5"/>
        <v>Import of Heavy Fuel Oil Step 1</v>
      </c>
      <c r="O22" s="284" t="str">
        <f t="shared" si="6"/>
        <v>PJ</v>
      </c>
      <c r="P22" s="284"/>
      <c r="Q22" s="284"/>
      <c r="R22" s="284"/>
      <c r="S22" s="284"/>
      <c r="T22" s="50"/>
      <c r="V22" s="50"/>
      <c r="W22" s="50"/>
      <c r="X22" s="50"/>
      <c r="Y22" s="50"/>
    </row>
    <row r="23" spans="2:25">
      <c r="B23" s="64" t="str">
        <f t="shared" si="2"/>
        <v>IMPOPP1</v>
      </c>
      <c r="C23" s="64"/>
      <c r="D23" s="64" t="str">
        <f t="shared" si="3"/>
        <v>OPP</v>
      </c>
      <c r="E23" s="64"/>
      <c r="F23" s="64"/>
      <c r="G23" s="77"/>
      <c r="H23" s="188">
        <f>Pri_OIL!$F$14*1.05</f>
        <v>8.4</v>
      </c>
      <c r="I23" s="181"/>
      <c r="J23" s="52"/>
      <c r="K23" s="284"/>
      <c r="L23" s="284"/>
      <c r="M23" s="284" t="str">
        <f t="shared" si="4"/>
        <v>IMPOPP1</v>
      </c>
      <c r="N23" s="286" t="str">
        <f t="shared" si="5"/>
        <v>Import of Other Petroleum Products Step 1</v>
      </c>
      <c r="O23" s="284" t="str">
        <f t="shared" si="6"/>
        <v>PJ</v>
      </c>
      <c r="P23" s="284"/>
      <c r="Q23" s="284"/>
      <c r="R23" s="284"/>
      <c r="S23" s="284"/>
      <c r="T23" s="52"/>
    </row>
    <row r="24" spans="2:25">
      <c r="B24" s="64" t="str">
        <f t="shared" si="2"/>
        <v>EXPDSL1</v>
      </c>
      <c r="C24" s="64" t="str">
        <f t="shared" ref="C24:C30" si="7">C2</f>
        <v>DSL</v>
      </c>
      <c r="D24" s="64"/>
      <c r="F24" s="51"/>
      <c r="G24" s="52"/>
      <c r="H24" s="188">
        <f>H17*0.99</f>
        <v>10.295999999999999</v>
      </c>
      <c r="I24" s="181">
        <f>-'EB2'!G$7</f>
        <v>5.0702400000000001</v>
      </c>
      <c r="K24" s="284" t="str">
        <f>EnergyBalance!B7</f>
        <v>EXP</v>
      </c>
      <c r="L24" s="285"/>
      <c r="M24" s="284" t="str">
        <f t="shared" ref="M24:M30" si="8">$K$24&amp;C2&amp;1</f>
        <v>EXPDSL1</v>
      </c>
      <c r="N24" s="286" t="str">
        <f t="shared" ref="N24:N30" si="9">"Export of "&amp;D2&amp; " Step "&amp;RIGHT(M24,1)</f>
        <v>Export of Diesel oil Step 1</v>
      </c>
      <c r="O24" s="284" t="str">
        <f>$E$2</f>
        <v>PJ</v>
      </c>
      <c r="P24" s="284"/>
      <c r="Q24" s="285"/>
      <c r="R24" s="284"/>
      <c r="S24" s="284"/>
      <c r="T24" s="52"/>
      <c r="V24" s="51"/>
    </row>
    <row r="25" spans="2:25">
      <c r="B25" s="64" t="str">
        <f t="shared" si="2"/>
        <v>EXPKER1</v>
      </c>
      <c r="C25" s="64" t="str">
        <f t="shared" si="7"/>
        <v>KER</v>
      </c>
      <c r="D25" s="64"/>
      <c r="F25" s="51"/>
      <c r="G25" s="52"/>
      <c r="H25" s="188">
        <f t="shared" ref="H25:H30" si="10">H18*0.99</f>
        <v>11.087999999999999</v>
      </c>
      <c r="I25" s="181">
        <f>-'EB2'!H$7</f>
        <v>0</v>
      </c>
      <c r="K25" s="285"/>
      <c r="L25" s="285"/>
      <c r="M25" s="284" t="str">
        <f t="shared" si="8"/>
        <v>EXPKER1</v>
      </c>
      <c r="N25" s="286" t="str">
        <f t="shared" si="9"/>
        <v>Export of Kerosenes Step 1</v>
      </c>
      <c r="O25" s="284" t="str">
        <f t="shared" ref="O25:O30" si="11">$E$2</f>
        <v>PJ</v>
      </c>
      <c r="P25" s="284"/>
      <c r="Q25" s="285"/>
      <c r="R25" s="284"/>
      <c r="S25" s="284"/>
      <c r="U25" s="51"/>
    </row>
    <row r="26" spans="2:25">
      <c r="B26" s="64" t="str">
        <f t="shared" si="2"/>
        <v>EXPLPG1</v>
      </c>
      <c r="C26" s="64" t="str">
        <f t="shared" si="7"/>
        <v>LPG</v>
      </c>
      <c r="D26" s="64"/>
      <c r="F26" s="51"/>
      <c r="G26" s="52"/>
      <c r="H26" s="188">
        <f t="shared" si="10"/>
        <v>8.7119999999999997</v>
      </c>
      <c r="I26" s="181">
        <f>-'EB2'!I$7</f>
        <v>0</v>
      </c>
      <c r="K26" s="284"/>
      <c r="L26" s="284"/>
      <c r="M26" s="284" t="str">
        <f t="shared" si="8"/>
        <v>EXPLPG1</v>
      </c>
      <c r="N26" s="286" t="str">
        <f t="shared" si="9"/>
        <v>Export of LPG Step 1</v>
      </c>
      <c r="O26" s="284" t="str">
        <f t="shared" si="11"/>
        <v>PJ</v>
      </c>
      <c r="P26" s="284"/>
      <c r="Q26" s="284"/>
      <c r="R26" s="284"/>
      <c r="S26" s="284"/>
      <c r="T26" s="52"/>
    </row>
    <row r="27" spans="2:25">
      <c r="B27" s="64" t="str">
        <f t="shared" si="2"/>
        <v>EXPGSL1</v>
      </c>
      <c r="C27" s="64" t="str">
        <f t="shared" si="7"/>
        <v>GSL</v>
      </c>
      <c r="D27" s="64"/>
      <c r="F27" s="51"/>
      <c r="G27" s="52"/>
      <c r="H27" s="188">
        <f t="shared" si="10"/>
        <v>11.087999999999999</v>
      </c>
      <c r="I27" s="181">
        <f>-'EB2'!J$7</f>
        <v>0</v>
      </c>
      <c r="K27" s="284"/>
      <c r="L27" s="284"/>
      <c r="M27" s="284" t="str">
        <f t="shared" si="8"/>
        <v>EXPGSL1</v>
      </c>
      <c r="N27" s="286" t="str">
        <f t="shared" si="9"/>
        <v>Export of Motor spirit Step 1</v>
      </c>
      <c r="O27" s="284" t="str">
        <f t="shared" si="11"/>
        <v>PJ</v>
      </c>
      <c r="P27" s="284"/>
      <c r="Q27" s="284"/>
      <c r="R27" s="284"/>
      <c r="S27" s="284"/>
      <c r="T27" s="52"/>
    </row>
    <row r="28" spans="2:25">
      <c r="B28" s="64" t="str">
        <f t="shared" si="2"/>
        <v>EXPNAP1</v>
      </c>
      <c r="C28" s="64" t="str">
        <f t="shared" si="7"/>
        <v>NAP</v>
      </c>
      <c r="D28" s="64"/>
      <c r="F28" s="51"/>
      <c r="G28" s="52"/>
      <c r="H28" s="188">
        <f t="shared" si="10"/>
        <v>8.3160000000000007</v>
      </c>
      <c r="I28" s="181">
        <f>-'EB2'!K$7</f>
        <v>0</v>
      </c>
      <c r="K28" s="285"/>
      <c r="L28" s="285"/>
      <c r="M28" s="284" t="str">
        <f t="shared" si="8"/>
        <v>EXPNAP1</v>
      </c>
      <c r="N28" s="286" t="str">
        <f t="shared" si="9"/>
        <v>Export of Naphtha Step 1</v>
      </c>
      <c r="O28" s="284" t="str">
        <f t="shared" si="11"/>
        <v>PJ</v>
      </c>
      <c r="P28" s="284"/>
      <c r="Q28" s="285"/>
      <c r="R28" s="285"/>
      <c r="S28" s="285"/>
      <c r="T28" s="52"/>
    </row>
    <row r="29" spans="2:25">
      <c r="B29" s="64" t="str">
        <f t="shared" si="2"/>
        <v>EXPHFO1</v>
      </c>
      <c r="C29" s="64" t="str">
        <f t="shared" si="7"/>
        <v>HFO</v>
      </c>
      <c r="D29" s="64"/>
      <c r="F29" s="51"/>
      <c r="G29" s="52"/>
      <c r="H29" s="188">
        <f t="shared" si="10"/>
        <v>8.3160000000000007</v>
      </c>
      <c r="I29" s="181">
        <f>-'EB2'!L$7</f>
        <v>0</v>
      </c>
      <c r="K29" s="285"/>
      <c r="L29" s="285"/>
      <c r="M29" s="284" t="str">
        <f t="shared" si="8"/>
        <v>EXPHFO1</v>
      </c>
      <c r="N29" s="286" t="str">
        <f t="shared" si="9"/>
        <v>Export of Heavy Fuel Oil Step 1</v>
      </c>
      <c r="O29" s="284" t="str">
        <f t="shared" si="11"/>
        <v>PJ</v>
      </c>
      <c r="P29" s="284"/>
      <c r="Q29" s="285"/>
      <c r="R29" s="285"/>
      <c r="S29" s="285"/>
      <c r="T29" s="52"/>
    </row>
    <row r="30" spans="2:25">
      <c r="B30" s="64" t="str">
        <f t="shared" si="2"/>
        <v>EXPOPP1</v>
      </c>
      <c r="C30" s="64" t="str">
        <f t="shared" si="7"/>
        <v>OPP</v>
      </c>
      <c r="D30" s="64"/>
      <c r="F30" s="51"/>
      <c r="G30" s="52"/>
      <c r="H30" s="188">
        <f t="shared" si="10"/>
        <v>8.3160000000000007</v>
      </c>
      <c r="I30" s="181">
        <f>-'EB2'!M$7</f>
        <v>0</v>
      </c>
      <c r="K30" s="285"/>
      <c r="L30" s="285"/>
      <c r="M30" s="284" t="str">
        <f t="shared" si="8"/>
        <v>EXPOPP1</v>
      </c>
      <c r="N30" s="286" t="str">
        <f t="shared" si="9"/>
        <v>Export of Other Petroleum Products Step 1</v>
      </c>
      <c r="O30" s="284" t="str">
        <f t="shared" si="11"/>
        <v>PJ</v>
      </c>
      <c r="P30" s="285"/>
      <c r="Q30" s="285"/>
      <c r="R30" s="285"/>
      <c r="S30" s="285"/>
    </row>
    <row r="31" spans="2:25">
      <c r="B31" s="64"/>
      <c r="C31" s="64"/>
      <c r="D31" s="64"/>
      <c r="F31" s="51"/>
      <c r="G31" s="52"/>
      <c r="H31" s="78"/>
      <c r="I31" s="59"/>
    </row>
    <row r="35" spans="2:3">
      <c r="B35" s="112"/>
      <c r="C35" s="1" t="s">
        <v>232</v>
      </c>
    </row>
    <row r="36" spans="2:3">
      <c r="B36" s="183"/>
      <c r="C36" s="1" t="s">
        <v>233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topLeftCell="A10" zoomScale="80" zoomScaleNormal="80" workbookViewId="0">
      <selection activeCell="J38" sqref="J38"/>
    </sheetView>
  </sheetViews>
  <sheetFormatPr defaultRowHeight="13.2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1.6640625" bestFit="1" customWidth="1"/>
    <col min="14" max="14" width="6.109375" customWidth="1"/>
    <col min="15" max="15" width="10.44140625" bestFit="1" customWidth="1"/>
    <col min="16" max="16" width="12.88671875" customWidth="1"/>
    <col min="17" max="17" width="14.109375" bestFit="1" customWidth="1"/>
    <col min="18" max="18" width="8.109375" customWidth="1"/>
  </cols>
  <sheetData>
    <row r="1" spans="2:18" ht="14.4">
      <c r="B1" s="17" t="s">
        <v>94</v>
      </c>
      <c r="C1" s="17" t="s">
        <v>95</v>
      </c>
      <c r="D1" s="17" t="s">
        <v>96</v>
      </c>
      <c r="E1" s="17" t="s">
        <v>153</v>
      </c>
      <c r="F1" s="17" t="s">
        <v>120</v>
      </c>
      <c r="G1" s="17" t="s">
        <v>127</v>
      </c>
      <c r="H1" s="67"/>
    </row>
    <row r="2" spans="2:18" ht="15.6">
      <c r="B2" s="20"/>
      <c r="C2" s="20"/>
      <c r="D2" s="20" t="s">
        <v>151</v>
      </c>
      <c r="E2" s="20" t="str">
        <f>EnergyBalance!W2</f>
        <v>PJ</v>
      </c>
      <c r="F2" s="20" t="str">
        <f>EnergyBalance!V2</f>
        <v>M€2016</v>
      </c>
      <c r="G2" s="20" t="s">
        <v>128</v>
      </c>
      <c r="H2" s="18"/>
      <c r="J2" s="269" t="s">
        <v>14</v>
      </c>
      <c r="K2" s="269"/>
      <c r="L2" s="270"/>
      <c r="M2" s="270"/>
      <c r="N2" s="270"/>
      <c r="O2" s="270"/>
      <c r="P2" s="270"/>
      <c r="Q2" s="270"/>
      <c r="R2" s="270"/>
    </row>
    <row r="3" spans="2:18">
      <c r="J3" s="271" t="s">
        <v>7</v>
      </c>
      <c r="K3" s="272" t="s">
        <v>30</v>
      </c>
      <c r="L3" s="271" t="s">
        <v>0</v>
      </c>
      <c r="M3" s="271" t="s">
        <v>3</v>
      </c>
      <c r="N3" s="271" t="s">
        <v>4</v>
      </c>
      <c r="O3" s="271" t="s">
        <v>8</v>
      </c>
      <c r="P3" s="271" t="s">
        <v>9</v>
      </c>
      <c r="Q3" s="271" t="s">
        <v>10</v>
      </c>
      <c r="R3" s="271" t="s">
        <v>12</v>
      </c>
    </row>
    <row r="4" spans="2:18" s="9" customFormat="1" ht="22.2" thickBot="1">
      <c r="B4" s="18"/>
      <c r="C4" s="18"/>
      <c r="D4" s="18"/>
      <c r="E4" s="18"/>
      <c r="G4" s="18"/>
      <c r="J4" s="273" t="s">
        <v>40</v>
      </c>
      <c r="K4" s="273" t="s">
        <v>31</v>
      </c>
      <c r="L4" s="273" t="s">
        <v>26</v>
      </c>
      <c r="M4" s="273" t="s">
        <v>27</v>
      </c>
      <c r="N4" s="273" t="s">
        <v>4</v>
      </c>
      <c r="O4" s="273" t="s">
        <v>43</v>
      </c>
      <c r="P4" s="273" t="s">
        <v>44</v>
      </c>
      <c r="Q4" s="273" t="s">
        <v>28</v>
      </c>
      <c r="R4" s="273" t="s">
        <v>29</v>
      </c>
    </row>
    <row r="5" spans="2:18" s="9" customFormat="1">
      <c r="B5" s="11"/>
      <c r="C5" s="11"/>
      <c r="D5" s="11"/>
      <c r="E5" s="22"/>
      <c r="F5" s="22"/>
      <c r="G5" s="192"/>
      <c r="H5" s="21"/>
      <c r="I5"/>
      <c r="J5" s="275" t="s">
        <v>93</v>
      </c>
      <c r="K5" s="275"/>
      <c r="L5" s="275" t="str">
        <f>EnergyBalance!$B$16&amp;EnergyBalance!$E$2</f>
        <v>RSDGAS</v>
      </c>
      <c r="M5" s="278" t="str">
        <f>EnergyBalance!$C$16&amp;" "&amp;EnergyBalance!$E$3</f>
        <v>Residential Natural Gas</v>
      </c>
      <c r="N5" s="275" t="str">
        <f t="shared" ref="N5:N17" si="0">$E$2</f>
        <v>PJ</v>
      </c>
      <c r="O5" s="275"/>
      <c r="P5" s="275"/>
      <c r="Q5" s="275"/>
      <c r="R5" s="275"/>
    </row>
    <row r="6" spans="2:18" s="9" customFormat="1">
      <c r="B6" s="11"/>
      <c r="C6" s="11"/>
      <c r="D6" s="11"/>
      <c r="E6" s="22"/>
      <c r="F6" s="22"/>
      <c r="G6" s="192"/>
      <c r="H6" s="21"/>
      <c r="I6"/>
      <c r="J6" s="275"/>
      <c r="K6" s="275"/>
      <c r="L6" s="275" t="str">
        <f>EnergyBalance!$B$20&amp;EnergyBalance!G$2</f>
        <v>TRADSL</v>
      </c>
      <c r="M6" s="278" t="str">
        <f>EnergyBalance!$C$20&amp;" "&amp;EnergyBalance!G$3</f>
        <v>Transport Diesel oil</v>
      </c>
      <c r="N6" s="275" t="str">
        <f t="shared" si="0"/>
        <v>PJ</v>
      </c>
      <c r="O6" s="275"/>
      <c r="P6" s="275"/>
      <c r="Q6" s="275"/>
      <c r="R6" s="275"/>
    </row>
    <row r="7" spans="2:18" s="9" customFormat="1">
      <c r="B7" s="11"/>
      <c r="C7" s="11"/>
      <c r="D7" s="11"/>
      <c r="E7" s="22"/>
      <c r="F7" s="22"/>
      <c r="G7" s="192"/>
      <c r="H7" s="21"/>
      <c r="I7"/>
      <c r="J7" s="275"/>
      <c r="K7" s="275"/>
      <c r="L7" s="275" t="str">
        <f>EnergyBalance!$B$20&amp;EnergyBalance!H$2</f>
        <v>TRAKER</v>
      </c>
      <c r="M7" s="278" t="str">
        <f>EnergyBalance!$C$20&amp;" "&amp;EnergyBalance!H$3</f>
        <v>Transport Kerosenes</v>
      </c>
      <c r="N7" s="275" t="str">
        <f t="shared" si="0"/>
        <v>PJ</v>
      </c>
      <c r="O7" s="275"/>
      <c r="P7" s="275"/>
      <c r="Q7" s="275"/>
      <c r="R7" s="275"/>
    </row>
    <row r="8" spans="2:18" s="9" customFormat="1">
      <c r="B8" s="11"/>
      <c r="C8" s="11"/>
      <c r="D8" s="11"/>
      <c r="E8" s="22"/>
      <c r="F8" s="22"/>
      <c r="G8" s="192"/>
      <c r="H8" s="21"/>
      <c r="I8"/>
      <c r="J8" s="275"/>
      <c r="K8" s="275"/>
      <c r="L8" s="275" t="str">
        <f>EnergyBalance!$B$20&amp;EnergyBalance!I$2</f>
        <v>TRALPG</v>
      </c>
      <c r="M8" s="278" t="str">
        <f>EnergyBalance!$C$20&amp;" "&amp;EnergyBalance!I$3</f>
        <v>Transport LPG</v>
      </c>
      <c r="N8" s="275" t="str">
        <f t="shared" si="0"/>
        <v>PJ</v>
      </c>
      <c r="O8" s="275"/>
      <c r="P8" s="275"/>
      <c r="Q8" s="275"/>
      <c r="R8" s="275"/>
    </row>
    <row r="9" spans="2:18" s="9" customFormat="1">
      <c r="B9" s="11"/>
      <c r="C9" s="11"/>
      <c r="D9" s="11"/>
      <c r="E9" s="22"/>
      <c r="F9" s="22"/>
      <c r="G9" s="192"/>
      <c r="H9" s="21"/>
      <c r="I9"/>
      <c r="J9" s="275"/>
      <c r="K9" s="275"/>
      <c r="L9" s="275" t="str">
        <f>EnergyBalance!$B$20&amp;EnergyBalance!J$2</f>
        <v>TRAGSL</v>
      </c>
      <c r="M9" s="278" t="str">
        <f>EnergyBalance!$C$20&amp;" "&amp;EnergyBalance!J$3</f>
        <v>Transport Motor spirit</v>
      </c>
      <c r="N9" s="275" t="str">
        <f t="shared" si="0"/>
        <v>PJ</v>
      </c>
      <c r="O9" s="275"/>
      <c r="P9" s="275"/>
      <c r="Q9" s="275"/>
      <c r="R9" s="275"/>
    </row>
    <row r="10" spans="2:18" s="9" customFormat="1">
      <c r="B10" s="11"/>
      <c r="C10" s="11"/>
      <c r="D10" s="11"/>
      <c r="E10" s="22"/>
      <c r="F10" s="22"/>
      <c r="G10" s="192"/>
      <c r="H10" s="21"/>
      <c r="I10"/>
      <c r="J10" s="275"/>
      <c r="K10" s="275"/>
      <c r="L10" s="275" t="str">
        <f>EnergyBalance!$B$20&amp;EnergyBalance!L$2</f>
        <v>TRAHFO</v>
      </c>
      <c r="M10" s="278" t="str">
        <f>EnergyBalance!$C$20&amp;" "&amp;EnergyBalance!L$3</f>
        <v>Transport Heavy Fuel Oil</v>
      </c>
      <c r="N10" s="275" t="str">
        <f t="shared" si="0"/>
        <v>PJ</v>
      </c>
      <c r="O10" s="275"/>
      <c r="P10" s="275"/>
      <c r="Q10" s="275"/>
      <c r="R10" s="275"/>
    </row>
    <row r="11" spans="2:18" s="9" customFormat="1">
      <c r="B11" s="11"/>
      <c r="C11" s="11"/>
      <c r="D11" s="11"/>
      <c r="E11" s="22"/>
      <c r="F11" s="22"/>
      <c r="G11" s="192"/>
      <c r="H11" s="21"/>
      <c r="I11"/>
      <c r="J11" s="275"/>
      <c r="K11" s="275"/>
      <c r="L11" s="275" t="str">
        <f>EnergyBalance!$B$20&amp;EnergyBalance!R$2</f>
        <v>TRAELC</v>
      </c>
      <c r="M11" s="278" t="str">
        <f>EnergyBalance!$C$20&amp;" "&amp;EnergyBalance!R$3</f>
        <v>Transport Electricity</v>
      </c>
      <c r="N11" s="275" t="str">
        <f t="shared" si="0"/>
        <v>PJ</v>
      </c>
      <c r="O11" s="275"/>
      <c r="P11" s="275"/>
      <c r="Q11" s="275"/>
      <c r="R11" s="275"/>
    </row>
    <row r="12" spans="2:18" s="9" customFormat="1">
      <c r="B12" s="11"/>
      <c r="C12" s="11"/>
      <c r="D12" s="11"/>
      <c r="E12" s="22"/>
      <c r="F12" s="22"/>
      <c r="G12" s="192"/>
      <c r="H12" s="21"/>
      <c r="I12"/>
      <c r="J12" s="275"/>
      <c r="K12" s="275"/>
      <c r="L12" s="275" t="str">
        <f>EnergyBalance!$B$20&amp;EnergyBalance!E$2</f>
        <v>TRAGAS</v>
      </c>
      <c r="M12" s="278" t="str">
        <f>EnergyBalance!$C$20&amp;" "&amp;EnergyBalance!E$3</f>
        <v>Transport Natural Gas</v>
      </c>
      <c r="N12" s="275" t="str">
        <f t="shared" si="0"/>
        <v>PJ</v>
      </c>
      <c r="O12" s="275"/>
      <c r="P12" s="275"/>
      <c r="Q12" s="275"/>
      <c r="R12" s="275"/>
    </row>
    <row r="13" spans="2:18" s="9" customFormat="1">
      <c r="B13" s="11"/>
      <c r="C13" s="11"/>
      <c r="D13" s="11"/>
      <c r="E13" s="22"/>
      <c r="F13" s="22"/>
      <c r="G13" s="192"/>
      <c r="H13" s="21"/>
      <c r="I13"/>
      <c r="J13" s="275"/>
      <c r="K13" s="275"/>
      <c r="L13" s="275" t="str">
        <f>Con_ELC!$B$2&amp;EnergyBalance!$D$2</f>
        <v>ELCCOA</v>
      </c>
      <c r="M13" s="278" t="str">
        <f>Con_ELC!$C$2&amp;" "&amp;EnergyBalance!$D$3</f>
        <v>Electricity Plants Solid Fuels</v>
      </c>
      <c r="N13" s="275" t="str">
        <f t="shared" si="0"/>
        <v>PJ</v>
      </c>
      <c r="O13" s="275"/>
      <c r="P13" s="275"/>
      <c r="Q13" s="275"/>
      <c r="R13" s="275"/>
    </row>
    <row r="14" spans="2:18" s="9" customFormat="1">
      <c r="B14" s="11"/>
      <c r="C14" s="11"/>
      <c r="D14" s="11"/>
      <c r="E14" s="22"/>
      <c r="F14" s="22"/>
      <c r="G14" s="192"/>
      <c r="H14" s="21"/>
      <c r="I14"/>
      <c r="J14" s="275"/>
      <c r="K14" s="275"/>
      <c r="L14" s="275" t="str">
        <f>Con_ELC!$B$2&amp;EnergyBalance!$E$2</f>
        <v>ELCGAS</v>
      </c>
      <c r="M14" s="278" t="str">
        <f>Con_ELC!$C$2&amp;" "&amp;EnergyBalance!$E$3</f>
        <v>Electricity Plants Natural Gas</v>
      </c>
      <c r="N14" s="275" t="str">
        <f t="shared" si="0"/>
        <v>PJ</v>
      </c>
      <c r="O14" s="275"/>
      <c r="P14" s="275"/>
      <c r="Q14" s="275"/>
      <c r="R14" s="275"/>
    </row>
    <row r="15" spans="2:18" s="9" customFormat="1">
      <c r="B15" s="11"/>
      <c r="C15" s="11"/>
      <c r="D15" s="11"/>
      <c r="E15" s="22"/>
      <c r="F15" s="22"/>
      <c r="G15" s="192"/>
      <c r="H15" s="21"/>
      <c r="I15"/>
      <c r="J15" s="275"/>
      <c r="K15" s="275"/>
      <c r="L15" s="275" t="str">
        <f>Con_ELC!$B$2&amp;EnergyBalance!$F$2</f>
        <v>ELCOIL</v>
      </c>
      <c r="M15" s="278" t="str">
        <f>Con_ELC!$C$2&amp;" "&amp;EnergyBalance!$F$3</f>
        <v>Electricity Plants Crude Oil</v>
      </c>
      <c r="N15" s="275" t="str">
        <f t="shared" si="0"/>
        <v>PJ</v>
      </c>
      <c r="O15" s="275"/>
      <c r="P15" s="275"/>
      <c r="Q15" s="275"/>
      <c r="R15" s="275"/>
    </row>
    <row r="16" spans="2:18" s="9" customFormat="1">
      <c r="B16" s="11"/>
      <c r="C16" s="11"/>
      <c r="D16" s="11"/>
      <c r="E16" s="22"/>
      <c r="F16" s="22"/>
      <c r="G16" s="192"/>
      <c r="H16" s="21"/>
      <c r="I16"/>
      <c r="J16" s="275"/>
      <c r="K16" s="275"/>
      <c r="L16" s="275" t="str">
        <f>Con_ELC!$B$2&amp;EnergyBalance!$O$2</f>
        <v>ELCRNW</v>
      </c>
      <c r="M16" s="278" t="str">
        <f>Con_ELC!$C$2&amp;" "&amp;EnergyBalance!$O$3</f>
        <v>Electricity Plants Renewable Energies</v>
      </c>
      <c r="N16" s="275" t="str">
        <f t="shared" si="0"/>
        <v>PJ</v>
      </c>
      <c r="O16" s="275"/>
      <c r="P16" s="275"/>
      <c r="Q16" s="275"/>
      <c r="R16" s="275"/>
    </row>
    <row r="17" spans="2:18">
      <c r="B17" s="11"/>
      <c r="C17" s="11"/>
      <c r="D17" s="11"/>
      <c r="E17" s="22"/>
      <c r="F17" s="22"/>
      <c r="G17" s="192"/>
      <c r="H17" s="21"/>
      <c r="J17" s="275"/>
      <c r="K17" s="275"/>
      <c r="L17" s="275" t="str">
        <f>Con_ELC!$B$2&amp;EnergyBalance!$N$2</f>
        <v>ELCNUC</v>
      </c>
      <c r="M17" s="278" t="str">
        <f>Con_ELC!$C$2&amp;" "&amp;EnergyBalance!$N$3</f>
        <v>Electricity Plants Nuclear Energy</v>
      </c>
      <c r="N17" s="275" t="str">
        <f t="shared" si="0"/>
        <v>PJ</v>
      </c>
      <c r="O17" s="275"/>
      <c r="P17" s="275"/>
      <c r="Q17" s="275"/>
      <c r="R17" s="275"/>
    </row>
    <row r="18" spans="2:18">
      <c r="L18" s="54"/>
      <c r="M18" s="57"/>
    </row>
    <row r="19" spans="2:18">
      <c r="D19" s="7" t="s">
        <v>13</v>
      </c>
      <c r="E19" s="7"/>
      <c r="F19" s="7"/>
      <c r="J19" s="269" t="s">
        <v>15</v>
      </c>
      <c r="K19" s="269"/>
      <c r="L19" s="276"/>
      <c r="M19" s="276"/>
      <c r="N19" s="276"/>
      <c r="O19" s="276"/>
      <c r="P19" s="276"/>
      <c r="Q19" s="276"/>
      <c r="R19" s="276"/>
    </row>
    <row r="20" spans="2:18">
      <c r="B20" s="29" t="s">
        <v>1</v>
      </c>
      <c r="C20" s="29" t="s">
        <v>5</v>
      </c>
      <c r="D20" s="29" t="s">
        <v>6</v>
      </c>
      <c r="E20" s="221" t="s">
        <v>227</v>
      </c>
      <c r="F20" s="216" t="s">
        <v>193</v>
      </c>
      <c r="G20" s="216" t="s">
        <v>109</v>
      </c>
      <c r="H20" s="216" t="s">
        <v>102</v>
      </c>
      <c r="J20" s="271" t="s">
        <v>11</v>
      </c>
      <c r="K20" s="272" t="s">
        <v>30</v>
      </c>
      <c r="L20" s="271" t="s">
        <v>1</v>
      </c>
      <c r="M20" s="271" t="s">
        <v>2</v>
      </c>
      <c r="N20" s="271" t="s">
        <v>16</v>
      </c>
      <c r="O20" s="271" t="s">
        <v>17</v>
      </c>
      <c r="P20" s="271" t="s">
        <v>18</v>
      </c>
      <c r="Q20" s="271" t="s">
        <v>19</v>
      </c>
      <c r="R20" s="271" t="s">
        <v>20</v>
      </c>
    </row>
    <row r="21" spans="2:18" ht="21.6" thickBot="1">
      <c r="B21" s="27" t="s">
        <v>42</v>
      </c>
      <c r="C21" s="27" t="s">
        <v>32</v>
      </c>
      <c r="D21" s="27" t="s">
        <v>33</v>
      </c>
      <c r="E21" s="27" t="s">
        <v>228</v>
      </c>
      <c r="F21" s="27" t="s">
        <v>34</v>
      </c>
      <c r="G21" s="27" t="s">
        <v>114</v>
      </c>
      <c r="H21" s="27" t="s">
        <v>261</v>
      </c>
      <c r="J21" s="273" t="s">
        <v>41</v>
      </c>
      <c r="K21" s="273" t="s">
        <v>31</v>
      </c>
      <c r="L21" s="273" t="s">
        <v>21</v>
      </c>
      <c r="M21" s="273" t="s">
        <v>22</v>
      </c>
      <c r="N21" s="273" t="s">
        <v>23</v>
      </c>
      <c r="O21" s="273" t="s">
        <v>24</v>
      </c>
      <c r="P21" s="273" t="s">
        <v>46</v>
      </c>
      <c r="Q21" s="273" t="s">
        <v>45</v>
      </c>
      <c r="R21" s="273" t="s">
        <v>25</v>
      </c>
    </row>
    <row r="22" spans="2:18" ht="13.8" thickBot="1">
      <c r="B22" s="93" t="s">
        <v>115</v>
      </c>
      <c r="C22" s="93"/>
      <c r="D22" s="93"/>
      <c r="E22" s="24"/>
      <c r="F22" s="24" t="str">
        <f>F2&amp;"a"</f>
        <v>M€2016a</v>
      </c>
      <c r="G22" s="24"/>
      <c r="H22" s="24" t="s">
        <v>116</v>
      </c>
      <c r="J22" s="273" t="s">
        <v>104</v>
      </c>
      <c r="K22" s="277"/>
      <c r="L22" s="277"/>
      <c r="M22" s="277"/>
      <c r="N22" s="277"/>
      <c r="O22" s="277"/>
      <c r="P22" s="277"/>
      <c r="Q22" s="277"/>
      <c r="R22" s="277"/>
    </row>
    <row r="23" spans="2:18">
      <c r="B23" t="str">
        <f t="shared" ref="B23:B30" si="1">L23</f>
        <v>FTE-RSDGAS</v>
      </c>
      <c r="C23" t="str">
        <f>RIGHT(D23,3)</f>
        <v>GAS</v>
      </c>
      <c r="D23" t="str">
        <f>$L$5</f>
        <v>RSDGAS</v>
      </c>
      <c r="E23" s="22"/>
      <c r="F23" s="22"/>
      <c r="G23" s="191">
        <v>1</v>
      </c>
      <c r="H23" s="179">
        <v>30</v>
      </c>
      <c r="J23" s="274" t="s">
        <v>152</v>
      </c>
      <c r="K23" s="275"/>
      <c r="L23" s="275" t="str">
        <f t="shared" ref="L23:L35" si="2">"FT"&amp;$G$2&amp;"-"&amp;L5</f>
        <v>FTE-RSDGAS</v>
      </c>
      <c r="M23" s="278" t="str">
        <f t="shared" ref="M23:M35" si="3">$D$2&amp;" Technology"&amp;" "&amp;$G$1&amp;" "&amp;M5</f>
        <v>Sector Fuel Technology Existing Residential Natural Gas</v>
      </c>
      <c r="N23" s="275" t="str">
        <f t="shared" ref="N23:N35" si="4">$E$2</f>
        <v>PJ</v>
      </c>
      <c r="O23" s="275" t="str">
        <f t="shared" ref="O23:O35" si="5">$E$2&amp;"a"</f>
        <v>PJa</v>
      </c>
      <c r="P23" s="275"/>
      <c r="Q23" s="275"/>
      <c r="R23" s="275"/>
    </row>
    <row r="24" spans="2:18">
      <c r="B24" s="11" t="str">
        <f t="shared" si="1"/>
        <v>FTE-TRADSL</v>
      </c>
      <c r="C24" s="11" t="str">
        <f t="shared" ref="C24:C30" si="6">RIGHT(L6,3)</f>
        <v>DSL</v>
      </c>
      <c r="D24" s="11" t="str">
        <f t="shared" ref="D24:D30" si="7">L6</f>
        <v>TRADSL</v>
      </c>
      <c r="E24" s="22"/>
      <c r="F24" s="22"/>
      <c r="G24" s="191">
        <v>1</v>
      </c>
      <c r="H24" s="179">
        <v>30</v>
      </c>
      <c r="J24" s="275"/>
      <c r="K24" s="275"/>
      <c r="L24" s="275" t="str">
        <f t="shared" si="2"/>
        <v>FTE-TRADSL</v>
      </c>
      <c r="M24" s="278" t="str">
        <f t="shared" si="3"/>
        <v>Sector Fuel Technology Existing Transport Diesel oil</v>
      </c>
      <c r="N24" s="275" t="str">
        <f t="shared" si="4"/>
        <v>PJ</v>
      </c>
      <c r="O24" s="275" t="str">
        <f t="shared" si="5"/>
        <v>PJa</v>
      </c>
      <c r="P24" s="275"/>
      <c r="Q24" s="275"/>
      <c r="R24" s="275"/>
    </row>
    <row r="25" spans="2:18">
      <c r="B25" s="11" t="str">
        <f t="shared" si="1"/>
        <v>FTE-TRAKER</v>
      </c>
      <c r="C25" s="11" t="str">
        <f t="shared" si="6"/>
        <v>KER</v>
      </c>
      <c r="D25" s="11" t="str">
        <f t="shared" si="7"/>
        <v>TRAKER</v>
      </c>
      <c r="E25" s="22"/>
      <c r="F25" s="22"/>
      <c r="G25" s="191">
        <v>1</v>
      </c>
      <c r="H25" s="179">
        <v>30</v>
      </c>
      <c r="J25" s="275"/>
      <c r="K25" s="275"/>
      <c r="L25" s="275" t="str">
        <f t="shared" si="2"/>
        <v>FTE-TRAKER</v>
      </c>
      <c r="M25" s="278" t="str">
        <f t="shared" si="3"/>
        <v>Sector Fuel Technology Existing Transport Kerosenes</v>
      </c>
      <c r="N25" s="275" t="str">
        <f t="shared" si="4"/>
        <v>PJ</v>
      </c>
      <c r="O25" s="275" t="str">
        <f t="shared" si="5"/>
        <v>PJa</v>
      </c>
      <c r="P25" s="275"/>
      <c r="Q25" s="275"/>
      <c r="R25" s="275"/>
    </row>
    <row r="26" spans="2:18">
      <c r="B26" s="11" t="str">
        <f t="shared" si="1"/>
        <v>FTE-TRALPG</v>
      </c>
      <c r="C26" s="11" t="str">
        <f t="shared" si="6"/>
        <v>LPG</v>
      </c>
      <c r="D26" s="11" t="str">
        <f t="shared" si="7"/>
        <v>TRALPG</v>
      </c>
      <c r="E26" s="22"/>
      <c r="F26" s="22"/>
      <c r="G26" s="191">
        <v>1</v>
      </c>
      <c r="H26" s="179">
        <v>30</v>
      </c>
      <c r="J26" s="275"/>
      <c r="K26" s="275"/>
      <c r="L26" s="275" t="str">
        <f t="shared" si="2"/>
        <v>FTE-TRALPG</v>
      </c>
      <c r="M26" s="278" t="str">
        <f t="shared" si="3"/>
        <v>Sector Fuel Technology Existing Transport LPG</v>
      </c>
      <c r="N26" s="275" t="str">
        <f t="shared" si="4"/>
        <v>PJ</v>
      </c>
      <c r="O26" s="275" t="str">
        <f t="shared" si="5"/>
        <v>PJa</v>
      </c>
      <c r="P26" s="275"/>
      <c r="Q26" s="275"/>
      <c r="R26" s="275"/>
    </row>
    <row r="27" spans="2:18">
      <c r="B27" s="11" t="str">
        <f t="shared" si="1"/>
        <v>FTE-TRAGSL</v>
      </c>
      <c r="C27" s="11" t="str">
        <f t="shared" si="6"/>
        <v>GSL</v>
      </c>
      <c r="D27" s="11" t="str">
        <f t="shared" si="7"/>
        <v>TRAGSL</v>
      </c>
      <c r="E27" s="22"/>
      <c r="F27" s="22"/>
      <c r="G27" s="191">
        <v>1</v>
      </c>
      <c r="H27" s="179">
        <v>30</v>
      </c>
      <c r="J27" s="275"/>
      <c r="K27" s="275"/>
      <c r="L27" s="275" t="str">
        <f t="shared" si="2"/>
        <v>FTE-TRAGSL</v>
      </c>
      <c r="M27" s="278" t="str">
        <f t="shared" si="3"/>
        <v>Sector Fuel Technology Existing Transport Motor spirit</v>
      </c>
      <c r="N27" s="275" t="str">
        <f t="shared" si="4"/>
        <v>PJ</v>
      </c>
      <c r="O27" s="275" t="str">
        <f t="shared" si="5"/>
        <v>PJa</v>
      </c>
      <c r="P27" s="275"/>
      <c r="Q27" s="275"/>
      <c r="R27" s="275"/>
    </row>
    <row r="28" spans="2:18">
      <c r="B28" s="11" t="str">
        <f t="shared" si="1"/>
        <v>FTE-TRAHFO</v>
      </c>
      <c r="C28" s="11" t="str">
        <f t="shared" si="6"/>
        <v>HFO</v>
      </c>
      <c r="D28" s="11" t="str">
        <f t="shared" si="7"/>
        <v>TRAHFO</v>
      </c>
      <c r="E28" s="22"/>
      <c r="F28" s="22"/>
      <c r="G28" s="191">
        <v>1</v>
      </c>
      <c r="H28" s="179">
        <v>30</v>
      </c>
      <c r="J28" s="275"/>
      <c r="K28" s="275"/>
      <c r="L28" s="275" t="str">
        <f t="shared" si="2"/>
        <v>FTE-TRAHFO</v>
      </c>
      <c r="M28" s="278" t="str">
        <f t="shared" si="3"/>
        <v>Sector Fuel Technology Existing Transport Heavy Fuel Oil</v>
      </c>
      <c r="N28" s="275" t="str">
        <f t="shared" si="4"/>
        <v>PJ</v>
      </c>
      <c r="O28" s="275" t="str">
        <f t="shared" si="5"/>
        <v>PJa</v>
      </c>
      <c r="P28" s="275"/>
      <c r="Q28" s="275"/>
      <c r="R28" s="275"/>
    </row>
    <row r="29" spans="2:18">
      <c r="B29" s="11" t="str">
        <f t="shared" si="1"/>
        <v>FTE-TRAELC</v>
      </c>
      <c r="C29" s="11" t="str">
        <f t="shared" si="6"/>
        <v>ELC</v>
      </c>
      <c r="D29" s="11" t="str">
        <f t="shared" si="7"/>
        <v>TRAELC</v>
      </c>
      <c r="E29" s="22"/>
      <c r="F29" s="22"/>
      <c r="G29" s="191">
        <v>1</v>
      </c>
      <c r="H29" s="179">
        <v>30</v>
      </c>
      <c r="J29" s="275"/>
      <c r="K29" s="275"/>
      <c r="L29" s="275" t="str">
        <f t="shared" si="2"/>
        <v>FTE-TRAELC</v>
      </c>
      <c r="M29" s="278" t="str">
        <f t="shared" si="3"/>
        <v>Sector Fuel Technology Existing Transport Electricity</v>
      </c>
      <c r="N29" s="275" t="str">
        <f t="shared" si="4"/>
        <v>PJ</v>
      </c>
      <c r="O29" s="275" t="str">
        <f t="shared" si="5"/>
        <v>PJa</v>
      </c>
      <c r="P29" s="275"/>
      <c r="Q29" s="275"/>
      <c r="R29" s="275"/>
    </row>
    <row r="30" spans="2:18">
      <c r="B30" s="11" t="str">
        <f t="shared" si="1"/>
        <v>FTE-TRAGAS</v>
      </c>
      <c r="C30" s="11" t="str">
        <f t="shared" si="6"/>
        <v>GAS</v>
      </c>
      <c r="D30" s="11" t="str">
        <f t="shared" si="7"/>
        <v>TRAGAS</v>
      </c>
      <c r="E30" s="22"/>
      <c r="F30" s="22"/>
      <c r="G30" s="191">
        <v>1</v>
      </c>
      <c r="H30" s="179">
        <v>30</v>
      </c>
      <c r="J30" s="275"/>
      <c r="K30" s="275"/>
      <c r="L30" s="275" t="str">
        <f t="shared" si="2"/>
        <v>FTE-TRAGAS</v>
      </c>
      <c r="M30" s="278" t="str">
        <f t="shared" si="3"/>
        <v>Sector Fuel Technology Existing Transport Natural Gas</v>
      </c>
      <c r="N30" s="275" t="str">
        <f t="shared" si="4"/>
        <v>PJ</v>
      </c>
      <c r="O30" s="275" t="str">
        <f t="shared" si="5"/>
        <v>PJa</v>
      </c>
      <c r="P30" s="275"/>
      <c r="Q30" s="275"/>
      <c r="R30" s="275"/>
    </row>
    <row r="31" spans="2:18">
      <c r="B31" s="50" t="str">
        <f>Sector_Fuels!L31</f>
        <v>FTE-ELCCOA</v>
      </c>
      <c r="C31" t="str">
        <f>RIGHT(D31,3)</f>
        <v>COA</v>
      </c>
      <c r="D31" s="50" t="str">
        <f>L13</f>
        <v>ELCCOA</v>
      </c>
      <c r="E31" s="22"/>
      <c r="F31" s="22"/>
      <c r="G31" s="191">
        <v>1</v>
      </c>
      <c r="H31" s="179">
        <v>30</v>
      </c>
      <c r="J31" s="280"/>
      <c r="K31" s="285"/>
      <c r="L31" s="275" t="str">
        <f t="shared" si="2"/>
        <v>FTE-ELCCOA</v>
      </c>
      <c r="M31" s="278" t="str">
        <f t="shared" si="3"/>
        <v>Sector Fuel Technology Existing Electricity Plants Solid Fuels</v>
      </c>
      <c r="N31" s="275" t="str">
        <f t="shared" si="4"/>
        <v>PJ</v>
      </c>
      <c r="O31" s="275" t="str">
        <f t="shared" si="5"/>
        <v>PJa</v>
      </c>
      <c r="P31" s="275"/>
      <c r="Q31" s="275"/>
      <c r="R31" s="275"/>
    </row>
    <row r="32" spans="2:18">
      <c r="B32" s="50" t="str">
        <f>Sector_Fuels!L32</f>
        <v>FTE-ELCGAS</v>
      </c>
      <c r="C32" t="str">
        <f>RIGHT(D32,3)</f>
        <v>GAS</v>
      </c>
      <c r="D32" s="50" t="str">
        <f>L14</f>
        <v>ELCGAS</v>
      </c>
      <c r="E32" s="22"/>
      <c r="F32" s="22"/>
      <c r="G32" s="191">
        <v>1</v>
      </c>
      <c r="H32" s="179">
        <v>30</v>
      </c>
      <c r="J32" s="280"/>
      <c r="K32" s="285"/>
      <c r="L32" s="275" t="str">
        <f t="shared" si="2"/>
        <v>FTE-ELCGAS</v>
      </c>
      <c r="M32" s="278" t="str">
        <f t="shared" si="3"/>
        <v>Sector Fuel Technology Existing Electricity Plants Natural Gas</v>
      </c>
      <c r="N32" s="275" t="str">
        <f t="shared" si="4"/>
        <v>PJ</v>
      </c>
      <c r="O32" s="275" t="str">
        <f t="shared" si="5"/>
        <v>PJa</v>
      </c>
      <c r="P32" s="275"/>
      <c r="Q32" s="275"/>
      <c r="R32" s="275"/>
    </row>
    <row r="33" spans="2:18">
      <c r="B33" s="50" t="str">
        <f>Sector_Fuels!L33</f>
        <v>FTE-ELCOIL</v>
      </c>
      <c r="C33" t="str">
        <f>EnergyBalance!G$2</f>
        <v>DSL</v>
      </c>
      <c r="D33" s="50" t="str">
        <f>L15</f>
        <v>ELCOIL</v>
      </c>
      <c r="E33" s="193">
        <f>-'EB2'!G$11/-SUM('EB2'!$G$11:$M$11)</f>
        <v>1</v>
      </c>
      <c r="F33" s="22"/>
      <c r="G33" s="191">
        <v>1</v>
      </c>
      <c r="H33" s="179">
        <v>30</v>
      </c>
      <c r="J33" s="285"/>
      <c r="K33" s="285"/>
      <c r="L33" s="275" t="str">
        <f t="shared" si="2"/>
        <v>FTE-ELCOIL</v>
      </c>
      <c r="M33" s="278" t="str">
        <f t="shared" si="3"/>
        <v>Sector Fuel Technology Existing Electricity Plants Crude Oil</v>
      </c>
      <c r="N33" s="275" t="str">
        <f t="shared" si="4"/>
        <v>PJ</v>
      </c>
      <c r="O33" s="275" t="str">
        <f t="shared" si="5"/>
        <v>PJa</v>
      </c>
      <c r="P33" s="275"/>
      <c r="Q33" s="275"/>
      <c r="R33" s="275"/>
    </row>
    <row r="34" spans="2:18">
      <c r="B34" s="50"/>
      <c r="C34" t="str">
        <f>EnergyBalance!I$2</f>
        <v>LPG</v>
      </c>
      <c r="D34" s="50"/>
      <c r="E34" s="193">
        <f>-'EB2'!I$11/-SUM('EB2'!$G$11:$M$11)</f>
        <v>0</v>
      </c>
      <c r="F34" s="22"/>
      <c r="G34" s="191"/>
      <c r="H34" s="179"/>
      <c r="J34" s="287"/>
      <c r="K34" s="288"/>
      <c r="L34" s="275" t="str">
        <f t="shared" si="2"/>
        <v>FTE-ELCRNW</v>
      </c>
      <c r="M34" s="278" t="str">
        <f t="shared" si="3"/>
        <v>Sector Fuel Technology Existing Electricity Plants Renewable Energies</v>
      </c>
      <c r="N34" s="275" t="str">
        <f t="shared" si="4"/>
        <v>PJ</v>
      </c>
      <c r="O34" s="275" t="str">
        <f t="shared" si="5"/>
        <v>PJa</v>
      </c>
      <c r="P34" s="275"/>
      <c r="Q34" s="275"/>
      <c r="R34" s="275"/>
    </row>
    <row r="35" spans="2:18">
      <c r="B35" s="50"/>
      <c r="C35" t="str">
        <f>EnergyBalance!L$2</f>
        <v>HFO</v>
      </c>
      <c r="D35" s="50"/>
      <c r="E35" s="193">
        <f>-'EB2'!L$11/-SUM('EB2'!$G$11:$M$11)</f>
        <v>0</v>
      </c>
      <c r="F35" s="22"/>
      <c r="G35" s="191"/>
      <c r="H35" s="179"/>
      <c r="J35" s="289"/>
      <c r="K35" s="289"/>
      <c r="L35" s="275" t="str">
        <f t="shared" si="2"/>
        <v>FTE-ELCNUC</v>
      </c>
      <c r="M35" s="278" t="str">
        <f t="shared" si="3"/>
        <v>Sector Fuel Technology Existing Electricity Plants Nuclear Energy</v>
      </c>
      <c r="N35" s="275" t="str">
        <f t="shared" si="4"/>
        <v>PJ</v>
      </c>
      <c r="O35" s="275" t="str">
        <f t="shared" si="5"/>
        <v>PJa</v>
      </c>
      <c r="P35" s="289"/>
      <c r="Q35" s="289"/>
      <c r="R35" s="275"/>
    </row>
    <row r="36" spans="2:18" ht="12" customHeight="1">
      <c r="B36" s="50"/>
      <c r="C36" t="str">
        <f>EnergyBalance!M$2</f>
        <v>OPP</v>
      </c>
      <c r="D36" s="50"/>
      <c r="E36" s="193">
        <f>-'EB2'!M$11/-SUM('EB2'!$G$11:$M$11)</f>
        <v>0</v>
      </c>
      <c r="F36" s="22"/>
      <c r="G36" s="191"/>
      <c r="H36" s="179"/>
      <c r="J36" s="9"/>
      <c r="K36" s="9"/>
      <c r="L36" s="9"/>
      <c r="M36" s="9"/>
      <c r="N36" s="9"/>
      <c r="O36" s="9"/>
      <c r="P36" s="9"/>
      <c r="Q36" s="9"/>
      <c r="R36" s="9"/>
    </row>
    <row r="37" spans="2:18">
      <c r="B37" s="56" t="str">
        <f>Sector_Fuels!L34</f>
        <v>FTE-ELCRNW</v>
      </c>
      <c r="C37" t="str">
        <f>RIGHT(D37,3)</f>
        <v>RNW</v>
      </c>
      <c r="D37" s="50" t="str">
        <f>L16</f>
        <v>ELCRNW</v>
      </c>
      <c r="E37" s="22"/>
      <c r="F37" s="22"/>
      <c r="G37" s="191">
        <v>1</v>
      </c>
      <c r="H37" s="179">
        <v>30</v>
      </c>
    </row>
    <row r="38" spans="2:18">
      <c r="B38" s="56" t="str">
        <f>Sector_Fuels!L35</f>
        <v>FTE-ELCNUC</v>
      </c>
      <c r="C38" t="str">
        <f>RIGHT(D38,3)</f>
        <v>NUC</v>
      </c>
      <c r="D38" s="50" t="str">
        <f>L17</f>
        <v>ELCNUC</v>
      </c>
      <c r="E38" s="22"/>
      <c r="F38" s="22"/>
      <c r="G38" s="191">
        <v>1</v>
      </c>
      <c r="H38" s="179">
        <v>30</v>
      </c>
    </row>
    <row r="39" spans="2:18">
      <c r="F39" s="9"/>
    </row>
    <row r="42" spans="2:18">
      <c r="B42" s="112"/>
      <c r="C42" s="1" t="s">
        <v>232</v>
      </c>
    </row>
    <row r="43" spans="2:18">
      <c r="B43" s="183"/>
      <c r="C43" s="1" t="s">
        <v>233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24"/>
  <sheetViews>
    <sheetView zoomScaleNormal="100" workbookViewId="0">
      <selection activeCell="L31" sqref="L31"/>
    </sheetView>
  </sheetViews>
  <sheetFormatPr defaultColWidth="8.88671875" defaultRowHeight="13.2"/>
  <cols>
    <col min="1" max="1" width="3" style="50" customWidth="1"/>
    <col min="2" max="2" width="16.5546875" style="50" bestFit="1" customWidth="1"/>
    <col min="3" max="3" width="10.6640625" style="50" customWidth="1"/>
    <col min="4" max="4" width="11.109375" style="50" customWidth="1"/>
    <col min="5" max="5" width="12" style="50" customWidth="1"/>
    <col min="6" max="6" width="12.109375" style="50" customWidth="1"/>
    <col min="7" max="7" width="14.109375" style="50" customWidth="1"/>
    <col min="8" max="8" width="7.88671875" style="50" bestFit="1" customWidth="1"/>
    <col min="9" max="9" width="2" style="50" bestFit="1" customWidth="1"/>
    <col min="10" max="10" width="11.88671875" customWidth="1"/>
    <col min="11" max="11" width="7.5546875" customWidth="1"/>
    <col min="12" max="12" width="13.5546875" bestFit="1" customWidth="1"/>
    <col min="13" max="13" width="20.88671875" bestFit="1" customWidth="1"/>
    <col min="14" max="14" width="6.109375" customWidth="1"/>
    <col min="15" max="15" width="10.88671875" customWidth="1"/>
    <col min="16" max="16" width="12.88671875" customWidth="1"/>
    <col min="17" max="17" width="13.6640625" customWidth="1"/>
    <col min="18" max="18" width="7.5546875" bestFit="1" customWidth="1"/>
    <col min="19" max="16384" width="8.88671875" style="50"/>
  </cols>
  <sheetData>
    <row r="1" spans="2:18" ht="14.4">
      <c r="B1" s="45" t="s">
        <v>94</v>
      </c>
      <c r="C1" s="17" t="s">
        <v>96</v>
      </c>
      <c r="D1" s="17" t="s">
        <v>154</v>
      </c>
      <c r="E1" s="45" t="s">
        <v>23</v>
      </c>
      <c r="F1" s="45" t="s">
        <v>161</v>
      </c>
      <c r="G1" s="45" t="s">
        <v>99</v>
      </c>
      <c r="H1" s="45" t="s">
        <v>127</v>
      </c>
    </row>
    <row r="2" spans="2:18" ht="15.6">
      <c r="B2" s="20" t="s">
        <v>75</v>
      </c>
      <c r="C2" s="20" t="s">
        <v>209</v>
      </c>
      <c r="D2" s="35" t="s">
        <v>209</v>
      </c>
      <c r="E2" s="20" t="str">
        <f>EnergyBalance!W2</f>
        <v>PJ</v>
      </c>
      <c r="F2" s="20" t="s">
        <v>210</v>
      </c>
      <c r="G2" s="20" t="str">
        <f>EnergyBalance!V2</f>
        <v>M€2016</v>
      </c>
      <c r="H2" s="20" t="s">
        <v>128</v>
      </c>
      <c r="J2" s="269" t="s">
        <v>14</v>
      </c>
      <c r="K2" s="269"/>
      <c r="L2" s="270"/>
      <c r="M2" s="270"/>
      <c r="N2" s="270"/>
      <c r="O2" s="270"/>
      <c r="P2" s="270"/>
      <c r="Q2" s="270"/>
      <c r="R2" s="270"/>
    </row>
    <row r="3" spans="2:18">
      <c r="J3" s="271" t="s">
        <v>7</v>
      </c>
      <c r="K3" s="272" t="s">
        <v>30</v>
      </c>
      <c r="L3" s="271" t="s">
        <v>0</v>
      </c>
      <c r="M3" s="271" t="s">
        <v>3</v>
      </c>
      <c r="N3" s="271" t="s">
        <v>4</v>
      </c>
      <c r="O3" s="271" t="s">
        <v>8</v>
      </c>
      <c r="P3" s="271" t="s">
        <v>9</v>
      </c>
      <c r="Q3" s="271" t="s">
        <v>10</v>
      </c>
      <c r="R3" s="271" t="s">
        <v>12</v>
      </c>
    </row>
    <row r="4" spans="2:18" s="52" customFormat="1" ht="22.2" thickBot="1">
      <c r="B4" s="63"/>
      <c r="C4" s="67"/>
      <c r="D4" s="67"/>
      <c r="E4" s="67"/>
      <c r="H4" s="194"/>
      <c r="J4" s="273" t="s">
        <v>40</v>
      </c>
      <c r="K4" s="273" t="s">
        <v>31</v>
      </c>
      <c r="L4" s="273" t="s">
        <v>26</v>
      </c>
      <c r="M4" s="273" t="s">
        <v>27</v>
      </c>
      <c r="N4" s="273" t="s">
        <v>4</v>
      </c>
      <c r="O4" s="273" t="s">
        <v>43</v>
      </c>
      <c r="P4" s="273" t="s">
        <v>44</v>
      </c>
      <c r="Q4" s="273" t="s">
        <v>28</v>
      </c>
      <c r="R4" s="273" t="s">
        <v>29</v>
      </c>
    </row>
    <row r="5" spans="2:18" s="52" customFormat="1" ht="15.6">
      <c r="B5" s="62"/>
      <c r="C5" s="18"/>
      <c r="D5" s="18"/>
      <c r="E5" s="18"/>
      <c r="H5" s="18"/>
      <c r="J5" s="276"/>
      <c r="K5" s="276"/>
      <c r="L5" s="276"/>
      <c r="M5" s="276"/>
      <c r="N5" s="276"/>
      <c r="O5" s="276"/>
      <c r="P5" s="276"/>
      <c r="Q5" s="276"/>
      <c r="R5" s="276"/>
    </row>
    <row r="7" spans="2:18">
      <c r="H7" s="52"/>
      <c r="J7" s="2"/>
      <c r="K7" s="2"/>
    </row>
    <row r="8" spans="2:18" ht="14.4">
      <c r="D8" s="7" t="s">
        <v>13</v>
      </c>
      <c r="E8" s="7"/>
      <c r="F8" s="7"/>
      <c r="G8" s="265"/>
      <c r="H8" s="265"/>
      <c r="I8" s="52"/>
      <c r="J8" s="269" t="s">
        <v>15</v>
      </c>
      <c r="K8" s="269"/>
      <c r="L8" s="270"/>
      <c r="M8" s="270"/>
      <c r="N8" s="270"/>
      <c r="O8" s="270"/>
      <c r="P8" s="270"/>
      <c r="Q8" s="270"/>
      <c r="R8" s="270"/>
    </row>
    <row r="9" spans="2:18" ht="25.95" customHeight="1">
      <c r="B9" s="29" t="s">
        <v>1</v>
      </c>
      <c r="C9" s="29" t="s">
        <v>5</v>
      </c>
      <c r="D9" s="29" t="s">
        <v>6</v>
      </c>
      <c r="E9" s="216" t="s">
        <v>211</v>
      </c>
      <c r="F9" s="217" t="s">
        <v>109</v>
      </c>
      <c r="G9" s="217" t="s">
        <v>101</v>
      </c>
      <c r="H9" s="266"/>
      <c r="I9" s="58"/>
      <c r="J9" s="271" t="s">
        <v>11</v>
      </c>
      <c r="K9" s="272" t="s">
        <v>30</v>
      </c>
      <c r="L9" s="271" t="s">
        <v>1</v>
      </c>
      <c r="M9" s="271" t="s">
        <v>2</v>
      </c>
      <c r="N9" s="271" t="s">
        <v>16</v>
      </c>
      <c r="O9" s="271" t="s">
        <v>17</v>
      </c>
      <c r="P9" s="271" t="s">
        <v>18</v>
      </c>
      <c r="Q9" s="271" t="s">
        <v>19</v>
      </c>
      <c r="R9" s="271" t="s">
        <v>20</v>
      </c>
    </row>
    <row r="10" spans="2:18" ht="21.6" thickBot="1">
      <c r="B10" s="27" t="s">
        <v>42</v>
      </c>
      <c r="C10" s="27" t="s">
        <v>32</v>
      </c>
      <c r="D10" s="27" t="s">
        <v>33</v>
      </c>
      <c r="E10" s="27" t="s">
        <v>212</v>
      </c>
      <c r="F10" s="27" t="s">
        <v>114</v>
      </c>
      <c r="G10" s="27" t="s">
        <v>213</v>
      </c>
      <c r="H10" s="267"/>
      <c r="I10" s="52"/>
      <c r="J10" s="273" t="s">
        <v>41</v>
      </c>
      <c r="K10" s="273" t="s">
        <v>31</v>
      </c>
      <c r="L10" s="273" t="s">
        <v>21</v>
      </c>
      <c r="M10" s="273" t="s">
        <v>22</v>
      </c>
      <c r="N10" s="273" t="s">
        <v>23</v>
      </c>
      <c r="O10" s="273" t="s">
        <v>24</v>
      </c>
      <c r="P10" s="273" t="s">
        <v>46</v>
      </c>
      <c r="Q10" s="273" t="s">
        <v>45</v>
      </c>
      <c r="R10" s="273" t="s">
        <v>25</v>
      </c>
    </row>
    <row r="11" spans="2:18" ht="13.8" thickBot="1">
      <c r="B11" s="93" t="s">
        <v>115</v>
      </c>
      <c r="C11" s="93"/>
      <c r="D11" s="93"/>
      <c r="E11" s="24" t="str">
        <f>$F$2</f>
        <v>Pja</v>
      </c>
      <c r="F11" s="24"/>
      <c r="G11" s="24"/>
      <c r="H11" s="268"/>
      <c r="I11" s="52"/>
      <c r="J11" s="273" t="s">
        <v>104</v>
      </c>
      <c r="K11" s="273"/>
      <c r="L11" s="273"/>
      <c r="M11" s="273"/>
      <c r="N11" s="273"/>
      <c r="O11" s="273"/>
      <c r="P11" s="273"/>
      <c r="Q11" s="273"/>
      <c r="R11" s="273"/>
    </row>
    <row r="12" spans="2:18">
      <c r="B12" s="50" t="str">
        <f>L12</f>
        <v>REFEOIL00</v>
      </c>
      <c r="C12" s="50" t="str">
        <f>EnergyBalance!F2</f>
        <v>OIL</v>
      </c>
      <c r="D12" s="50" t="str">
        <f>EnergyBalance!G2</f>
        <v>DSL</v>
      </c>
      <c r="E12" s="193">
        <f>'EB2'!G$13/SUM('EB1'!$G$13:$M$13)</f>
        <v>0.89967004935396222</v>
      </c>
      <c r="F12" s="185">
        <f>-SUM('EB2'!F13)/SUM('EB2'!G13:M13)</f>
        <v>1.0423152791311168</v>
      </c>
      <c r="G12" s="182">
        <f>SUM('EB2'!G13:M13)</f>
        <v>11.781560000000001</v>
      </c>
      <c r="H12" s="23"/>
      <c r="I12" s="52"/>
      <c r="J12" s="274" t="s">
        <v>152</v>
      </c>
      <c r="K12" s="275"/>
      <c r="L12" s="275" t="str">
        <f>$B$2&amp;$H$2&amp;EnergyBalance!F2&amp;"00"</f>
        <v>REFEOIL00</v>
      </c>
      <c r="M12" s="278" t="str">
        <f>$D$2&amp;" "&amp;$H$1&amp;RIGHT(L12,2)</f>
        <v>Refinery Existing00</v>
      </c>
      <c r="N12" s="275" t="str">
        <f>$E$2</f>
        <v>PJ</v>
      </c>
      <c r="O12" s="275" t="str">
        <f>$F$2</f>
        <v>Pja</v>
      </c>
      <c r="P12" s="274"/>
      <c r="Q12" s="274" t="s">
        <v>214</v>
      </c>
      <c r="R12" s="275"/>
    </row>
    <row r="13" spans="2:18">
      <c r="D13" s="50" t="str">
        <f>EnergyBalance!H2</f>
        <v>KER</v>
      </c>
      <c r="E13" s="193">
        <f>'EB2'!H$13/SUM('EB1'!$G$13:$M$13)</f>
        <v>0</v>
      </c>
      <c r="F13" s="60"/>
      <c r="H13" s="52"/>
      <c r="I13" s="52"/>
      <c r="J13" s="9"/>
      <c r="K13" s="9"/>
      <c r="L13" s="9"/>
      <c r="M13" s="36"/>
      <c r="N13" s="9"/>
      <c r="O13" s="9"/>
      <c r="P13" s="9"/>
      <c r="Q13" s="9"/>
      <c r="R13" s="9"/>
    </row>
    <row r="14" spans="2:18">
      <c r="B14" s="54"/>
      <c r="C14" s="54"/>
      <c r="D14" s="54" t="str">
        <f>EnergyBalance!I2</f>
        <v>LPG</v>
      </c>
      <c r="E14" s="193">
        <f>'EB2'!I$13/SUM('EB1'!$G$13:$M$13)</f>
        <v>2.901624798979649E-2</v>
      </c>
      <c r="F14" s="79"/>
      <c r="G14" s="54"/>
      <c r="H14" s="54"/>
      <c r="I14" s="52"/>
      <c r="J14" s="9"/>
      <c r="K14" s="9"/>
      <c r="L14" s="9"/>
      <c r="M14" s="36"/>
      <c r="N14" s="9"/>
      <c r="O14" s="9"/>
      <c r="P14" s="9"/>
      <c r="Q14" s="9"/>
      <c r="R14" s="9"/>
    </row>
    <row r="15" spans="2:18">
      <c r="B15" s="54"/>
      <c r="C15" s="54"/>
      <c r="D15" s="54" t="str">
        <f>EnergyBalance!J2</f>
        <v>GSL</v>
      </c>
      <c r="E15" s="193">
        <f>'EB2'!J$13/SUM('EB1'!$G$13:$M$13)</f>
        <v>0.88806632285254816</v>
      </c>
      <c r="F15" s="79"/>
      <c r="G15" s="54"/>
      <c r="H15" s="54"/>
      <c r="I15" s="54"/>
      <c r="J15" s="9"/>
      <c r="K15" s="9"/>
      <c r="L15" s="9"/>
      <c r="M15" s="36"/>
      <c r="N15" s="9"/>
      <c r="O15" s="9"/>
      <c r="P15" s="9"/>
      <c r="Q15" s="9"/>
      <c r="R15" s="9"/>
    </row>
    <row r="16" spans="2:18">
      <c r="B16" s="54"/>
      <c r="C16" s="54"/>
      <c r="D16" s="54" t="str">
        <f>EnergyBalance!K2</f>
        <v>NAP</v>
      </c>
      <c r="E16" s="193">
        <f>'EB2'!K$13/SUM('EB1'!$G$13:$M$13)</f>
        <v>0</v>
      </c>
      <c r="F16" s="79"/>
      <c r="G16" s="54"/>
      <c r="H16" s="54"/>
      <c r="I16" s="54"/>
      <c r="J16" s="9"/>
      <c r="K16" s="9"/>
      <c r="L16" s="9"/>
      <c r="M16" s="36"/>
      <c r="N16" s="9"/>
      <c r="O16" s="9"/>
      <c r="P16" s="16"/>
      <c r="Q16" s="9"/>
      <c r="R16" s="9"/>
    </row>
    <row r="17" spans="2:18">
      <c r="B17" s="54"/>
      <c r="C17" s="54"/>
      <c r="D17" s="54" t="str">
        <f>EnergyBalance!L2</f>
        <v>HFO</v>
      </c>
      <c r="E17" s="193">
        <f>'EB2'!L$13/SUM('EB1'!$G$13:$M$13)</f>
        <v>0.43531303720956033</v>
      </c>
      <c r="F17" s="79"/>
      <c r="G17" s="54"/>
      <c r="H17" s="54"/>
      <c r="I17" s="54"/>
      <c r="J17" s="9"/>
      <c r="K17" s="9"/>
      <c r="L17" s="9"/>
      <c r="M17" s="9"/>
      <c r="N17" s="9"/>
      <c r="O17" s="9"/>
      <c r="P17" s="16"/>
      <c r="Q17" s="9"/>
      <c r="R17" s="9"/>
    </row>
    <row r="18" spans="2:18">
      <c r="B18" s="54"/>
      <c r="C18" s="54"/>
      <c r="D18" s="54" t="str">
        <f>EnergyBalance!M2</f>
        <v>OPP</v>
      </c>
      <c r="E18" s="193">
        <f>'EB2'!M$13/SUM('EB1'!$G$13:$M$13)</f>
        <v>8.126767592746631E-2</v>
      </c>
      <c r="F18" s="79"/>
      <c r="G18" s="80"/>
      <c r="H18" s="80"/>
      <c r="I18" s="54"/>
      <c r="J18" s="9"/>
      <c r="K18" s="9"/>
      <c r="L18" s="9"/>
      <c r="M18" s="9"/>
      <c r="N18" s="9"/>
      <c r="O18" s="9"/>
      <c r="P18" s="9"/>
      <c r="Q18" s="9"/>
      <c r="R18" s="9"/>
    </row>
    <row r="19" spans="2:18">
      <c r="B19" s="54"/>
      <c r="C19" s="54"/>
      <c r="D19" s="54"/>
      <c r="E19" s="80"/>
      <c r="F19" s="54"/>
      <c r="G19" s="54"/>
      <c r="H19" s="54"/>
      <c r="I19" s="54"/>
      <c r="J19" s="9"/>
      <c r="K19" s="9"/>
      <c r="L19" s="9"/>
      <c r="M19" s="9"/>
      <c r="N19" s="9"/>
      <c r="O19" s="9"/>
      <c r="P19" s="9"/>
      <c r="Q19" s="9"/>
      <c r="R19" s="9"/>
    </row>
    <row r="20" spans="2:18">
      <c r="E20" s="81"/>
      <c r="I20" s="54"/>
      <c r="J20" s="9"/>
      <c r="K20" s="9"/>
      <c r="L20" s="9"/>
      <c r="M20" s="9"/>
      <c r="N20" s="9"/>
      <c r="O20" s="9"/>
      <c r="P20" s="9"/>
      <c r="Q20" s="9"/>
      <c r="R20" s="9"/>
    </row>
    <row r="23" spans="2:18">
      <c r="B23" s="112"/>
      <c r="C23" s="1" t="s">
        <v>232</v>
      </c>
    </row>
    <row r="24" spans="2:18">
      <c r="B24" s="183"/>
      <c r="C24" s="1" t="s">
        <v>233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26"/>
  <sheetViews>
    <sheetView topLeftCell="H1" zoomScale="90" zoomScaleNormal="90" workbookViewId="0">
      <selection activeCell="I23" sqref="I23"/>
    </sheetView>
  </sheetViews>
  <sheetFormatPr defaultColWidth="8.88671875" defaultRowHeight="13.2"/>
  <cols>
    <col min="1" max="1" width="3" style="50" customWidth="1"/>
    <col min="2" max="2" width="16.44140625" style="50" customWidth="1"/>
    <col min="3" max="3" width="12.109375" style="50" bestFit="1" customWidth="1"/>
    <col min="4" max="4" width="11.33203125" style="50" bestFit="1" customWidth="1"/>
    <col min="5" max="5" width="13.88671875" style="50" customWidth="1"/>
    <col min="6" max="6" width="13.6640625" style="50" customWidth="1"/>
    <col min="7" max="7" width="8.6640625" style="50" customWidth="1"/>
    <col min="8" max="8" width="7.109375" style="50" bestFit="1" customWidth="1"/>
    <col min="9" max="9" width="9.6640625" style="50" customWidth="1"/>
    <col min="10" max="10" width="9.5546875" style="50" customWidth="1"/>
    <col min="11" max="11" width="9.33203125" style="50" customWidth="1"/>
    <col min="12" max="12" width="7.88671875" style="50" customWidth="1"/>
    <col min="13" max="13" width="13.88671875" style="50" customWidth="1"/>
    <col min="14" max="14" width="14.5546875" style="50" customWidth="1"/>
    <col min="15" max="15" width="12" style="50" customWidth="1"/>
    <col min="16" max="16" width="2" style="50" bestFit="1" customWidth="1"/>
    <col min="17" max="17" width="13.5546875" style="50" bestFit="1" customWidth="1"/>
    <col min="18" max="18" width="2" style="54" bestFit="1" customWidth="1"/>
    <col min="19" max="19" width="12.6640625" bestFit="1" customWidth="1"/>
    <col min="20" max="20" width="7.44140625" bestFit="1" customWidth="1"/>
    <col min="21" max="21" width="14.5546875" bestFit="1" customWidth="1"/>
    <col min="22" max="22" width="43.33203125" bestFit="1" customWidth="1"/>
    <col min="23" max="23" width="6.33203125" customWidth="1"/>
    <col min="24" max="24" width="11.44140625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50"/>
  </cols>
  <sheetData>
    <row r="1" spans="2:27" ht="28.8">
      <c r="B1" s="45" t="s">
        <v>94</v>
      </c>
      <c r="C1" s="17" t="s">
        <v>96</v>
      </c>
      <c r="D1" s="17" t="s">
        <v>154</v>
      </c>
      <c r="E1" s="45" t="s">
        <v>23</v>
      </c>
      <c r="F1" s="45" t="s">
        <v>161</v>
      </c>
      <c r="G1" s="45" t="s">
        <v>99</v>
      </c>
      <c r="I1" s="45" t="s">
        <v>127</v>
      </c>
      <c r="J1" s="194"/>
    </row>
    <row r="2" spans="2:27" ht="31.2">
      <c r="B2" s="20" t="str">
        <f>EnergyBalance!B11</f>
        <v>ELC</v>
      </c>
      <c r="C2" s="35" t="str">
        <f>EnergyBalance!C11</f>
        <v>Electricity Plants</v>
      </c>
      <c r="D2" s="35" t="s">
        <v>162</v>
      </c>
      <c r="E2" s="20" t="str">
        <f>EnergyBalance!W2</f>
        <v>PJ</v>
      </c>
      <c r="F2" s="20" t="s">
        <v>163</v>
      </c>
      <c r="G2" s="20" t="str">
        <f>EnergyBalance!V2</f>
        <v>M€2016</v>
      </c>
      <c r="I2" s="20" t="s">
        <v>128</v>
      </c>
      <c r="J2" s="18"/>
      <c r="S2" s="269" t="s">
        <v>14</v>
      </c>
      <c r="T2" s="269"/>
      <c r="U2" s="270"/>
      <c r="V2" s="270"/>
      <c r="W2" s="270"/>
      <c r="X2" s="270"/>
      <c r="Y2" s="270"/>
      <c r="Z2" s="270"/>
      <c r="AA2" s="270"/>
    </row>
    <row r="3" spans="2:27">
      <c r="S3" s="271" t="s">
        <v>7</v>
      </c>
      <c r="T3" s="272" t="s">
        <v>30</v>
      </c>
      <c r="U3" s="271" t="s">
        <v>0</v>
      </c>
      <c r="V3" s="271" t="s">
        <v>3</v>
      </c>
      <c r="W3" s="271" t="s">
        <v>4</v>
      </c>
      <c r="X3" s="271" t="s">
        <v>8</v>
      </c>
      <c r="Y3" s="271" t="s">
        <v>9</v>
      </c>
      <c r="Z3" s="271" t="s">
        <v>10</v>
      </c>
      <c r="AA3" s="271" t="s">
        <v>12</v>
      </c>
    </row>
    <row r="4" spans="2:27" s="52" customFormat="1" ht="22.2" thickBot="1">
      <c r="B4" s="63" t="s">
        <v>169</v>
      </c>
      <c r="C4" s="17" t="s">
        <v>176</v>
      </c>
      <c r="D4" s="17" t="s">
        <v>170</v>
      </c>
      <c r="E4" s="17" t="s">
        <v>171</v>
      </c>
      <c r="F4" s="17" t="s">
        <v>192</v>
      </c>
      <c r="H4" s="18"/>
      <c r="R4" s="54"/>
      <c r="S4" s="273" t="s">
        <v>40</v>
      </c>
      <c r="T4" s="273" t="s">
        <v>31</v>
      </c>
      <c r="U4" s="273" t="s">
        <v>26</v>
      </c>
      <c r="V4" s="273" t="s">
        <v>27</v>
      </c>
      <c r="W4" s="273" t="s">
        <v>4</v>
      </c>
      <c r="X4" s="273" t="s">
        <v>43</v>
      </c>
      <c r="Y4" s="273" t="s">
        <v>44</v>
      </c>
      <c r="Z4" s="273" t="s">
        <v>28</v>
      </c>
      <c r="AA4" s="273" t="s">
        <v>29</v>
      </c>
    </row>
    <row r="5" spans="2:27" s="52" customFormat="1" ht="15.6">
      <c r="B5" s="62" t="s">
        <v>175</v>
      </c>
      <c r="C5" s="20" t="s">
        <v>174</v>
      </c>
      <c r="D5" s="20" t="s">
        <v>173</v>
      </c>
      <c r="E5" s="20" t="s">
        <v>172</v>
      </c>
      <c r="F5" s="20" t="s">
        <v>130</v>
      </c>
      <c r="H5" s="18"/>
      <c r="R5" s="54"/>
      <c r="S5" s="274" t="s">
        <v>93</v>
      </c>
      <c r="T5" s="275"/>
      <c r="U5" s="274" t="str">
        <f>EnergyBalance!$R$2</f>
        <v>ELC</v>
      </c>
      <c r="V5" s="274" t="str">
        <f>EnergyBalance!$R$3</f>
        <v>Electricity</v>
      </c>
      <c r="W5" s="274" t="str">
        <f>$E$2</f>
        <v>PJ</v>
      </c>
      <c r="X5" s="274"/>
      <c r="Y5" s="274" t="s">
        <v>185</v>
      </c>
      <c r="Z5" s="274"/>
      <c r="AA5" s="274" t="s">
        <v>54</v>
      </c>
    </row>
    <row r="6" spans="2:27">
      <c r="S6" s="276" t="s">
        <v>145</v>
      </c>
      <c r="T6" s="276"/>
      <c r="U6" s="276" t="str">
        <f>$B$2&amp;EnergyBalance!$C$52</f>
        <v>ELCCO2</v>
      </c>
      <c r="V6" s="276" t="str">
        <f>$C$2&amp;" "&amp;EnergyBalance!$C$53</f>
        <v>Electricity Plants Carbon dioxide</v>
      </c>
      <c r="W6" s="276" t="str">
        <f>EnergyBalance!$X$2</f>
        <v>kt</v>
      </c>
      <c r="X6" s="276"/>
      <c r="Y6" s="276"/>
      <c r="Z6" s="276"/>
      <c r="AA6" s="276"/>
    </row>
    <row r="7" spans="2:27">
      <c r="S7" s="2"/>
      <c r="T7" s="2"/>
    </row>
    <row r="8" spans="2:27">
      <c r="D8" s="7" t="s">
        <v>13</v>
      </c>
      <c r="E8" s="7"/>
      <c r="F8" s="7"/>
      <c r="G8" s="7"/>
      <c r="I8" s="7"/>
      <c r="J8" s="8"/>
      <c r="K8" s="8"/>
      <c r="L8" s="6"/>
      <c r="P8" s="52"/>
      <c r="S8" s="269" t="s">
        <v>15</v>
      </c>
      <c r="T8" s="269"/>
      <c r="U8" s="270"/>
      <c r="V8" s="270"/>
      <c r="W8" s="270"/>
      <c r="X8" s="270"/>
      <c r="Y8" s="270"/>
      <c r="Z8" s="270"/>
      <c r="AA8" s="270"/>
    </row>
    <row r="9" spans="2:27" ht="12.75" customHeight="1">
      <c r="B9" s="30" t="s">
        <v>1</v>
      </c>
      <c r="C9" s="30" t="s">
        <v>5</v>
      </c>
      <c r="D9" s="30" t="s">
        <v>6</v>
      </c>
      <c r="E9" s="216" t="s">
        <v>193</v>
      </c>
      <c r="F9" s="216" t="s">
        <v>243</v>
      </c>
      <c r="G9" s="216" t="s">
        <v>109</v>
      </c>
      <c r="H9" s="216" t="s">
        <v>125</v>
      </c>
      <c r="I9" s="216" t="s">
        <v>107</v>
      </c>
      <c r="J9" s="216" t="s">
        <v>108</v>
      </c>
      <c r="K9" s="216" t="s">
        <v>165</v>
      </c>
      <c r="L9" s="216" t="s">
        <v>102</v>
      </c>
      <c r="M9" s="216" t="s">
        <v>131</v>
      </c>
      <c r="N9" s="216" t="s">
        <v>260</v>
      </c>
      <c r="O9" s="216" t="s">
        <v>187</v>
      </c>
      <c r="P9" s="58"/>
      <c r="Q9" s="251" t="s">
        <v>177</v>
      </c>
      <c r="R9" s="70"/>
      <c r="S9" s="271" t="s">
        <v>11</v>
      </c>
      <c r="T9" s="272" t="s">
        <v>30</v>
      </c>
      <c r="U9" s="271" t="s">
        <v>1</v>
      </c>
      <c r="V9" s="271" t="s">
        <v>2</v>
      </c>
      <c r="W9" s="271" t="s">
        <v>16</v>
      </c>
      <c r="X9" s="271" t="s">
        <v>17</v>
      </c>
      <c r="Y9" s="271" t="s">
        <v>18</v>
      </c>
      <c r="Z9" s="271" t="s">
        <v>19</v>
      </c>
      <c r="AA9" s="271" t="s">
        <v>20</v>
      </c>
    </row>
    <row r="10" spans="2:27" ht="21.6" thickBot="1">
      <c r="B10" s="27" t="s">
        <v>42</v>
      </c>
      <c r="C10" s="27" t="s">
        <v>32</v>
      </c>
      <c r="D10" s="27" t="s">
        <v>33</v>
      </c>
      <c r="E10" s="215" t="s">
        <v>34</v>
      </c>
      <c r="F10" s="218" t="s">
        <v>189</v>
      </c>
      <c r="G10" s="27" t="s">
        <v>114</v>
      </c>
      <c r="H10" s="250" t="s">
        <v>126</v>
      </c>
      <c r="I10" s="27" t="s">
        <v>123</v>
      </c>
      <c r="J10" s="27" t="s">
        <v>122</v>
      </c>
      <c r="K10" s="27" t="s">
        <v>167</v>
      </c>
      <c r="L10" s="27" t="s">
        <v>261</v>
      </c>
      <c r="M10" s="27" t="s">
        <v>144</v>
      </c>
      <c r="N10" s="27" t="s">
        <v>168</v>
      </c>
      <c r="O10" s="27" t="s">
        <v>188</v>
      </c>
      <c r="P10" s="52"/>
      <c r="Q10" s="73" t="s">
        <v>166</v>
      </c>
      <c r="R10" s="71"/>
      <c r="S10" s="273" t="s">
        <v>41</v>
      </c>
      <c r="T10" s="273" t="s">
        <v>31</v>
      </c>
      <c r="U10" s="273" t="s">
        <v>21</v>
      </c>
      <c r="V10" s="273" t="s">
        <v>22</v>
      </c>
      <c r="W10" s="273" t="s">
        <v>23</v>
      </c>
      <c r="X10" s="273" t="s">
        <v>24</v>
      </c>
      <c r="Y10" s="273" t="s">
        <v>46</v>
      </c>
      <c r="Z10" s="273" t="s">
        <v>45</v>
      </c>
      <c r="AA10" s="273" t="s">
        <v>25</v>
      </c>
    </row>
    <row r="11" spans="2:27" ht="13.8" thickBot="1">
      <c r="B11" s="93" t="s">
        <v>115</v>
      </c>
      <c r="C11" s="93"/>
      <c r="D11" s="93"/>
      <c r="E11" s="24" t="str">
        <f>$F$2</f>
        <v>GW</v>
      </c>
      <c r="F11" s="220" t="str">
        <f>$F$2</f>
        <v>GW</v>
      </c>
      <c r="G11" s="24"/>
      <c r="H11" s="220"/>
      <c r="I11" s="24" t="str">
        <f>$G$2&amp;"/"&amp;$F$2</f>
        <v>M€2016/GW</v>
      </c>
      <c r="J11" s="24" t="str">
        <f>$G$2&amp;"/"&amp;F2</f>
        <v>M€2016/GW</v>
      </c>
      <c r="K11" s="24" t="str">
        <f>$G$2&amp;"/"&amp;$E$2</f>
        <v>M€2016/PJ</v>
      </c>
      <c r="L11" s="24" t="s">
        <v>116</v>
      </c>
      <c r="M11" s="24" t="str">
        <f>EnergyBalance!$X$2</f>
        <v>kt</v>
      </c>
      <c r="N11" s="24" t="str">
        <f>$E$2&amp;"/"&amp;$F$2</f>
        <v>PJ/GW</v>
      </c>
      <c r="O11" s="24"/>
      <c r="P11" s="52"/>
      <c r="Q11" s="68" t="s">
        <v>191</v>
      </c>
      <c r="R11" s="71"/>
      <c r="S11" s="273" t="s">
        <v>104</v>
      </c>
      <c r="T11" s="273"/>
      <c r="U11" s="273"/>
      <c r="V11" s="273"/>
      <c r="W11" s="273"/>
      <c r="X11" s="273"/>
      <c r="Y11" s="273"/>
      <c r="Z11" s="273"/>
      <c r="AA11" s="273"/>
    </row>
    <row r="12" spans="2:27">
      <c r="B12" s="50" t="str">
        <f>U12</f>
        <v>ELCTECOA00</v>
      </c>
      <c r="C12" s="50" t="str">
        <f>$B$2&amp;RIGHT(Sector_Fuels!$L$13,3)</f>
        <v>ELCCOA</v>
      </c>
      <c r="D12" s="50" t="str">
        <f>$U$5</f>
        <v>ELC</v>
      </c>
      <c r="E12" s="184">
        <f>(-'EB2'!$D$11*$G$12)/($H$12*$N$12)</f>
        <v>0</v>
      </c>
      <c r="F12" s="184"/>
      <c r="G12" s="333">
        <v>0.3</v>
      </c>
      <c r="H12" s="197">
        <v>0.85</v>
      </c>
      <c r="I12" s="196"/>
      <c r="J12" s="197">
        <v>40</v>
      </c>
      <c r="K12" s="197">
        <v>0.5</v>
      </c>
      <c r="L12" s="196">
        <v>30</v>
      </c>
      <c r="M12"/>
      <c r="N12" s="252">
        <v>31.536000000000001</v>
      </c>
      <c r="O12" s="197">
        <v>1</v>
      </c>
      <c r="P12" s="52"/>
      <c r="Q12" s="69">
        <f>E12*$H12*$N12</f>
        <v>0</v>
      </c>
      <c r="R12" s="71"/>
      <c r="S12" s="275" t="s">
        <v>164</v>
      </c>
      <c r="T12" s="275"/>
      <c r="U12" s="275" t="str">
        <f>$B$2&amp;$C$5&amp;$I$2&amp;RIGHT(Sector_Fuels!$L$13,3)&amp;"00"</f>
        <v>ELCTECOA00</v>
      </c>
      <c r="V12" s="278" t="str">
        <f>$D$2&amp;" "&amp;$I$1&amp;RIGHT(U12,2)&amp;" - "&amp;EnergyBalance!D3</f>
        <v>Power Plants Existing00 - Solid Fuels</v>
      </c>
      <c r="W12" s="275" t="str">
        <f>$E$2</f>
        <v>PJ</v>
      </c>
      <c r="X12" s="275" t="str">
        <f>$F$2</f>
        <v>GW</v>
      </c>
      <c r="Y12" s="274" t="s">
        <v>186</v>
      </c>
      <c r="Z12" s="275"/>
      <c r="AA12" s="275"/>
    </row>
    <row r="13" spans="2:27">
      <c r="D13" s="50" t="str">
        <f>$U$6</f>
        <v>ELCCO2</v>
      </c>
      <c r="E13" s="184"/>
      <c r="F13" s="184"/>
      <c r="G13" s="333"/>
      <c r="H13" s="197"/>
      <c r="I13" s="196"/>
      <c r="J13" s="197"/>
      <c r="K13" s="197"/>
      <c r="L13" s="196"/>
      <c r="M13" s="253">
        <f>99.8/G12</f>
        <v>332.66666666666669</v>
      </c>
      <c r="N13"/>
      <c r="O13" s="60"/>
      <c r="P13" s="52"/>
      <c r="Q13" s="69"/>
      <c r="R13" s="72"/>
      <c r="S13" s="275"/>
      <c r="T13" s="275"/>
      <c r="U13" s="275" t="str">
        <f>$B$2&amp;$C$5&amp;$I$2&amp;RIGHT(Sector_Fuels!$L$14,3)&amp;"00"</f>
        <v>ELCTEGAS00</v>
      </c>
      <c r="V13" s="278" t="str">
        <f>$D$2&amp;" "&amp;$I$1&amp;RIGHT(U13,2)&amp;" - "&amp;EnergyBalance!E3</f>
        <v>Power Plants Existing00 - Natural Gas</v>
      </c>
      <c r="W13" s="275" t="str">
        <f>$E$2</f>
        <v>PJ</v>
      </c>
      <c r="X13" s="275" t="str">
        <f>$F$2</f>
        <v>GW</v>
      </c>
      <c r="Y13" s="275"/>
      <c r="Z13" s="275"/>
      <c r="AA13" s="275"/>
    </row>
    <row r="14" spans="2:27">
      <c r="B14" s="50" t="str">
        <f>U13</f>
        <v>ELCTEGAS00</v>
      </c>
      <c r="C14" s="50" t="str">
        <f>$B$2&amp;RIGHT(Sector_Fuels!$L$14,3)</f>
        <v>ELCGAS</v>
      </c>
      <c r="D14" s="50" t="str">
        <f>$U$5</f>
        <v>ELC</v>
      </c>
      <c r="E14" s="184">
        <f>(-'EB2'!$E$11*$G$14)/($H$14*$N$14)</f>
        <v>1.492406810517205</v>
      </c>
      <c r="F14" s="184"/>
      <c r="G14" s="333">
        <v>0.35</v>
      </c>
      <c r="H14" s="197">
        <v>0.85</v>
      </c>
      <c r="I14" s="196"/>
      <c r="J14" s="197">
        <v>35</v>
      </c>
      <c r="K14" s="197">
        <v>0.4</v>
      </c>
      <c r="L14" s="196">
        <v>20</v>
      </c>
      <c r="M14" s="59"/>
      <c r="N14" s="252">
        <v>31.536000000000001</v>
      </c>
      <c r="O14" s="197">
        <v>1</v>
      </c>
      <c r="P14" s="52"/>
      <c r="Q14" s="69">
        <f>E14*$H14*$N14</f>
        <v>40.004859999999994</v>
      </c>
      <c r="R14" s="72"/>
      <c r="S14" s="275"/>
      <c r="T14" s="275"/>
      <c r="U14" s="275" t="str">
        <f>$B$2&amp;$C$5&amp;$I$2&amp;RIGHT(Sector_Fuels!$L$15,3)&amp;"00"</f>
        <v>ELCTEOIL00</v>
      </c>
      <c r="V14" s="278" t="str">
        <f>$D$2&amp;" "&amp;$I$1&amp;RIGHT(U14,2)&amp;" - "&amp;EnergyBalance!F3</f>
        <v>Power Plants Existing00 - Crude Oil</v>
      </c>
      <c r="W14" s="275" t="str">
        <f>$E$2</f>
        <v>PJ</v>
      </c>
      <c r="X14" s="275" t="str">
        <f>$F$2</f>
        <v>GW</v>
      </c>
      <c r="Y14" s="275"/>
      <c r="Z14" s="275"/>
      <c r="AA14" s="275"/>
    </row>
    <row r="15" spans="2:27">
      <c r="D15" s="50" t="str">
        <f>$U$6</f>
        <v>ELCCO2</v>
      </c>
      <c r="E15" s="184"/>
      <c r="F15" s="184"/>
      <c r="G15" s="333"/>
      <c r="H15" s="197"/>
      <c r="I15" s="196"/>
      <c r="J15" s="197"/>
      <c r="K15" s="197"/>
      <c r="L15" s="196"/>
      <c r="M15" s="253">
        <f>56.1/G14</f>
        <v>160.28571428571431</v>
      </c>
      <c r="N15"/>
      <c r="O15" s="60"/>
      <c r="P15" s="52"/>
      <c r="Q15" s="69"/>
      <c r="R15" s="72"/>
      <c r="S15" s="275"/>
      <c r="T15" s="275"/>
      <c r="U15" s="275" t="str">
        <f>$B$2&amp;$E$5&amp;$I$2&amp;RIGHT(Sector_Fuels!$L$16,3)&amp;"00"</f>
        <v>ELCRERNW00</v>
      </c>
      <c r="V15" s="290" t="str">
        <f>$D$2&amp;" "&amp;$I$1&amp;RIGHT(U15,2)&amp;" - "&amp;EnergyBalance!O3</f>
        <v>Power Plants Existing00 - Renewable Energies</v>
      </c>
      <c r="W15" s="275" t="str">
        <f>$E$2</f>
        <v>PJ</v>
      </c>
      <c r="X15" s="275" t="str">
        <f>$F$2</f>
        <v>GW</v>
      </c>
      <c r="Y15" s="275"/>
      <c r="Z15" s="275"/>
      <c r="AA15" s="275"/>
    </row>
    <row r="16" spans="2:27">
      <c r="B16" s="50" t="str">
        <f>U14</f>
        <v>ELCTEOIL00</v>
      </c>
      <c r="C16" s="50" t="str">
        <f>$B$2&amp;RIGHT(Sector_Fuels!$L$15,3)</f>
        <v>ELCOIL</v>
      </c>
      <c r="D16" s="50" t="str">
        <f>$U$5</f>
        <v>ELC</v>
      </c>
      <c r="E16" s="184">
        <f>((-SUM('EB2'!G11:M11)*$G$16)/($H$16*$N$16))</f>
        <v>6.2320932939385803E-3</v>
      </c>
      <c r="F16" s="184"/>
      <c r="G16" s="333">
        <v>0.3</v>
      </c>
      <c r="H16" s="254">
        <v>0.85</v>
      </c>
      <c r="I16" s="199"/>
      <c r="J16" s="254">
        <v>20</v>
      </c>
      <c r="K16" s="254">
        <v>0.2</v>
      </c>
      <c r="L16" s="199">
        <v>30</v>
      </c>
      <c r="M16" s="59"/>
      <c r="N16" s="252">
        <v>31.536000000000001</v>
      </c>
      <c r="O16" s="197">
        <v>1</v>
      </c>
      <c r="P16" s="52"/>
      <c r="Q16" s="69">
        <f>E16*$H16*$N16</f>
        <v>0.16705500000000001</v>
      </c>
      <c r="R16" s="72"/>
      <c r="S16" s="275"/>
      <c r="T16" s="275"/>
      <c r="U16" s="275" t="str">
        <f>$B$2&amp;$F$5&amp;$I$2&amp;RIGHT(Sector_Fuels!$L$17,3)&amp;"00"</f>
        <v>ELCNENUC00</v>
      </c>
      <c r="V16" s="290" t="str">
        <f>$D$2&amp;" "&amp;$I$1&amp;RIGHT(U16,2)&amp;" - "&amp;EnergyBalance!O3</f>
        <v>Power Plants Existing00 - Renewable Energies</v>
      </c>
      <c r="W16" s="275" t="str">
        <f>$E$2</f>
        <v>PJ</v>
      </c>
      <c r="X16" s="275" t="str">
        <f>$F$2</f>
        <v>GW</v>
      </c>
      <c r="Y16" s="274" t="s">
        <v>186</v>
      </c>
      <c r="Z16" s="275"/>
      <c r="AA16" s="275"/>
    </row>
    <row r="17" spans="2:27">
      <c r="D17" s="50" t="str">
        <f>$U$6</f>
        <v>ELCCO2</v>
      </c>
      <c r="E17" s="184"/>
      <c r="F17" s="184"/>
      <c r="G17" s="333"/>
      <c r="H17" s="254"/>
      <c r="I17" s="199"/>
      <c r="J17" s="254"/>
      <c r="K17" s="254"/>
      <c r="L17" s="199"/>
      <c r="M17" s="253">
        <f>76.4/G16</f>
        <v>254.66666666666669</v>
      </c>
      <c r="N17" s="56"/>
      <c r="O17" s="255"/>
      <c r="P17" s="52"/>
      <c r="Q17" s="69"/>
      <c r="R17" s="72"/>
      <c r="S17" s="9"/>
      <c r="T17" s="9"/>
      <c r="U17" s="9"/>
      <c r="V17" s="9"/>
      <c r="W17" s="9"/>
      <c r="X17" s="9"/>
      <c r="Y17" s="16"/>
      <c r="Z17" s="9"/>
      <c r="AA17" s="9"/>
    </row>
    <row r="18" spans="2:27">
      <c r="B18" s="50" t="str">
        <f>U15</f>
        <v>ELCRERNW00</v>
      </c>
      <c r="C18" s="50" t="str">
        <f>$B$2&amp;RIGHT(Sector_Fuels!$L$16,3)</f>
        <v>ELCRNW</v>
      </c>
      <c r="D18" s="50" t="str">
        <f>$U$5</f>
        <v>ELC</v>
      </c>
      <c r="E18" s="184">
        <f>(-'EB2'!$O$11*$G$18)/($H$18*$N$18)</f>
        <v>0</v>
      </c>
      <c r="F18" s="184">
        <f>E18</f>
        <v>0</v>
      </c>
      <c r="G18" s="333">
        <v>0.4</v>
      </c>
      <c r="H18" s="197">
        <v>0.45</v>
      </c>
      <c r="I18" s="196"/>
      <c r="J18" s="197">
        <v>70</v>
      </c>
      <c r="K18" s="197"/>
      <c r="L18" s="231"/>
      <c r="M18" s="59"/>
      <c r="N18" s="252">
        <v>31.536000000000001</v>
      </c>
      <c r="O18" s="197">
        <v>0.5</v>
      </c>
      <c r="Q18" s="69">
        <f>E18*$H18*$N18</f>
        <v>0</v>
      </c>
      <c r="R18" s="72"/>
      <c r="S18" s="9"/>
      <c r="T18" s="9"/>
      <c r="U18" s="9"/>
      <c r="V18" s="9"/>
      <c r="W18" s="9"/>
      <c r="X18" s="9"/>
      <c r="Y18" s="9"/>
      <c r="Z18" s="9"/>
      <c r="AA18" s="9"/>
    </row>
    <row r="19" spans="2:27" ht="13.8" thickBot="1">
      <c r="B19" s="74" t="str">
        <f>U16</f>
        <v>ELCNENUC00</v>
      </c>
      <c r="C19" s="74" t="str">
        <f>$B$2&amp;RIGHT(Sector_Fuels!$L$17,3)</f>
        <v>ELCNUC</v>
      </c>
      <c r="D19" s="74" t="str">
        <f>$U$5</f>
        <v>ELC</v>
      </c>
      <c r="E19" s="200">
        <f>(-'EB2'!$N$11*$G$19)/($H$19*$N$19)</f>
        <v>0</v>
      </c>
      <c r="F19" s="200">
        <f>E19</f>
        <v>0</v>
      </c>
      <c r="G19" s="334">
        <v>0</v>
      </c>
      <c r="H19" s="257">
        <v>0.9</v>
      </c>
      <c r="I19" s="256"/>
      <c r="J19" s="257">
        <v>38</v>
      </c>
      <c r="K19" s="256">
        <v>0.27</v>
      </c>
      <c r="L19" s="258"/>
      <c r="M19" s="259"/>
      <c r="N19" s="260">
        <v>31.536000000000001</v>
      </c>
      <c r="O19" s="257">
        <v>1</v>
      </c>
      <c r="P19" s="74"/>
      <c r="Q19" s="201">
        <f>E19*$H19*$N19</f>
        <v>0</v>
      </c>
      <c r="R19" s="72"/>
      <c r="S19" s="9"/>
      <c r="T19" s="9"/>
      <c r="U19" s="9"/>
      <c r="V19" s="9"/>
      <c r="W19" s="9"/>
      <c r="X19" s="9"/>
      <c r="Y19" s="9"/>
      <c r="Z19" s="9"/>
      <c r="AA19" s="9"/>
    </row>
    <row r="20" spans="2:27">
      <c r="R20" s="72"/>
      <c r="S20" s="9"/>
      <c r="T20" s="9"/>
      <c r="U20" s="9"/>
      <c r="V20" s="9"/>
      <c r="W20" s="9"/>
      <c r="X20" s="9"/>
      <c r="Y20" s="9"/>
      <c r="Z20" s="9"/>
      <c r="AA20" s="9"/>
    </row>
    <row r="25" spans="2:27">
      <c r="B25" s="112"/>
      <c r="C25" s="1" t="s">
        <v>232</v>
      </c>
    </row>
    <row r="26" spans="2:27">
      <c r="B26" s="183"/>
      <c r="C26" s="1" t="s">
        <v>233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T28"/>
  <sheetViews>
    <sheetView zoomScaleNormal="100" workbookViewId="0">
      <selection activeCell="J10" sqref="J10"/>
    </sheetView>
  </sheetViews>
  <sheetFormatPr defaultColWidth="8.88671875" defaultRowHeight="13.2"/>
  <cols>
    <col min="1" max="1" width="3" style="50" customWidth="1"/>
    <col min="2" max="2" width="12.109375" style="50" bestFit="1" customWidth="1"/>
    <col min="3" max="3" width="15" style="50" customWidth="1"/>
    <col min="4" max="4" width="13.88671875" style="50" bestFit="1" customWidth="1"/>
    <col min="5" max="5" width="14" style="50" customWidth="1"/>
    <col min="6" max="6" width="13.109375" style="50" bestFit="1" customWidth="1"/>
    <col min="7" max="7" width="7.44140625" style="50" customWidth="1"/>
    <col min="8" max="8" width="9.109375" style="50" bestFit="1" customWidth="1"/>
    <col min="9" max="9" width="9.44140625" style="50" customWidth="1"/>
    <col min="10" max="10" width="8.109375" style="50" customWidth="1"/>
    <col min="11" max="11" width="2.6640625" style="50" customWidth="1"/>
    <col min="12" max="12" width="12.6640625" style="50" bestFit="1" customWidth="1"/>
    <col min="13" max="13" width="7.109375" style="50" customWidth="1"/>
    <col min="14" max="14" width="11.44140625" style="50" bestFit="1" customWidth="1"/>
    <col min="15" max="15" width="41.5546875" style="50" bestFit="1" customWidth="1"/>
    <col min="16" max="16" width="6.5546875" style="50" customWidth="1"/>
    <col min="17" max="17" width="11.6640625" style="50" customWidth="1"/>
    <col min="18" max="18" width="13.109375" style="50" customWidth="1"/>
    <col min="19" max="19" width="13.6640625" style="50" bestFit="1" customWidth="1"/>
    <col min="20" max="20" width="8.44140625" style="50" customWidth="1"/>
    <col min="21" max="16384" width="8.88671875" style="50"/>
  </cols>
  <sheetData>
    <row r="1" spans="2:20" ht="14.4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2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M€2016</v>
      </c>
      <c r="H2" s="20" t="s">
        <v>128</v>
      </c>
      <c r="L2" s="279" t="s">
        <v>14</v>
      </c>
      <c r="M2" s="279"/>
      <c r="N2" s="280"/>
      <c r="O2" s="280"/>
      <c r="P2" s="280"/>
      <c r="Q2" s="280"/>
      <c r="R2" s="280"/>
      <c r="S2" s="280"/>
      <c r="T2" s="280"/>
    </row>
    <row r="3" spans="2:20">
      <c r="L3" s="281" t="s">
        <v>7</v>
      </c>
      <c r="M3" s="282" t="s">
        <v>30</v>
      </c>
      <c r="N3" s="281" t="s">
        <v>0</v>
      </c>
      <c r="O3" s="281" t="s">
        <v>3</v>
      </c>
      <c r="P3" s="281" t="s">
        <v>4</v>
      </c>
      <c r="Q3" s="281" t="s">
        <v>8</v>
      </c>
      <c r="R3" s="281" t="s">
        <v>9</v>
      </c>
      <c r="S3" s="281" t="s">
        <v>10</v>
      </c>
      <c r="T3" s="281" t="s">
        <v>12</v>
      </c>
    </row>
    <row r="4" spans="2:20" s="52" customFormat="1" ht="22.2" thickBot="1">
      <c r="B4" s="18"/>
      <c r="C4" s="18"/>
      <c r="D4" s="18"/>
      <c r="E4" s="18"/>
      <c r="F4" s="18"/>
      <c r="L4" s="273" t="s">
        <v>40</v>
      </c>
      <c r="M4" s="273" t="s">
        <v>31</v>
      </c>
      <c r="N4" s="273" t="s">
        <v>26</v>
      </c>
      <c r="O4" s="273" t="s">
        <v>27</v>
      </c>
      <c r="P4" s="273" t="s">
        <v>4</v>
      </c>
      <c r="Q4" s="273" t="s">
        <v>43</v>
      </c>
      <c r="R4" s="273" t="s">
        <v>44</v>
      </c>
      <c r="S4" s="273" t="s">
        <v>28</v>
      </c>
      <c r="T4" s="273" t="s">
        <v>29</v>
      </c>
    </row>
    <row r="5" spans="2:20" s="52" customFormat="1" ht="15.6">
      <c r="B5" s="18"/>
      <c r="C5" s="18"/>
      <c r="D5" s="18"/>
      <c r="E5" s="18"/>
      <c r="F5" s="18"/>
      <c r="L5" s="283" t="s">
        <v>106</v>
      </c>
      <c r="M5" s="284"/>
      <c r="N5" s="283" t="str">
        <f>B2&amp;EnergyBalance!D2</f>
        <v>TPSCOA</v>
      </c>
      <c r="O5" s="283" t="str">
        <f>LEFT($D$2,6)&amp;" "&amp;$C$2&amp;" - "&amp;EnergyBalance!D2</f>
        <v>Demand Total Primary Supply - COA</v>
      </c>
      <c r="P5" s="283" t="str">
        <f>$E$2</f>
        <v>PJ</v>
      </c>
      <c r="Q5" s="283"/>
      <c r="R5" s="283"/>
      <c r="S5" s="283"/>
      <c r="T5" s="283"/>
    </row>
    <row r="8" spans="2:20">
      <c r="D8" s="7" t="s">
        <v>13</v>
      </c>
      <c r="E8" s="7"/>
      <c r="F8" s="7"/>
      <c r="H8" s="7"/>
      <c r="I8" s="8"/>
      <c r="J8" s="6"/>
      <c r="L8" s="279" t="s">
        <v>15</v>
      </c>
      <c r="M8" s="279"/>
      <c r="N8" s="285"/>
      <c r="O8" s="285"/>
      <c r="P8" s="285"/>
      <c r="Q8" s="285"/>
      <c r="R8" s="285"/>
      <c r="S8" s="285"/>
      <c r="T8" s="285"/>
    </row>
    <row r="9" spans="2:20">
      <c r="B9" s="29" t="s">
        <v>1</v>
      </c>
      <c r="C9" s="29" t="s">
        <v>5</v>
      </c>
      <c r="D9" s="29" t="s">
        <v>6</v>
      </c>
      <c r="E9" s="216" t="s">
        <v>193</v>
      </c>
      <c r="F9" s="217" t="s">
        <v>109</v>
      </c>
      <c r="G9" s="217" t="s">
        <v>125</v>
      </c>
      <c r="H9" s="217" t="s">
        <v>107</v>
      </c>
      <c r="I9" s="217" t="s">
        <v>108</v>
      </c>
      <c r="J9" s="216" t="s">
        <v>102</v>
      </c>
      <c r="L9" s="281" t="s">
        <v>11</v>
      </c>
      <c r="M9" s="282" t="s">
        <v>30</v>
      </c>
      <c r="N9" s="281" t="s">
        <v>1</v>
      </c>
      <c r="O9" s="281" t="s">
        <v>2</v>
      </c>
      <c r="P9" s="281" t="s">
        <v>16</v>
      </c>
      <c r="Q9" s="281" t="s">
        <v>17</v>
      </c>
      <c r="R9" s="281" t="s">
        <v>18</v>
      </c>
      <c r="S9" s="281" t="s">
        <v>19</v>
      </c>
      <c r="T9" s="28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0" t="s">
        <v>126</v>
      </c>
      <c r="H10" s="27" t="s">
        <v>123</v>
      </c>
      <c r="I10" s="27" t="s">
        <v>122</v>
      </c>
      <c r="J10" s="27" t="s">
        <v>261</v>
      </c>
      <c r="L10" s="273" t="s">
        <v>41</v>
      </c>
      <c r="M10" s="273" t="s">
        <v>31</v>
      </c>
      <c r="N10" s="273" t="s">
        <v>21</v>
      </c>
      <c r="O10" s="273" t="s">
        <v>22</v>
      </c>
      <c r="P10" s="273" t="s">
        <v>23</v>
      </c>
      <c r="Q10" s="273" t="s">
        <v>24</v>
      </c>
      <c r="R10" s="273" t="s">
        <v>46</v>
      </c>
      <c r="S10" s="273" t="s">
        <v>45</v>
      </c>
      <c r="T10" s="273" t="s">
        <v>25</v>
      </c>
    </row>
    <row r="11" spans="2:20" ht="13.8" thickBot="1">
      <c r="B11" s="93" t="s">
        <v>115</v>
      </c>
      <c r="C11" s="93"/>
      <c r="D11" s="93"/>
      <c r="E11" s="24" t="str">
        <f>E2&amp;"a"</f>
        <v>PJa</v>
      </c>
      <c r="F11" s="24"/>
      <c r="G11" s="220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L11" s="273" t="s">
        <v>104</v>
      </c>
      <c r="M11" s="273"/>
      <c r="N11" s="273"/>
      <c r="O11" s="273"/>
      <c r="P11" s="273"/>
      <c r="Q11" s="273"/>
      <c r="R11" s="273"/>
      <c r="S11" s="273"/>
      <c r="T11" s="273"/>
    </row>
    <row r="12" spans="2:20">
      <c r="B12" s="50" t="str">
        <f>N12</f>
        <v>DTPSCOA</v>
      </c>
      <c r="C12" s="50" t="str">
        <f>RIGHT(B12,3)</f>
        <v>COA</v>
      </c>
      <c r="D12" s="50" t="str">
        <f>$N$5</f>
        <v>TPSCOA</v>
      </c>
      <c r="E12" s="52"/>
      <c r="F12" s="197">
        <v>1</v>
      </c>
      <c r="G12" s="197">
        <v>0.95</v>
      </c>
      <c r="H12" s="196">
        <v>10</v>
      </c>
      <c r="I12" s="197">
        <f>H12*0.02</f>
        <v>0.2</v>
      </c>
      <c r="J12" s="196">
        <v>20</v>
      </c>
      <c r="L12" s="283" t="s">
        <v>124</v>
      </c>
      <c r="M12" s="284"/>
      <c r="N12" s="284" t="str">
        <f>LEFT(L12,1)&amp;B2&amp;RIGHT(O12,3)</f>
        <v>DTPSCOA</v>
      </c>
      <c r="O12" s="291" t="str">
        <f>$D$2&amp;" "&amp;$C$2&amp;" - "&amp;EnergyBalance!D2</f>
        <v>Demand Technology Total Primary Supply - COA</v>
      </c>
      <c r="P12" s="284" t="str">
        <f>$E$2</f>
        <v>PJ</v>
      </c>
      <c r="Q12" s="284" t="str">
        <f>$E$2&amp;"a"</f>
        <v>PJa</v>
      </c>
      <c r="R12" s="284"/>
      <c r="S12" s="284"/>
      <c r="T12" s="284"/>
    </row>
    <row r="13" spans="2:20">
      <c r="D13" s="52"/>
      <c r="E13" s="231"/>
      <c r="F13" s="232"/>
      <c r="G13" s="232"/>
      <c r="H13" s="52"/>
      <c r="I13" s="232"/>
      <c r="J13" s="52"/>
      <c r="L13" s="64"/>
      <c r="M13" s="52"/>
      <c r="N13" s="52"/>
      <c r="O13" s="230"/>
      <c r="P13" s="52"/>
      <c r="Q13" s="52"/>
      <c r="R13" s="52"/>
      <c r="S13" s="52"/>
      <c r="T13" s="52"/>
    </row>
    <row r="14" spans="2:20">
      <c r="B14" s="56"/>
      <c r="D14" s="56"/>
      <c r="E14" s="233"/>
      <c r="F14" s="79"/>
      <c r="G14" s="79"/>
      <c r="H14" s="54"/>
      <c r="I14" s="79"/>
      <c r="J14" s="54"/>
      <c r="L14" s="52"/>
      <c r="M14" s="52"/>
      <c r="N14" s="52"/>
      <c r="O14" s="53"/>
      <c r="P14" s="52"/>
      <c r="Q14" s="52"/>
      <c r="R14" s="52"/>
      <c r="S14" s="52"/>
      <c r="T14" s="52"/>
    </row>
    <row r="15" spans="2:20">
      <c r="B15" s="56"/>
      <c r="E15" s="233"/>
      <c r="F15" s="79"/>
      <c r="G15" s="79"/>
      <c r="H15" s="54"/>
      <c r="I15" s="79"/>
      <c r="J15" s="54"/>
      <c r="L15" s="52"/>
      <c r="M15" s="52"/>
      <c r="N15" s="52"/>
      <c r="O15" s="53"/>
      <c r="P15" s="52"/>
      <c r="Q15" s="52"/>
      <c r="R15" s="52"/>
      <c r="S15" s="52"/>
      <c r="T15" s="52"/>
    </row>
    <row r="16" spans="2:20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>
      <c r="I18" s="234"/>
      <c r="L18" s="52"/>
      <c r="M18" s="52"/>
      <c r="N18" s="52"/>
      <c r="O18" s="52"/>
      <c r="P18" s="52"/>
      <c r="Q18" s="52"/>
      <c r="R18" s="52"/>
      <c r="S18" s="52"/>
      <c r="T18" s="52"/>
    </row>
    <row r="19" spans="2:20">
      <c r="I19" s="234"/>
      <c r="L19" s="52"/>
      <c r="M19" s="52"/>
      <c r="N19" s="52"/>
      <c r="O19" s="52"/>
      <c r="P19" s="52"/>
      <c r="Q19" s="52"/>
      <c r="R19" s="52"/>
      <c r="S19" s="52"/>
      <c r="T19" s="52"/>
    </row>
    <row r="20" spans="2:20">
      <c r="L20" s="52"/>
      <c r="M20" s="52"/>
      <c r="N20" s="52"/>
      <c r="O20" s="52"/>
      <c r="P20" s="52"/>
      <c r="Q20" s="52"/>
      <c r="R20" s="52"/>
      <c r="S20" s="52"/>
      <c r="T20" s="52"/>
    </row>
    <row r="21" spans="2:20">
      <c r="L21" s="52"/>
      <c r="M21" s="52"/>
      <c r="N21" s="52"/>
      <c r="O21" s="52"/>
      <c r="P21" s="52"/>
      <c r="Q21" s="52"/>
      <c r="R21" s="52"/>
      <c r="S21" s="52"/>
      <c r="T21" s="52"/>
    </row>
    <row r="22" spans="2:20">
      <c r="L22" s="52"/>
      <c r="M22" s="52"/>
      <c r="N22" s="52"/>
      <c r="O22" s="52"/>
      <c r="P22" s="52"/>
      <c r="Q22" s="52"/>
      <c r="R22" s="52"/>
      <c r="S22" s="52"/>
      <c r="T22" s="52"/>
    </row>
    <row r="23" spans="2:20">
      <c r="B23" s="196"/>
      <c r="C23" s="51" t="s">
        <v>232</v>
      </c>
    </row>
    <row r="24" spans="2:20">
      <c r="B24" s="235"/>
      <c r="C24" s="51" t="s">
        <v>233</v>
      </c>
    </row>
    <row r="25" spans="2:20">
      <c r="K25" s="51"/>
    </row>
    <row r="26" spans="2:20">
      <c r="K26" s="51"/>
    </row>
    <row r="27" spans="2:20">
      <c r="K27" s="51"/>
    </row>
    <row r="28" spans="2:20">
      <c r="K28" s="5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T28"/>
  <sheetViews>
    <sheetView zoomScaleNormal="100" workbookViewId="0">
      <selection activeCell="J10" sqref="J10"/>
    </sheetView>
  </sheetViews>
  <sheetFormatPr defaultColWidth="8.88671875" defaultRowHeight="13.2"/>
  <cols>
    <col min="1" max="1" width="3" style="50" customWidth="1"/>
    <col min="2" max="2" width="12.109375" style="50" bestFit="1" customWidth="1"/>
    <col min="3" max="3" width="15" style="50" customWidth="1"/>
    <col min="4" max="4" width="13.88671875" style="50" bestFit="1" customWidth="1"/>
    <col min="5" max="5" width="13.33203125" style="50" customWidth="1"/>
    <col min="6" max="6" width="13.109375" style="50" bestFit="1" customWidth="1"/>
    <col min="7" max="7" width="7.109375" style="50" customWidth="1"/>
    <col min="8" max="8" width="9.109375" style="50" bestFit="1" customWidth="1"/>
    <col min="9" max="9" width="9.44140625" style="50" customWidth="1"/>
    <col min="10" max="10" width="8.109375" style="50" customWidth="1"/>
    <col min="11" max="11" width="2.6640625" style="50" customWidth="1"/>
    <col min="12" max="12" width="12.6640625" style="50" bestFit="1" customWidth="1"/>
    <col min="13" max="13" width="7.109375" style="50" customWidth="1"/>
    <col min="14" max="14" width="11.44140625" style="50" bestFit="1" customWidth="1"/>
    <col min="15" max="15" width="41.5546875" style="50" bestFit="1" customWidth="1"/>
    <col min="16" max="16" width="6.88671875" style="50" customWidth="1"/>
    <col min="17" max="17" width="11.6640625" style="50" customWidth="1"/>
    <col min="18" max="18" width="13" style="50" customWidth="1"/>
    <col min="19" max="19" width="13.6640625" style="50" bestFit="1" customWidth="1"/>
    <col min="20" max="20" width="8.44140625" style="50" customWidth="1"/>
    <col min="21" max="16384" width="8.88671875" style="50"/>
  </cols>
  <sheetData>
    <row r="1" spans="2:20" ht="14.4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2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M€2016</v>
      </c>
      <c r="H2" s="20" t="s">
        <v>128</v>
      </c>
      <c r="L2" s="279" t="s">
        <v>14</v>
      </c>
      <c r="M2" s="279"/>
      <c r="N2" s="280"/>
      <c r="O2" s="280"/>
      <c r="P2" s="280"/>
      <c r="Q2" s="280"/>
      <c r="R2" s="280"/>
      <c r="S2" s="280"/>
      <c r="T2" s="280"/>
    </row>
    <row r="3" spans="2:20">
      <c r="L3" s="281" t="s">
        <v>7</v>
      </c>
      <c r="M3" s="282" t="s">
        <v>30</v>
      </c>
      <c r="N3" s="281" t="s">
        <v>0</v>
      </c>
      <c r="O3" s="281" t="s">
        <v>3</v>
      </c>
      <c r="P3" s="281" t="s">
        <v>4</v>
      </c>
      <c r="Q3" s="281" t="s">
        <v>8</v>
      </c>
      <c r="R3" s="281" t="s">
        <v>9</v>
      </c>
      <c r="S3" s="281" t="s">
        <v>10</v>
      </c>
      <c r="T3" s="281" t="s">
        <v>12</v>
      </c>
    </row>
    <row r="4" spans="2:20" s="52" customFormat="1" ht="22.2" thickBot="1">
      <c r="B4" s="18"/>
      <c r="C4" s="18"/>
      <c r="D4" s="18"/>
      <c r="E4" s="18"/>
      <c r="F4" s="18"/>
      <c r="L4" s="273" t="s">
        <v>40</v>
      </c>
      <c r="M4" s="273" t="s">
        <v>31</v>
      </c>
      <c r="N4" s="273" t="s">
        <v>26</v>
      </c>
      <c r="O4" s="273" t="s">
        <v>27</v>
      </c>
      <c r="P4" s="273" t="s">
        <v>4</v>
      </c>
      <c r="Q4" s="273" t="s">
        <v>43</v>
      </c>
      <c r="R4" s="273" t="s">
        <v>44</v>
      </c>
      <c r="S4" s="273" t="s">
        <v>28</v>
      </c>
      <c r="T4" s="273" t="s">
        <v>29</v>
      </c>
    </row>
    <row r="5" spans="2:20" s="52" customFormat="1" ht="15.6">
      <c r="B5" s="18"/>
      <c r="C5" s="18"/>
      <c r="D5" s="18"/>
      <c r="E5" s="18"/>
      <c r="F5" s="18"/>
      <c r="L5" s="283" t="s">
        <v>106</v>
      </c>
      <c r="M5" s="284"/>
      <c r="N5" s="283" t="str">
        <f>B2&amp;EnergyBalance!R2</f>
        <v>TPSELC</v>
      </c>
      <c r="O5" s="283" t="str">
        <f>LEFT($D$2,6)&amp;" "&amp;$C$2&amp;" - "&amp;EnergyBalance!R2</f>
        <v>Demand Total Primary Supply - ELC</v>
      </c>
      <c r="P5" s="283" t="str">
        <f>$E$2</f>
        <v>PJ</v>
      </c>
      <c r="Q5" s="283"/>
      <c r="R5" s="283"/>
      <c r="S5" s="283"/>
      <c r="T5" s="283"/>
    </row>
    <row r="8" spans="2:20">
      <c r="D8" s="7" t="s">
        <v>13</v>
      </c>
      <c r="E8" s="7"/>
      <c r="F8" s="7"/>
      <c r="H8" s="7"/>
      <c r="I8" s="8"/>
      <c r="J8" s="6"/>
      <c r="L8" s="279" t="s">
        <v>15</v>
      </c>
      <c r="M8" s="279"/>
      <c r="N8" s="285"/>
      <c r="O8" s="285"/>
      <c r="P8" s="285"/>
      <c r="Q8" s="285"/>
      <c r="R8" s="285"/>
      <c r="S8" s="285"/>
      <c r="T8" s="285"/>
    </row>
    <row r="9" spans="2:20">
      <c r="B9" s="29" t="s">
        <v>1</v>
      </c>
      <c r="C9" s="29" t="s">
        <v>5</v>
      </c>
      <c r="D9" s="29" t="s">
        <v>6</v>
      </c>
      <c r="E9" s="216" t="s">
        <v>193</v>
      </c>
      <c r="F9" s="217" t="s">
        <v>109</v>
      </c>
      <c r="G9" s="217" t="s">
        <v>125</v>
      </c>
      <c r="H9" s="217" t="s">
        <v>107</v>
      </c>
      <c r="I9" s="217" t="s">
        <v>108</v>
      </c>
      <c r="J9" s="216" t="s">
        <v>102</v>
      </c>
      <c r="L9" s="281" t="s">
        <v>11</v>
      </c>
      <c r="M9" s="282" t="s">
        <v>30</v>
      </c>
      <c r="N9" s="281" t="s">
        <v>1</v>
      </c>
      <c r="O9" s="281" t="s">
        <v>2</v>
      </c>
      <c r="P9" s="281" t="s">
        <v>16</v>
      </c>
      <c r="Q9" s="281" t="s">
        <v>17</v>
      </c>
      <c r="R9" s="281" t="s">
        <v>18</v>
      </c>
      <c r="S9" s="281" t="s">
        <v>19</v>
      </c>
      <c r="T9" s="281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0" t="s">
        <v>126</v>
      </c>
      <c r="H10" s="27" t="s">
        <v>123</v>
      </c>
      <c r="I10" s="27" t="s">
        <v>122</v>
      </c>
      <c r="J10" s="27" t="s">
        <v>261</v>
      </c>
      <c r="L10" s="273" t="s">
        <v>41</v>
      </c>
      <c r="M10" s="273" t="s">
        <v>31</v>
      </c>
      <c r="N10" s="273" t="s">
        <v>21</v>
      </c>
      <c r="O10" s="273" t="s">
        <v>22</v>
      </c>
      <c r="P10" s="273" t="s">
        <v>23</v>
      </c>
      <c r="Q10" s="273" t="s">
        <v>24</v>
      </c>
      <c r="R10" s="273" t="s">
        <v>46</v>
      </c>
      <c r="S10" s="273" t="s">
        <v>45</v>
      </c>
      <c r="T10" s="273" t="s">
        <v>25</v>
      </c>
    </row>
    <row r="11" spans="2:20" ht="13.8" thickBot="1">
      <c r="B11" s="93" t="s">
        <v>115</v>
      </c>
      <c r="C11" s="93"/>
      <c r="D11" s="93"/>
      <c r="E11" s="24" t="str">
        <f>E2&amp;"a"</f>
        <v>PJa</v>
      </c>
      <c r="F11" s="24"/>
      <c r="G11" s="220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L11" s="273" t="s">
        <v>104</v>
      </c>
      <c r="M11" s="273"/>
      <c r="N11" s="273"/>
      <c r="O11" s="273"/>
      <c r="P11" s="273"/>
      <c r="Q11" s="273"/>
      <c r="R11" s="273"/>
      <c r="S11" s="273"/>
      <c r="T11" s="273"/>
    </row>
    <row r="12" spans="2:20">
      <c r="B12" s="50" t="str">
        <f>N12</f>
        <v>DTPSELC</v>
      </c>
      <c r="C12" s="50" t="str">
        <f>RIGHT(B12,3)</f>
        <v>ELC</v>
      </c>
      <c r="D12" s="50" t="str">
        <f>$N$5</f>
        <v>TPSELC</v>
      </c>
      <c r="E12" s="52"/>
      <c r="F12" s="197">
        <v>1</v>
      </c>
      <c r="G12" s="197">
        <v>0.95</v>
      </c>
      <c r="H12" s="196">
        <v>10</v>
      </c>
      <c r="I12" s="197">
        <f>H12*0.02</f>
        <v>0.2</v>
      </c>
      <c r="J12" s="196">
        <v>20</v>
      </c>
      <c r="L12" s="283" t="s">
        <v>124</v>
      </c>
      <c r="M12" s="284"/>
      <c r="N12" s="284" t="str">
        <f>LEFT(L12,1)&amp;B2&amp;RIGHT(O12,3)</f>
        <v>DTPSELC</v>
      </c>
      <c r="O12" s="291" t="str">
        <f>$D$2&amp;" "&amp;$C$2&amp;" - "&amp;EnergyBalance!R2</f>
        <v>Demand Technology Total Primary Supply - ELC</v>
      </c>
      <c r="P12" s="284" t="str">
        <f>$E$2</f>
        <v>PJ</v>
      </c>
      <c r="Q12" s="284" t="str">
        <f>$E$2&amp;"a"</f>
        <v>PJa</v>
      </c>
      <c r="R12" s="284"/>
      <c r="S12" s="284"/>
      <c r="T12" s="284"/>
    </row>
    <row r="13" spans="2:20">
      <c r="D13" s="52"/>
      <c r="E13" s="231"/>
      <c r="F13" s="232"/>
      <c r="G13" s="232"/>
      <c r="H13" s="52"/>
      <c r="I13" s="232"/>
      <c r="J13" s="52"/>
      <c r="L13" s="64"/>
      <c r="M13" s="52"/>
      <c r="N13" s="52"/>
      <c r="O13" s="230"/>
      <c r="P13" s="52"/>
      <c r="Q13" s="52"/>
      <c r="R13" s="52"/>
      <c r="S13" s="52"/>
      <c r="T13" s="52"/>
    </row>
    <row r="14" spans="2:20">
      <c r="B14" s="56"/>
      <c r="D14" s="56"/>
      <c r="E14" s="233"/>
      <c r="F14" s="79"/>
      <c r="G14" s="79"/>
      <c r="H14" s="54"/>
      <c r="I14" s="79"/>
      <c r="J14" s="54"/>
      <c r="L14" s="52"/>
      <c r="M14" s="52"/>
      <c r="N14" s="52"/>
      <c r="O14" s="53"/>
      <c r="P14" s="52"/>
      <c r="Q14" s="52"/>
      <c r="R14" s="52"/>
      <c r="S14" s="52"/>
      <c r="T14" s="52"/>
    </row>
    <row r="15" spans="2:20">
      <c r="B15" s="56"/>
      <c r="E15" s="233"/>
      <c r="F15" s="79"/>
      <c r="G15" s="79"/>
      <c r="H15" s="54"/>
      <c r="I15" s="79"/>
      <c r="J15" s="54"/>
      <c r="L15" s="52"/>
      <c r="M15" s="52"/>
      <c r="N15" s="52"/>
      <c r="O15" s="53"/>
      <c r="P15" s="52"/>
      <c r="Q15" s="52"/>
      <c r="R15" s="52"/>
      <c r="S15" s="52"/>
      <c r="T15" s="52"/>
    </row>
    <row r="16" spans="2:20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>
      <c r="I18" s="234"/>
      <c r="L18" s="52"/>
      <c r="M18" s="52"/>
      <c r="N18" s="52"/>
      <c r="O18" s="52"/>
      <c r="P18" s="52"/>
      <c r="Q18" s="52"/>
      <c r="R18" s="52"/>
      <c r="S18" s="52"/>
      <c r="T18" s="52"/>
    </row>
    <row r="19" spans="2:20">
      <c r="I19" s="234"/>
      <c r="L19" s="52"/>
      <c r="M19" s="52"/>
      <c r="N19" s="52"/>
      <c r="O19" s="52"/>
      <c r="P19" s="52"/>
      <c r="Q19" s="52"/>
      <c r="R19" s="52"/>
      <c r="S19" s="52"/>
      <c r="T19" s="52"/>
    </row>
    <row r="20" spans="2:20">
      <c r="L20" s="52"/>
      <c r="M20" s="52"/>
      <c r="N20" s="52"/>
      <c r="O20" s="52"/>
      <c r="P20" s="52"/>
      <c r="Q20" s="52"/>
      <c r="R20" s="52"/>
      <c r="S20" s="52"/>
      <c r="T20" s="52"/>
    </row>
    <row r="21" spans="2:20">
      <c r="L21" s="52"/>
      <c r="M21" s="52"/>
      <c r="N21" s="52"/>
      <c r="O21" s="52"/>
      <c r="P21" s="52"/>
      <c r="Q21" s="52"/>
      <c r="R21" s="52"/>
      <c r="S21" s="52"/>
      <c r="T21" s="52"/>
    </row>
    <row r="22" spans="2:20">
      <c r="L22" s="52"/>
      <c r="M22" s="52"/>
      <c r="N22" s="52"/>
      <c r="O22" s="52"/>
      <c r="P22" s="52"/>
      <c r="Q22" s="52"/>
      <c r="R22" s="52"/>
      <c r="S22" s="52"/>
      <c r="T22" s="52"/>
    </row>
    <row r="23" spans="2:20">
      <c r="B23" s="196"/>
      <c r="C23" s="51" t="s">
        <v>232</v>
      </c>
    </row>
    <row r="24" spans="2:20">
      <c r="B24" s="235"/>
      <c r="C24" s="51" t="s">
        <v>233</v>
      </c>
    </row>
    <row r="25" spans="2:20">
      <c r="K25" s="51"/>
    </row>
    <row r="26" spans="2:20">
      <c r="K26" s="51"/>
    </row>
    <row r="27" spans="2:20">
      <c r="K27" s="51"/>
    </row>
    <row r="28" spans="2:20">
      <c r="K28" s="5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U28"/>
  <sheetViews>
    <sheetView zoomScaleNormal="100" workbookViewId="0">
      <selection activeCell="G23" sqref="G23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2.33203125" bestFit="1" customWidth="1"/>
    <col min="6" max="6" width="12.109375" bestFit="1" customWidth="1"/>
    <col min="7" max="7" width="7.44140625" bestFit="1" customWidth="1"/>
    <col min="8" max="8" width="9.33203125" bestFit="1" customWidth="1"/>
    <col min="9" max="9" width="9.109375" customWidth="1"/>
    <col min="10" max="10" width="8.109375" customWidth="1"/>
    <col min="11" max="11" width="13.33203125" customWidth="1"/>
    <col min="12" max="12" width="2" customWidth="1"/>
    <col min="13" max="13" width="12.6640625" bestFit="1" customWidth="1"/>
    <col min="14" max="14" width="7.109375" customWidth="1"/>
    <col min="15" max="15" width="11.44140625" bestFit="1" customWidth="1"/>
    <col min="16" max="16" width="62.44140625" bestFit="1" customWidth="1"/>
    <col min="17" max="17" width="6.33203125" customWidth="1"/>
    <col min="18" max="18" width="11.6640625" customWidth="1"/>
    <col min="19" max="19" width="13.44140625" customWidth="1"/>
    <col min="20" max="20" width="13.88671875" customWidth="1"/>
    <col min="21" max="21" width="8.44140625" customWidth="1"/>
  </cols>
  <sheetData>
    <row r="1" spans="2:21" ht="14.4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  <c r="I1" s="67" t="s">
        <v>129</v>
      </c>
    </row>
    <row r="2" spans="2:21" ht="31.2">
      <c r="B2" s="20" t="str">
        <f>EnergyBalance!B16</f>
        <v>RSD</v>
      </c>
      <c r="C2" s="20" t="str">
        <f>EnergyBalance!C16</f>
        <v>Residential</v>
      </c>
      <c r="D2" s="35" t="str">
        <f>"Demand Technologies"</f>
        <v>Demand Technologies</v>
      </c>
      <c r="E2" s="20" t="str">
        <f>EnergyBalance!W2</f>
        <v>PJ</v>
      </c>
      <c r="F2" s="20" t="str">
        <f>EnergyBalance!V2</f>
        <v>M€2016</v>
      </c>
      <c r="H2" s="20" t="s">
        <v>128</v>
      </c>
      <c r="I2" s="18"/>
      <c r="M2" s="269" t="s">
        <v>14</v>
      </c>
      <c r="N2" s="269"/>
      <c r="O2" s="270"/>
      <c r="P2" s="270"/>
      <c r="Q2" s="270"/>
      <c r="R2" s="270"/>
      <c r="S2" s="270"/>
      <c r="T2" s="270"/>
      <c r="U2" s="270"/>
    </row>
    <row r="3" spans="2:21">
      <c r="M3" s="271" t="s">
        <v>7</v>
      </c>
      <c r="N3" s="272" t="s">
        <v>30</v>
      </c>
      <c r="O3" s="271" t="s">
        <v>0</v>
      </c>
      <c r="P3" s="271" t="s">
        <v>3</v>
      </c>
      <c r="Q3" s="271" t="s">
        <v>4</v>
      </c>
      <c r="R3" s="271" t="s">
        <v>8</v>
      </c>
      <c r="S3" s="271" t="s">
        <v>9</v>
      </c>
      <c r="T3" s="271" t="s">
        <v>10</v>
      </c>
      <c r="U3" s="271" t="s">
        <v>12</v>
      </c>
    </row>
    <row r="4" spans="2:21" s="9" customFormat="1" ht="22.2" thickBot="1">
      <c r="B4" s="18"/>
      <c r="C4" s="18"/>
      <c r="D4" s="18"/>
      <c r="E4" s="18"/>
      <c r="F4" s="18"/>
      <c r="M4" s="273" t="s">
        <v>40</v>
      </c>
      <c r="N4" s="273" t="s">
        <v>31</v>
      </c>
      <c r="O4" s="273" t="s">
        <v>26</v>
      </c>
      <c r="P4" s="273" t="s">
        <v>27</v>
      </c>
      <c r="Q4" s="273" t="s">
        <v>4</v>
      </c>
      <c r="R4" s="273" t="s">
        <v>43</v>
      </c>
      <c r="S4" s="273" t="s">
        <v>44</v>
      </c>
      <c r="T4" s="273" t="s">
        <v>28</v>
      </c>
      <c r="U4" s="273" t="s">
        <v>29</v>
      </c>
    </row>
    <row r="5" spans="2:21" s="9" customFormat="1" ht="15.6">
      <c r="B5" s="18"/>
      <c r="C5" s="18"/>
      <c r="D5" s="18"/>
      <c r="E5" s="18"/>
      <c r="F5" s="18"/>
      <c r="M5" s="274" t="s">
        <v>106</v>
      </c>
      <c r="N5" s="275"/>
      <c r="O5" s="274" t="str">
        <f>LEFT($M$5,1)&amp;LEFT(B2,1)&amp;EnergyBalance!$C$44</f>
        <v>DROT</v>
      </c>
      <c r="P5" s="274" t="str">
        <f>LEFT($D$2,6)&amp;" "&amp;$C$2&amp; " Sector - "&amp;EnergyBalance!$U$44</f>
        <v>Demand Residential Sector - Other</v>
      </c>
      <c r="Q5" s="274" t="str">
        <f>$E$2</f>
        <v>PJ</v>
      </c>
      <c r="R5" s="274"/>
      <c r="S5" s="274"/>
      <c r="T5" s="274"/>
      <c r="U5" s="274"/>
    </row>
    <row r="6" spans="2:21">
      <c r="M6" s="276" t="s">
        <v>145</v>
      </c>
      <c r="N6" s="276"/>
      <c r="O6" s="276" t="str">
        <f>$B$2&amp;EnergyBalance!$C$52</f>
        <v>RSDCO2</v>
      </c>
      <c r="P6" s="276" t="str">
        <f>$C$2&amp;" "&amp;EnergyBalance!$C$53</f>
        <v>Residential Carbon dioxide</v>
      </c>
      <c r="Q6" s="276" t="str">
        <f>EnergyBalance!$X$2</f>
        <v>kt</v>
      </c>
      <c r="R6" s="276"/>
      <c r="S6" s="276"/>
      <c r="T6" s="276"/>
      <c r="U6" s="276"/>
    </row>
    <row r="8" spans="2:21">
      <c r="D8" s="7" t="s">
        <v>13</v>
      </c>
      <c r="E8" s="7"/>
      <c r="G8" s="7"/>
      <c r="H8" s="8"/>
      <c r="I8" s="6"/>
      <c r="J8" s="25"/>
      <c r="M8" s="269" t="s">
        <v>15</v>
      </c>
      <c r="N8" s="269"/>
      <c r="O8" s="276"/>
      <c r="P8" s="276"/>
      <c r="Q8" s="276"/>
      <c r="R8" s="276"/>
      <c r="S8" s="276"/>
      <c r="T8" s="276"/>
      <c r="U8" s="276"/>
    </row>
    <row r="9" spans="2:21">
      <c r="B9" s="29" t="s">
        <v>1</v>
      </c>
      <c r="C9" s="29" t="s">
        <v>5</v>
      </c>
      <c r="D9" s="29" t="s">
        <v>6</v>
      </c>
      <c r="E9" s="216" t="s">
        <v>193</v>
      </c>
      <c r="F9" s="217" t="s">
        <v>109</v>
      </c>
      <c r="G9" s="217" t="s">
        <v>125</v>
      </c>
      <c r="H9" s="217" t="s">
        <v>107</v>
      </c>
      <c r="I9" s="217" t="s">
        <v>108</v>
      </c>
      <c r="J9" s="216" t="s">
        <v>102</v>
      </c>
      <c r="K9" s="216" t="s">
        <v>131</v>
      </c>
      <c r="M9" s="271" t="s">
        <v>11</v>
      </c>
      <c r="N9" s="272" t="s">
        <v>30</v>
      </c>
      <c r="O9" s="271" t="s">
        <v>1</v>
      </c>
      <c r="P9" s="271" t="s">
        <v>2</v>
      </c>
      <c r="Q9" s="271" t="s">
        <v>16</v>
      </c>
      <c r="R9" s="271" t="s">
        <v>17</v>
      </c>
      <c r="S9" s="271" t="s">
        <v>18</v>
      </c>
      <c r="T9" s="271" t="s">
        <v>19</v>
      </c>
      <c r="U9" s="271" t="s">
        <v>20</v>
      </c>
    </row>
    <row r="10" spans="2:21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0" t="s">
        <v>126</v>
      </c>
      <c r="H10" s="27" t="s">
        <v>123</v>
      </c>
      <c r="I10" s="27" t="s">
        <v>122</v>
      </c>
      <c r="J10" s="27" t="s">
        <v>261</v>
      </c>
      <c r="K10" s="27" t="s">
        <v>144</v>
      </c>
      <c r="M10" s="273" t="s">
        <v>41</v>
      </c>
      <c r="N10" s="273" t="s">
        <v>31</v>
      </c>
      <c r="O10" s="273" t="s">
        <v>21</v>
      </c>
      <c r="P10" s="273" t="s">
        <v>22</v>
      </c>
      <c r="Q10" s="273" t="s">
        <v>23</v>
      </c>
      <c r="R10" s="273" t="s">
        <v>24</v>
      </c>
      <c r="S10" s="273" t="s">
        <v>46</v>
      </c>
      <c r="T10" s="273" t="s">
        <v>45</v>
      </c>
      <c r="U10" s="273" t="s">
        <v>25</v>
      </c>
    </row>
    <row r="11" spans="2:21" ht="13.8" thickBot="1">
      <c r="B11" s="93" t="s">
        <v>115</v>
      </c>
      <c r="C11" s="93"/>
      <c r="D11" s="93"/>
      <c r="E11" s="24" t="str">
        <f>E2&amp;"a"</f>
        <v>PJa</v>
      </c>
      <c r="F11" s="24"/>
      <c r="G11" s="220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K11" s="24" t="str">
        <f>EnergyBalance!X2</f>
        <v>kt</v>
      </c>
      <c r="M11" s="273" t="s">
        <v>104</v>
      </c>
      <c r="N11" s="273"/>
      <c r="O11" s="273"/>
      <c r="P11" s="273"/>
      <c r="Q11" s="273"/>
      <c r="R11" s="273"/>
      <c r="S11" s="273"/>
      <c r="T11" s="273"/>
      <c r="U11" s="273"/>
    </row>
    <row r="12" spans="2:21">
      <c r="B12" t="str">
        <f>O12</f>
        <v>ROTEGAS</v>
      </c>
      <c r="C12" t="str">
        <f>$B$2&amp;RIGHT(B12,3)</f>
        <v>RSDGAS</v>
      </c>
      <c r="D12" t="str">
        <f>$O$5</f>
        <v>DROT</v>
      </c>
      <c r="E12" s="182">
        <f>'EB2'!$E$16/$G$12*1.01</f>
        <v>0</v>
      </c>
      <c r="F12" s="188">
        <v>1</v>
      </c>
      <c r="G12" s="188">
        <v>0.95</v>
      </c>
      <c r="H12" s="112"/>
      <c r="I12" s="188">
        <f>H12*0.02</f>
        <v>0</v>
      </c>
      <c r="J12" s="112">
        <v>20</v>
      </c>
      <c r="M12" s="274" t="s">
        <v>124</v>
      </c>
      <c r="N12" s="275"/>
      <c r="O12" s="275" t="str">
        <f>LEFT(EnergyBalance!$B$16)&amp;EnergyBalance!$C$44&amp;$H$2&amp;EnergyBalance!E2</f>
        <v>ROTEGAS</v>
      </c>
      <c r="P12" s="290" t="str">
        <f>$D$2&amp;" "&amp;$C$2&amp; " Sector - "&amp;" "&amp;$H$1&amp;" "&amp;EnergyBalance!$U$44&amp;" - "&amp;EnergyBalance!$E$3</f>
        <v>Demand Technologies Residential Sector -  Existing Other - Natural Gas</v>
      </c>
      <c r="Q12" s="275" t="str">
        <f>$E$2</f>
        <v>PJ</v>
      </c>
      <c r="R12" s="275" t="str">
        <f>$E$2&amp;"a"</f>
        <v>PJa</v>
      </c>
      <c r="S12" s="275"/>
      <c r="T12" s="275"/>
      <c r="U12" s="275"/>
    </row>
    <row r="13" spans="2:21">
      <c r="D13" t="str">
        <f>$O$6</f>
        <v>RSDCO2</v>
      </c>
      <c r="E13" s="14"/>
      <c r="F13" s="28"/>
      <c r="G13" s="28"/>
      <c r="I13" s="28"/>
      <c r="K13" s="112">
        <f>56.1/F12</f>
        <v>56.1</v>
      </c>
      <c r="M13" s="9"/>
      <c r="N13" s="9"/>
      <c r="O13" s="9"/>
      <c r="P13" s="36"/>
      <c r="Q13" s="9"/>
      <c r="R13" s="9"/>
      <c r="S13" s="9"/>
      <c r="T13" s="9"/>
      <c r="U13" s="9"/>
    </row>
    <row r="14" spans="2:21">
      <c r="B14" s="11"/>
      <c r="D14" s="11"/>
      <c r="E14" s="33"/>
      <c r="F14" s="34"/>
      <c r="G14" s="34"/>
      <c r="H14" s="11"/>
      <c r="I14" s="34"/>
      <c r="J14" s="11"/>
      <c r="M14" s="9"/>
      <c r="N14" s="9"/>
      <c r="O14" s="9"/>
      <c r="P14" s="36"/>
      <c r="Q14" s="9"/>
      <c r="R14" s="9"/>
      <c r="S14" s="9"/>
      <c r="T14" s="9"/>
      <c r="U14" s="9"/>
    </row>
    <row r="15" spans="2:21">
      <c r="B15" s="11"/>
      <c r="E15" s="33"/>
      <c r="F15" s="34"/>
      <c r="G15" s="34"/>
      <c r="H15" s="11"/>
      <c r="I15" s="34"/>
      <c r="J15" s="11"/>
      <c r="K15" s="11"/>
      <c r="M15" s="9"/>
      <c r="N15" s="9"/>
      <c r="O15" s="9"/>
      <c r="P15" s="36"/>
      <c r="Q15" s="9"/>
      <c r="R15" s="9"/>
      <c r="S15" s="9"/>
      <c r="T15" s="9"/>
      <c r="U15" s="9"/>
    </row>
    <row r="16" spans="2:21">
      <c r="M16" s="9"/>
      <c r="N16" s="9"/>
      <c r="O16" s="9"/>
      <c r="P16" s="9"/>
      <c r="Q16" s="9"/>
      <c r="R16" s="9"/>
      <c r="S16" s="9"/>
      <c r="T16" s="9"/>
      <c r="U16" s="9"/>
    </row>
    <row r="17" spans="2:21">
      <c r="M17" s="9"/>
      <c r="N17" s="9"/>
      <c r="O17" s="9"/>
      <c r="P17" s="9"/>
      <c r="Q17" s="9"/>
      <c r="R17" s="9"/>
      <c r="S17" s="9"/>
      <c r="T17" s="9"/>
      <c r="U17" s="9"/>
    </row>
    <row r="18" spans="2:21">
      <c r="I18" s="25"/>
      <c r="M18" s="9"/>
      <c r="N18" s="9"/>
      <c r="O18" s="9"/>
      <c r="P18" s="9"/>
      <c r="Q18" s="9"/>
      <c r="R18" s="9"/>
      <c r="S18" s="9"/>
      <c r="T18" s="9"/>
      <c r="U18" s="9"/>
    </row>
    <row r="19" spans="2:21">
      <c r="I19" s="25"/>
      <c r="M19" s="9"/>
      <c r="N19" s="9"/>
      <c r="O19" s="9"/>
      <c r="P19" s="9"/>
      <c r="Q19" s="9"/>
      <c r="R19" s="9"/>
      <c r="S19" s="9"/>
      <c r="T19" s="9"/>
      <c r="U19" s="9"/>
    </row>
    <row r="20" spans="2:21">
      <c r="M20" s="9"/>
      <c r="N20" s="9"/>
      <c r="O20" s="9"/>
      <c r="P20" s="9"/>
      <c r="Q20" s="9"/>
      <c r="R20" s="9"/>
      <c r="S20" s="9"/>
      <c r="T20" s="9"/>
      <c r="U20" s="9"/>
    </row>
    <row r="21" spans="2:21">
      <c r="M21" s="9"/>
      <c r="N21" s="9"/>
      <c r="O21" s="9"/>
      <c r="P21" s="9"/>
      <c r="Q21" s="9"/>
      <c r="R21" s="9"/>
      <c r="S21" s="9"/>
      <c r="T21" s="9"/>
      <c r="U21" s="9"/>
    </row>
    <row r="22" spans="2:21">
      <c r="M22" s="9"/>
      <c r="N22" s="9"/>
      <c r="O22" s="9"/>
      <c r="P22" s="9"/>
      <c r="Q22" s="9"/>
      <c r="R22" s="9"/>
      <c r="S22" s="9"/>
      <c r="T22" s="9"/>
      <c r="U22" s="9"/>
    </row>
    <row r="23" spans="2:21">
      <c r="B23" s="112"/>
      <c r="C23" s="1" t="s">
        <v>232</v>
      </c>
    </row>
    <row r="24" spans="2:21">
      <c r="B24" s="183"/>
      <c r="C24" s="1" t="s">
        <v>233</v>
      </c>
      <c r="K24" s="1"/>
    </row>
    <row r="25" spans="2:21">
      <c r="K25" s="1"/>
      <c r="L25" s="1"/>
    </row>
    <row r="26" spans="2:21">
      <c r="K26" s="1"/>
      <c r="L26" s="1"/>
    </row>
    <row r="27" spans="2:21">
      <c r="K27" s="1"/>
      <c r="L27" s="1"/>
    </row>
    <row r="28" spans="2:21">
      <c r="L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8"/>
  <sheetViews>
    <sheetView zoomScale="90" zoomScaleNormal="90" workbookViewId="0">
      <selection activeCell="I26" sqref="I26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2.33203125" bestFit="1" customWidth="1"/>
    <col min="6" max="6" width="13.109375" bestFit="1" customWidth="1"/>
    <col min="7" max="7" width="10.5546875" bestFit="1" customWidth="1"/>
    <col min="8" max="8" width="15.109375" bestFit="1" customWidth="1"/>
    <col min="9" max="10" width="14.5546875" bestFit="1" customWidth="1"/>
    <col min="11" max="11" width="6.88671875" bestFit="1" customWidth="1"/>
    <col min="12" max="12" width="9.6640625" bestFit="1" customWidth="1"/>
    <col min="13" max="13" width="2" style="61" bestFit="1" customWidth="1"/>
    <col min="14" max="14" width="13.5546875" bestFit="1" customWidth="1"/>
    <col min="15" max="15" width="2" customWidth="1"/>
    <col min="16" max="16" width="12.44140625" customWidth="1"/>
    <col min="17" max="17" width="7.109375" customWidth="1"/>
    <col min="18" max="18" width="12.109375" bestFit="1" customWidth="1"/>
    <col min="19" max="19" width="63.44140625" bestFit="1" customWidth="1"/>
    <col min="20" max="20" width="6.109375" customWidth="1"/>
    <col min="21" max="21" width="12" customWidth="1"/>
    <col min="22" max="22" width="12.88671875" bestFit="1" customWidth="1"/>
    <col min="23" max="23" width="13.33203125" customWidth="1"/>
    <col min="24" max="24" width="8" bestFit="1" customWidth="1"/>
  </cols>
  <sheetData>
    <row r="1" spans="2:24" ht="14.4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G1" s="17" t="s">
        <v>234</v>
      </c>
      <c r="H1" s="17" t="s">
        <v>127</v>
      </c>
      <c r="I1" s="67"/>
      <c r="J1" s="67"/>
    </row>
    <row r="2" spans="2:24" ht="31.2">
      <c r="B2" s="20" t="str">
        <f>EnergyBalance!B20</f>
        <v>TRA</v>
      </c>
      <c r="C2" s="20" t="str">
        <f>EnergyBalance!C20</f>
        <v>Transport</v>
      </c>
      <c r="D2" s="35" t="s">
        <v>155</v>
      </c>
      <c r="E2" s="20" t="str">
        <f>EnergyBalance!W2</f>
        <v>PJ</v>
      </c>
      <c r="F2" s="20" t="str">
        <f>EnergyBalance!V2</f>
        <v>M€2016</v>
      </c>
      <c r="G2" s="86" t="s">
        <v>219</v>
      </c>
      <c r="H2" s="20" t="s">
        <v>128</v>
      </c>
      <c r="I2" s="18"/>
      <c r="J2" s="18"/>
      <c r="P2" s="269" t="s">
        <v>14</v>
      </c>
      <c r="Q2" s="269"/>
      <c r="R2" s="270"/>
      <c r="S2" s="270"/>
      <c r="T2" s="270"/>
      <c r="U2" s="270"/>
      <c r="V2" s="270"/>
      <c r="W2" s="270"/>
      <c r="X2" s="270"/>
    </row>
    <row r="3" spans="2:24">
      <c r="P3" s="271" t="s">
        <v>7</v>
      </c>
      <c r="Q3" s="272" t="s">
        <v>30</v>
      </c>
      <c r="R3" s="271" t="s">
        <v>0</v>
      </c>
      <c r="S3" s="271" t="s">
        <v>3</v>
      </c>
      <c r="T3" s="271" t="s">
        <v>4</v>
      </c>
      <c r="U3" s="271" t="s">
        <v>8</v>
      </c>
      <c r="V3" s="271" t="s">
        <v>9</v>
      </c>
      <c r="W3" s="271" t="s">
        <v>10</v>
      </c>
      <c r="X3" s="271" t="s">
        <v>12</v>
      </c>
    </row>
    <row r="4" spans="2:24" s="9" customFormat="1" ht="22.2" thickBot="1">
      <c r="B4" s="18"/>
      <c r="C4" s="18"/>
      <c r="D4" s="18"/>
      <c r="E4" s="18"/>
      <c r="F4" s="18"/>
      <c r="M4" s="61"/>
      <c r="P4" s="273" t="s">
        <v>40</v>
      </c>
      <c r="Q4" s="273" t="s">
        <v>31</v>
      </c>
      <c r="R4" s="273" t="s">
        <v>26</v>
      </c>
      <c r="S4" s="273" t="s">
        <v>27</v>
      </c>
      <c r="T4" s="273" t="s">
        <v>4</v>
      </c>
      <c r="U4" s="273" t="s">
        <v>43</v>
      </c>
      <c r="V4" s="273" t="s">
        <v>44</v>
      </c>
      <c r="W4" s="273" t="s">
        <v>28</v>
      </c>
      <c r="X4" s="273" t="s">
        <v>29</v>
      </c>
    </row>
    <row r="5" spans="2:24" s="9" customFormat="1" ht="15.6">
      <c r="B5" s="18"/>
      <c r="C5" s="18"/>
      <c r="D5" s="18"/>
      <c r="E5" s="18"/>
      <c r="F5" s="18"/>
      <c r="M5" s="61"/>
      <c r="P5" s="274" t="s">
        <v>106</v>
      </c>
      <c r="Q5" s="275"/>
      <c r="R5" s="274" t="str">
        <f>LEFT($P$5,1)&amp;LEFT($B$2,1)&amp;EnergyBalance!$C$49</f>
        <v>DTCAR</v>
      </c>
      <c r="S5" s="274" t="str">
        <f>LEFT($D$2,6)&amp;" "&amp;$C$2&amp; " Sector - "&amp;EnergyBalance!$U$49</f>
        <v>Demand Transport Sector - Cars</v>
      </c>
      <c r="T5" s="274" t="s">
        <v>265</v>
      </c>
      <c r="U5" s="274"/>
      <c r="V5" s="274"/>
      <c r="W5" s="274"/>
      <c r="X5" s="274"/>
    </row>
    <row r="6" spans="2:24">
      <c r="P6" s="276" t="s">
        <v>145</v>
      </c>
      <c r="Q6" s="276"/>
      <c r="R6" s="276" t="str">
        <f>$B$2&amp;EnergyBalance!$C$52</f>
        <v>TRACO2</v>
      </c>
      <c r="S6" s="276" t="str">
        <f>$C$2&amp;" "&amp;EnergyBalance!$C$53</f>
        <v>Transport Carbon dioxide</v>
      </c>
      <c r="T6" s="276" t="str">
        <f>EnergyBalance!$X$2</f>
        <v>kt</v>
      </c>
      <c r="U6" s="276"/>
      <c r="V6" s="276"/>
      <c r="W6" s="276"/>
      <c r="X6" s="276"/>
    </row>
    <row r="8" spans="2:24">
      <c r="D8" s="7" t="s">
        <v>13</v>
      </c>
      <c r="E8" s="7"/>
      <c r="G8" s="7"/>
      <c r="J8" s="6"/>
      <c r="K8" s="25"/>
      <c r="P8" s="269" t="s">
        <v>15</v>
      </c>
      <c r="Q8" s="269"/>
      <c r="R8" s="276"/>
      <c r="S8" s="276"/>
      <c r="T8" s="276"/>
      <c r="U8" s="276"/>
      <c r="V8" s="276"/>
      <c r="W8" s="276"/>
      <c r="X8" s="276"/>
    </row>
    <row r="9" spans="2:24">
      <c r="B9" s="29" t="s">
        <v>1</v>
      </c>
      <c r="C9" s="29" t="s">
        <v>5</v>
      </c>
      <c r="D9" s="29" t="s">
        <v>6</v>
      </c>
      <c r="E9" s="216" t="s">
        <v>193</v>
      </c>
      <c r="F9" s="217" t="s">
        <v>109</v>
      </c>
      <c r="G9" s="217" t="s">
        <v>125</v>
      </c>
      <c r="H9" s="217" t="s">
        <v>215</v>
      </c>
      <c r="I9" s="216" t="s">
        <v>107</v>
      </c>
      <c r="J9" s="217" t="s">
        <v>108</v>
      </c>
      <c r="K9" s="216" t="s">
        <v>102</v>
      </c>
      <c r="L9" s="216" t="s">
        <v>260</v>
      </c>
      <c r="M9" s="58"/>
      <c r="N9" s="83" t="s">
        <v>177</v>
      </c>
      <c r="P9" s="271" t="s">
        <v>11</v>
      </c>
      <c r="Q9" s="272" t="s">
        <v>30</v>
      </c>
      <c r="R9" s="271" t="s">
        <v>1</v>
      </c>
      <c r="S9" s="271" t="s">
        <v>2</v>
      </c>
      <c r="T9" s="271" t="s">
        <v>16</v>
      </c>
      <c r="U9" s="271" t="s">
        <v>17</v>
      </c>
      <c r="V9" s="271" t="s">
        <v>18</v>
      </c>
      <c r="W9" s="271" t="s">
        <v>19</v>
      </c>
      <c r="X9" s="271" t="s">
        <v>20</v>
      </c>
    </row>
    <row r="10" spans="2:24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0" t="s">
        <v>126</v>
      </c>
      <c r="H10" s="250" t="s">
        <v>216</v>
      </c>
      <c r="I10" s="27" t="s">
        <v>123</v>
      </c>
      <c r="J10" s="27" t="s">
        <v>122</v>
      </c>
      <c r="K10" s="27" t="s">
        <v>261</v>
      </c>
      <c r="L10" s="27"/>
      <c r="M10" s="82"/>
      <c r="N10" s="261" t="s">
        <v>35</v>
      </c>
      <c r="P10" s="273" t="s">
        <v>41</v>
      </c>
      <c r="Q10" s="273" t="s">
        <v>31</v>
      </c>
      <c r="R10" s="273" t="s">
        <v>21</v>
      </c>
      <c r="S10" s="273" t="s">
        <v>22</v>
      </c>
      <c r="T10" s="273" t="s">
        <v>23</v>
      </c>
      <c r="U10" s="273" t="s">
        <v>24</v>
      </c>
      <c r="V10" s="273" t="s">
        <v>46</v>
      </c>
      <c r="W10" s="273" t="s">
        <v>45</v>
      </c>
      <c r="X10" s="273" t="s">
        <v>25</v>
      </c>
    </row>
    <row r="11" spans="2:24" ht="13.8" thickBot="1">
      <c r="B11" s="93" t="s">
        <v>115</v>
      </c>
      <c r="C11" s="93"/>
      <c r="D11" s="93"/>
      <c r="E11" s="24" t="str">
        <f>G2</f>
        <v>000_Units</v>
      </c>
      <c r="F11" s="24" t="s">
        <v>263</v>
      </c>
      <c r="G11" s="219" t="s">
        <v>217</v>
      </c>
      <c r="H11" s="220" t="s">
        <v>218</v>
      </c>
      <c r="I11" s="24" t="str">
        <f>$F$2&amp;"/"&amp;G2</f>
        <v>M€2016/000_Units</v>
      </c>
      <c r="J11" s="24" t="str">
        <f>$F$2&amp;"/"&amp;G2</f>
        <v>M€2016/000_Units</v>
      </c>
      <c r="K11" s="24" t="s">
        <v>116</v>
      </c>
      <c r="L11" s="24" t="s">
        <v>264</v>
      </c>
      <c r="M11" s="82"/>
      <c r="N11" s="261" t="s">
        <v>267</v>
      </c>
      <c r="P11" s="273" t="s">
        <v>104</v>
      </c>
      <c r="Q11" s="273"/>
      <c r="R11" s="273"/>
      <c r="S11" s="273"/>
      <c r="T11" s="273"/>
      <c r="U11" s="273"/>
      <c r="V11" s="273"/>
      <c r="W11" s="273"/>
      <c r="X11" s="273"/>
    </row>
    <row r="12" spans="2:24">
      <c r="B12" t="str">
        <f>R12</f>
        <v>TCAREDSL</v>
      </c>
      <c r="C12" t="str">
        <f>$B$2&amp;RIGHT(B12,3)</f>
        <v>TRADSL</v>
      </c>
      <c r="D12" t="str">
        <f>$R$5</f>
        <v>DTCAR</v>
      </c>
      <c r="E12" s="182">
        <f>('EB2'!G$20*F12/(L12*G12))*1.01</f>
        <v>315.54369806060606</v>
      </c>
      <c r="F12" s="188">
        <v>0.41</v>
      </c>
      <c r="G12" s="189">
        <v>16.5</v>
      </c>
      <c r="H12" s="188">
        <v>1.25</v>
      </c>
      <c r="I12" s="112"/>
      <c r="J12" s="188">
        <v>0.16</v>
      </c>
      <c r="K12" s="112">
        <v>10</v>
      </c>
      <c r="L12" s="202">
        <v>1E-3</v>
      </c>
      <c r="N12" s="84">
        <f>E12*G12*L12*H12</f>
        <v>6.5080887725000007</v>
      </c>
      <c r="P12" s="274" t="s">
        <v>124</v>
      </c>
      <c r="Q12" s="275"/>
      <c r="R12" s="275" t="str">
        <f>LEFT($B$2)&amp;EnergyBalance!$C$49&amp;$H$2&amp;EnergyBalance!$G$2</f>
        <v>TCAREDSL</v>
      </c>
      <c r="S12" s="278" t="str">
        <f>$D$2&amp;" "&amp;$C$2&amp; " Sector - "&amp;" "&amp;$H$1&amp;" "&amp;EnergyBalance!$U$49&amp;" - "&amp;EnergyBalance!$G$3</f>
        <v>Demand Technologies Transport Sector -  Existing Cars - Diesel oil</v>
      </c>
      <c r="T12" s="274" t="s">
        <v>265</v>
      </c>
      <c r="U12" s="274" t="str">
        <f>$G$2</f>
        <v>000_Units</v>
      </c>
      <c r="V12" s="275"/>
      <c r="W12" s="274" t="s">
        <v>220</v>
      </c>
      <c r="X12" s="275"/>
    </row>
    <row r="13" spans="2:24">
      <c r="B13" t="str">
        <f>R13</f>
        <v>TCARELPG</v>
      </c>
      <c r="C13" t="str">
        <f>$B$2&amp;RIGHT(B13,3)</f>
        <v>TRALPG</v>
      </c>
      <c r="D13" t="str">
        <f>$R$5</f>
        <v>DTCAR</v>
      </c>
      <c r="E13" s="182">
        <f>('EB2'!I$20*F13/(L13*G13))*1.01</f>
        <v>0</v>
      </c>
      <c r="F13" s="188">
        <v>0.38</v>
      </c>
      <c r="G13" s="189">
        <v>14</v>
      </c>
      <c r="H13" s="188">
        <v>1.25</v>
      </c>
      <c r="I13" s="188"/>
      <c r="J13" s="186">
        <v>0.16</v>
      </c>
      <c r="K13" s="112">
        <v>10</v>
      </c>
      <c r="L13" s="202">
        <v>1E-3</v>
      </c>
      <c r="N13" s="85">
        <f>E13*G13*L13*H13</f>
        <v>0</v>
      </c>
      <c r="P13" s="275"/>
      <c r="Q13" s="275"/>
      <c r="R13" s="275" t="str">
        <f>LEFT($B$2)&amp;EnergyBalance!$C$49&amp;$H$2&amp;EnergyBalance!$I$2</f>
        <v>TCARELPG</v>
      </c>
      <c r="S13" s="278" t="str">
        <f>$D$2&amp;" "&amp;$C$2&amp; " Sector - "&amp;" "&amp;$H$1&amp;" "&amp;EnergyBalance!$U$49&amp;" - "&amp;EnergyBalance!$I$3</f>
        <v>Demand Technologies Transport Sector -  Existing Cars - LPG</v>
      </c>
      <c r="T13" s="274" t="s">
        <v>265</v>
      </c>
      <c r="U13" s="274" t="str">
        <f>$G$2</f>
        <v>000_Units</v>
      </c>
      <c r="V13" s="275"/>
      <c r="W13" s="274" t="s">
        <v>220</v>
      </c>
      <c r="X13" s="275"/>
    </row>
    <row r="14" spans="2:24">
      <c r="B14" t="str">
        <f>R14</f>
        <v>TCAREGSL</v>
      </c>
      <c r="C14" t="str">
        <f>$B$2&amp;RIGHT(B14,3)</f>
        <v>TRAGSL</v>
      </c>
      <c r="D14" t="str">
        <f>$R$5</f>
        <v>DTCAR</v>
      </c>
      <c r="E14" s="182">
        <f>('EB2'!J$20*F14/(L14*G14))*1.01</f>
        <v>1370.3824034782608</v>
      </c>
      <c r="F14" s="180">
        <v>0.4</v>
      </c>
      <c r="G14" s="198">
        <v>11.5</v>
      </c>
      <c r="H14" s="188">
        <v>1.25</v>
      </c>
      <c r="I14" s="188"/>
      <c r="J14" s="188">
        <v>0.15</v>
      </c>
      <c r="K14" s="112">
        <v>10</v>
      </c>
      <c r="L14" s="202">
        <v>1E-3</v>
      </c>
      <c r="N14" s="85">
        <f>E14*G14*L14*H14</f>
        <v>19.69924705</v>
      </c>
      <c r="P14" s="275"/>
      <c r="Q14" s="275"/>
      <c r="R14" s="275" t="str">
        <f>LEFT($B$2)&amp;EnergyBalance!$C$49&amp;$H$2&amp;EnergyBalance!$J$2</f>
        <v>TCAREGSL</v>
      </c>
      <c r="S14" s="290" t="str">
        <f>$D$2&amp;" "&amp;$C$2&amp; " Sector - "&amp;" "&amp;$H$1&amp;" "&amp;EnergyBalance!$U$49&amp;" - "&amp;EnergyBalance!$J$3</f>
        <v>Demand Technologies Transport Sector -  Existing Cars - Motor spirit</v>
      </c>
      <c r="T14" s="274" t="s">
        <v>265</v>
      </c>
      <c r="U14" s="274" t="str">
        <f>$G$2</f>
        <v>000_Units</v>
      </c>
      <c r="V14" s="275"/>
      <c r="W14" s="274" t="s">
        <v>220</v>
      </c>
      <c r="X14" s="275"/>
    </row>
    <row r="15" spans="2:24">
      <c r="B15" t="str">
        <f>R15</f>
        <v>TCAREGAS</v>
      </c>
      <c r="C15" t="str">
        <f>$B$2&amp;RIGHT(B15,3)</f>
        <v>TRAGAS</v>
      </c>
      <c r="D15" t="str">
        <f>$R$5</f>
        <v>DTCAR</v>
      </c>
      <c r="E15" s="182">
        <f>('EB2'!E$20*F15/(L15*G15))*1.01</f>
        <v>188.2374514285714</v>
      </c>
      <c r="F15" s="112">
        <v>0.38</v>
      </c>
      <c r="G15" s="112">
        <v>14</v>
      </c>
      <c r="H15" s="188">
        <v>1.25</v>
      </c>
      <c r="I15" s="188"/>
      <c r="J15" s="188">
        <v>0.16</v>
      </c>
      <c r="K15" s="112">
        <v>10</v>
      </c>
      <c r="L15" s="202">
        <v>1E-3</v>
      </c>
      <c r="N15" s="85">
        <f>E15*G15*L15*H15</f>
        <v>3.2941553999999993</v>
      </c>
      <c r="P15" s="275"/>
      <c r="Q15" s="275"/>
      <c r="R15" s="275" t="str">
        <f>LEFT($B$2)&amp;EnergyBalance!$C$49&amp;$H$2&amp;EnergyBalance!$E$2</f>
        <v>TCAREGAS</v>
      </c>
      <c r="S15" s="290" t="str">
        <f>$D$2&amp;" "&amp;$C$2&amp; " Sector - "&amp;" "&amp;$H$1&amp;" "&amp;EnergyBalance!$U$49&amp;" - "&amp;EnergyBalance!$E$3</f>
        <v>Demand Technologies Transport Sector -  Existing Cars - Natural Gas</v>
      </c>
      <c r="T15" s="274" t="s">
        <v>265</v>
      </c>
      <c r="U15" s="274" t="str">
        <f>$G$2</f>
        <v>000_Units</v>
      </c>
      <c r="V15" s="275"/>
      <c r="W15" s="274" t="s">
        <v>220</v>
      </c>
      <c r="X15" s="275"/>
    </row>
    <row r="16" spans="2:24">
      <c r="N16" s="92"/>
      <c r="P16" s="9"/>
      <c r="Q16" s="9"/>
      <c r="R16" s="9"/>
      <c r="S16" s="9"/>
      <c r="T16" s="9"/>
      <c r="U16" s="9"/>
      <c r="V16" s="9"/>
      <c r="W16" s="9"/>
      <c r="X16" s="9"/>
    </row>
    <row r="17" spans="1:25">
      <c r="E17" s="14"/>
      <c r="J17" s="25"/>
      <c r="N17" s="11"/>
      <c r="P17" s="9"/>
      <c r="Q17" s="9"/>
      <c r="R17" s="9"/>
      <c r="S17" s="9"/>
      <c r="T17" s="9"/>
      <c r="U17" s="9"/>
      <c r="V17" s="9"/>
      <c r="W17" s="9"/>
      <c r="X17" s="9"/>
    </row>
    <row r="18" spans="1:25">
      <c r="J18" s="25"/>
      <c r="P18" s="9"/>
      <c r="Q18" s="9"/>
      <c r="R18" s="9"/>
      <c r="S18" s="9"/>
      <c r="T18" s="9"/>
      <c r="U18" s="9"/>
      <c r="V18" s="9"/>
      <c r="W18" s="9"/>
      <c r="X18" s="9"/>
    </row>
    <row r="19" spans="1:25">
      <c r="P19" s="9"/>
      <c r="Q19" s="9"/>
      <c r="R19" s="9"/>
      <c r="S19" s="9"/>
      <c r="T19" s="9"/>
      <c r="U19" s="9"/>
      <c r="V19" s="9"/>
      <c r="W19" s="9"/>
      <c r="X19" s="9"/>
    </row>
    <row r="20" spans="1:25">
      <c r="P20" s="9"/>
      <c r="Q20" s="9"/>
      <c r="R20" s="9"/>
      <c r="S20" s="9"/>
      <c r="T20" s="9"/>
      <c r="U20" s="9"/>
      <c r="V20" s="9"/>
      <c r="W20" s="9"/>
      <c r="X20" s="9"/>
    </row>
    <row r="21" spans="1:25">
      <c r="P21" s="9"/>
      <c r="Q21" s="9"/>
      <c r="R21" s="9"/>
      <c r="S21" s="9"/>
      <c r="T21" s="9"/>
      <c r="U21" s="9"/>
      <c r="V21" s="9"/>
      <c r="W21" s="9"/>
      <c r="X21" s="9"/>
    </row>
    <row r="23" spans="1:25">
      <c r="B23" s="112"/>
      <c r="C23" s="1" t="s">
        <v>232</v>
      </c>
      <c r="L23" s="1"/>
      <c r="M23" s="15"/>
      <c r="N23" s="1"/>
    </row>
    <row r="24" spans="1:25">
      <c r="B24" s="183"/>
      <c r="C24" s="1" t="s">
        <v>233</v>
      </c>
      <c r="L24" s="1"/>
      <c r="M24" s="15"/>
      <c r="N24" s="1"/>
      <c r="O24" s="1"/>
    </row>
    <row r="25" spans="1:25">
      <c r="A25" s="11"/>
      <c r="L25" s="1"/>
      <c r="M25" s="15"/>
      <c r="N25" s="1"/>
      <c r="O25" s="1"/>
    </row>
    <row r="26" spans="1:25" s="11" customFormat="1">
      <c r="A26"/>
      <c r="B26"/>
      <c r="C26"/>
      <c r="D26"/>
      <c r="E26"/>
      <c r="F26"/>
      <c r="G26"/>
      <c r="H26"/>
      <c r="I26"/>
      <c r="J26"/>
      <c r="K26"/>
      <c r="L26" s="1"/>
      <c r="M26" s="15"/>
      <c r="N26" s="1"/>
      <c r="O26" s="1"/>
      <c r="P26"/>
      <c r="Q26"/>
      <c r="R26"/>
      <c r="S26"/>
      <c r="T26"/>
      <c r="U26"/>
      <c r="V26"/>
      <c r="W26"/>
      <c r="X26"/>
      <c r="Y26"/>
    </row>
    <row r="27" spans="1:25">
      <c r="E27" s="1"/>
      <c r="O27" s="1"/>
      <c r="Y27" s="11"/>
    </row>
    <row r="28" spans="1:25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K23" sqref="K23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8" width="11.33203125" customWidth="1"/>
    <col min="9" max="9" width="9.6640625" customWidth="1"/>
    <col min="10" max="10" width="2" bestFit="1" customWidth="1"/>
    <col min="11" max="11" width="11.88671875" customWidth="1"/>
    <col min="12" max="12" width="2" bestFit="1" customWidth="1"/>
    <col min="13" max="13" width="11.44140625" bestFit="1" customWidth="1"/>
    <col min="14" max="14" width="13.5546875" customWidth="1"/>
    <col min="15" max="15" width="5" bestFit="1" customWidth="1"/>
  </cols>
  <sheetData>
    <row r="1" spans="2:16" ht="14.4">
      <c r="B1" s="17" t="s">
        <v>94</v>
      </c>
      <c r="C1" s="17" t="s">
        <v>95</v>
      </c>
      <c r="D1" s="17"/>
      <c r="E1" s="17" t="s">
        <v>96</v>
      </c>
      <c r="F1" s="17" t="s">
        <v>98</v>
      </c>
      <c r="H1" s="17" t="s">
        <v>99</v>
      </c>
    </row>
    <row r="2" spans="2:16" ht="15.6">
      <c r="B2" s="20" t="s">
        <v>106</v>
      </c>
      <c r="C2" s="20"/>
      <c r="D2" s="20"/>
      <c r="E2" s="20"/>
      <c r="F2" s="20" t="str">
        <f>EnergyBalance!W2</f>
        <v>PJ</v>
      </c>
      <c r="H2" s="20" t="str">
        <f>EnergyBalance!V2</f>
        <v>M€2016</v>
      </c>
    </row>
    <row r="5" spans="2:16">
      <c r="C5" s="5" t="s">
        <v>13</v>
      </c>
      <c r="D5" s="5"/>
      <c r="E5" s="1"/>
      <c r="O5" s="5" t="s">
        <v>13</v>
      </c>
      <c r="P5" s="1"/>
    </row>
    <row r="6" spans="2:16">
      <c r="B6" s="4" t="s">
        <v>103</v>
      </c>
      <c r="C6" s="4" t="s">
        <v>0</v>
      </c>
      <c r="D6" s="4" t="s">
        <v>223</v>
      </c>
      <c r="E6" s="323">
        <v>2016</v>
      </c>
      <c r="F6" s="323">
        <v>2017</v>
      </c>
      <c r="G6" s="323">
        <v>2020</v>
      </c>
      <c r="H6" s="323">
        <v>2025</v>
      </c>
      <c r="I6" s="323">
        <v>2030</v>
      </c>
      <c r="M6" s="4" t="s">
        <v>103</v>
      </c>
      <c r="N6" s="4" t="s">
        <v>0</v>
      </c>
      <c r="O6" s="4" t="s">
        <v>179</v>
      </c>
      <c r="P6" s="4">
        <v>2016</v>
      </c>
    </row>
    <row r="7" spans="2:16" ht="21">
      <c r="B7" s="27" t="s">
        <v>104</v>
      </c>
      <c r="C7" s="27" t="s">
        <v>105</v>
      </c>
      <c r="D7" s="27" t="s">
        <v>224</v>
      </c>
      <c r="E7" s="215" t="s">
        <v>36</v>
      </c>
      <c r="F7" s="215"/>
      <c r="G7" s="215"/>
      <c r="H7" s="215"/>
      <c r="I7" s="215"/>
      <c r="K7" s="203" t="s">
        <v>178</v>
      </c>
      <c r="M7" s="27" t="s">
        <v>104</v>
      </c>
      <c r="N7" s="27" t="s">
        <v>105</v>
      </c>
      <c r="O7" s="27"/>
      <c r="P7" s="27"/>
    </row>
    <row r="8" spans="2:16" ht="13.8" thickBot="1">
      <c r="B8" s="93" t="s">
        <v>115</v>
      </c>
      <c r="C8" s="93"/>
      <c r="D8" s="93"/>
      <c r="E8" s="24" t="str">
        <f>F2</f>
        <v>PJ</v>
      </c>
      <c r="F8" s="24"/>
      <c r="G8" s="24"/>
      <c r="H8" s="24"/>
      <c r="I8" s="24"/>
      <c r="K8" s="204"/>
      <c r="M8" s="93" t="s">
        <v>115</v>
      </c>
      <c r="N8" s="93"/>
      <c r="O8" s="93"/>
      <c r="P8" s="93"/>
    </row>
    <row r="9" spans="2:16">
      <c r="B9" s="91" t="s">
        <v>35</v>
      </c>
      <c r="C9" s="91" t="str">
        <f>DemTechs_TPS!N5</f>
        <v>TPSCOA</v>
      </c>
      <c r="D9" s="91" t="s">
        <v>97</v>
      </c>
      <c r="E9" s="224">
        <f>'EB2'!$D$24</f>
        <v>0</v>
      </c>
      <c r="F9" s="227"/>
      <c r="G9" s="227"/>
      <c r="H9" s="227"/>
      <c r="I9" s="227"/>
      <c r="K9" s="195"/>
      <c r="M9" s="1" t="s">
        <v>180</v>
      </c>
      <c r="N9" s="11" t="str">
        <f>DemTechs_ELC!$N$5</f>
        <v>TPSELC</v>
      </c>
      <c r="O9" s="64" t="s">
        <v>181</v>
      </c>
      <c r="P9" s="185">
        <v>0.34</v>
      </c>
    </row>
    <row r="10" spans="2:16">
      <c r="B10" s="11" t="s">
        <v>35</v>
      </c>
      <c r="C10" s="11" t="str">
        <f>DemTechs_RSD!$O$5</f>
        <v>DROT</v>
      </c>
      <c r="D10" s="43" t="s">
        <v>97</v>
      </c>
      <c r="E10" s="225">
        <f>'EB2'!$E$16</f>
        <v>0</v>
      </c>
      <c r="F10" s="228"/>
      <c r="G10" s="228"/>
      <c r="H10" s="228"/>
      <c r="I10" s="228"/>
      <c r="K10" s="198"/>
      <c r="M10" s="1" t="s">
        <v>180</v>
      </c>
      <c r="N10" s="11" t="str">
        <f>DemTechs_ELC!$N$5</f>
        <v>TPSELC</v>
      </c>
      <c r="O10" s="64" t="s">
        <v>182</v>
      </c>
      <c r="P10" s="185">
        <v>0.15</v>
      </c>
    </row>
    <row r="11" spans="2:16">
      <c r="B11" s="11" t="s">
        <v>35</v>
      </c>
      <c r="C11" s="11" t="str">
        <f>DemTechs_TRA!$R$5</f>
        <v>DTCAR</v>
      </c>
      <c r="D11" s="43" t="s">
        <v>266</v>
      </c>
      <c r="E11" s="225">
        <f>SUM(DemTechs_TRA!N12:N15)</f>
        <v>29.5014912225</v>
      </c>
      <c r="F11" s="225"/>
      <c r="G11" s="225"/>
      <c r="H11" s="225"/>
      <c r="I11" s="225"/>
      <c r="K11" s="205"/>
      <c r="M11" s="1" t="s">
        <v>180</v>
      </c>
      <c r="N11" s="11" t="str">
        <f>DemTechs_ELC!$N$5</f>
        <v>TPSELC</v>
      </c>
      <c r="O11" s="64" t="s">
        <v>183</v>
      </c>
      <c r="P11" s="185">
        <v>0.27</v>
      </c>
    </row>
    <row r="12" spans="2:16">
      <c r="B12" s="47" t="s">
        <v>35</v>
      </c>
      <c r="C12" s="47" t="str">
        <f>DemTechs_ELC!$N$5</f>
        <v>TPSELC</v>
      </c>
      <c r="D12" s="65" t="s">
        <v>97</v>
      </c>
      <c r="E12" s="226">
        <f>'EB2'!$R$24</f>
        <v>27.653850000000002</v>
      </c>
      <c r="F12" s="226">
        <f>$E$12*(1+$K$12)^(F6-$E$6)</f>
        <v>28.206927000000004</v>
      </c>
      <c r="G12" s="226">
        <f>$E$12*(1+$K$12)^(G6-$E$6)</f>
        <v>29.933416587816001</v>
      </c>
      <c r="H12" s="226">
        <f>$E$12*(1+$K$12)^(H6-$E$6)</f>
        <v>33.048910628796094</v>
      </c>
      <c r="I12" s="226">
        <f>$E$12*(1+$K$12)^(I6-$E$6)</f>
        <v>36.488667791926211</v>
      </c>
      <c r="K12" s="206">
        <v>0.02</v>
      </c>
      <c r="M12" s="65" t="s">
        <v>180</v>
      </c>
      <c r="N12" s="47" t="str">
        <f>DemTechs_ELC!$N$5</f>
        <v>TPSELC</v>
      </c>
      <c r="O12" s="66" t="s">
        <v>184</v>
      </c>
      <c r="P12" s="207">
        <v>0.24</v>
      </c>
    </row>
    <row r="15" spans="2:16">
      <c r="E15" s="59"/>
    </row>
    <row r="16" spans="2:16">
      <c r="E16" s="14"/>
    </row>
    <row r="18" spans="2:5">
      <c r="E18" s="14"/>
    </row>
    <row r="23" spans="2:5">
      <c r="C23" t="s">
        <v>232</v>
      </c>
    </row>
    <row r="24" spans="2:5">
      <c r="B24" s="112"/>
      <c r="C24" s="1" t="s">
        <v>233</v>
      </c>
    </row>
    <row r="25" spans="2:5">
      <c r="B25" s="183"/>
      <c r="C25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I24"/>
  <sheetViews>
    <sheetView topLeftCell="A4" workbookViewId="0">
      <selection activeCell="H9" sqref="H9"/>
    </sheetView>
  </sheetViews>
  <sheetFormatPr defaultColWidth="8.88671875" defaultRowHeight="13.2"/>
  <cols>
    <col min="1" max="1" width="8.88671875" style="50"/>
    <col min="2" max="2" width="14.44140625" style="50" customWidth="1"/>
    <col min="3" max="16384" width="8.88671875" style="50"/>
  </cols>
  <sheetData>
    <row r="3" spans="2:9" ht="17.399999999999999" customHeight="1">
      <c r="B3" s="87" t="s">
        <v>221</v>
      </c>
      <c r="C3" s="87"/>
      <c r="D3" s="87"/>
      <c r="E3" s="87"/>
      <c r="F3" s="87"/>
      <c r="G3" s="87"/>
      <c r="H3" s="87"/>
    </row>
    <row r="4" spans="2:9" s="52" customFormat="1" ht="17.399999999999999" customHeight="1">
      <c r="B4" s="88"/>
      <c r="C4" s="88"/>
      <c r="D4" s="88"/>
      <c r="E4" s="88"/>
      <c r="F4" s="88"/>
      <c r="G4" s="88"/>
    </row>
    <row r="5" spans="2:9" ht="17.399999999999999">
      <c r="B5" s="208" t="s">
        <v>222</v>
      </c>
      <c r="C5" s="209"/>
      <c r="D5"/>
      <c r="E5"/>
      <c r="F5"/>
      <c r="G5"/>
      <c r="H5"/>
    </row>
    <row r="6" spans="2:9" ht="13.8" thickBot="1">
      <c r="B6" s="89" t="s">
        <v>0</v>
      </c>
      <c r="C6" s="89" t="s">
        <v>250</v>
      </c>
      <c r="D6" s="89" t="s">
        <v>251</v>
      </c>
      <c r="E6" s="89" t="s">
        <v>252</v>
      </c>
      <c r="F6" s="89" t="s">
        <v>253</v>
      </c>
      <c r="G6" s="89" t="s">
        <v>254</v>
      </c>
      <c r="H6" s="89" t="s">
        <v>255</v>
      </c>
      <c r="I6" s="51"/>
    </row>
    <row r="7" spans="2:9" ht="13.8" thickBot="1">
      <c r="B7" s="93" t="s">
        <v>115</v>
      </c>
      <c r="C7" s="93" t="s">
        <v>235</v>
      </c>
      <c r="D7" s="93" t="s">
        <v>235</v>
      </c>
      <c r="E7" s="93" t="s">
        <v>235</v>
      </c>
      <c r="F7" s="93" t="s">
        <v>235</v>
      </c>
      <c r="G7" s="93" t="s">
        <v>235</v>
      </c>
      <c r="H7" s="93" t="s">
        <v>235</v>
      </c>
      <c r="I7" s="51"/>
    </row>
    <row r="8" spans="2:9">
      <c r="B8" s="90" t="s">
        <v>249</v>
      </c>
      <c r="C8" s="188">
        <v>65</v>
      </c>
      <c r="D8" s="188">
        <v>72</v>
      </c>
      <c r="E8" s="188">
        <v>74</v>
      </c>
      <c r="F8" s="188">
        <v>74</v>
      </c>
      <c r="G8" s="188">
        <v>78</v>
      </c>
      <c r="H8" s="188">
        <v>56</v>
      </c>
    </row>
    <row r="9" spans="2:9">
      <c r="H9" s="187"/>
    </row>
    <row r="23" spans="2:3">
      <c r="B23" s="112"/>
      <c r="C23" s="1" t="s">
        <v>232</v>
      </c>
    </row>
    <row r="24" spans="2:3">
      <c r="B24" s="183"/>
      <c r="C24" s="1" t="s">
        <v>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X57"/>
  <sheetViews>
    <sheetView zoomScale="90" zoomScaleNormal="90" workbookViewId="0">
      <selection activeCell="F22" sqref="F22:F24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18" width="10.88671875" customWidth="1"/>
    <col min="19" max="19" width="6.6640625" bestFit="1" customWidth="1"/>
    <col min="20" max="20" width="2" bestFit="1" customWidth="1"/>
    <col min="21" max="21" width="12.5546875" bestFit="1" customWidth="1"/>
    <col min="23" max="23" width="6.6640625" bestFit="1" customWidth="1"/>
    <col min="24" max="24" width="9.33203125" bestFit="1" customWidth="1"/>
  </cols>
  <sheetData>
    <row r="1" spans="1:24" s="9" customFormat="1">
      <c r="U1" s="37" t="s">
        <v>119</v>
      </c>
      <c r="V1" s="1" t="s">
        <v>120</v>
      </c>
      <c r="W1" s="1" t="s">
        <v>121</v>
      </c>
      <c r="X1" s="1" t="s">
        <v>142</v>
      </c>
    </row>
    <row r="2" spans="1:24" ht="15.6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20" t="s">
        <v>100</v>
      </c>
      <c r="W2" s="20" t="s">
        <v>97</v>
      </c>
      <c r="X2" s="20" t="s">
        <v>143</v>
      </c>
    </row>
    <row r="3" spans="1:24" ht="39.6">
      <c r="C3" s="177" t="s">
        <v>190</v>
      </c>
      <c r="D3" s="95" t="s">
        <v>55</v>
      </c>
      <c r="E3" s="95" t="s">
        <v>56</v>
      </c>
      <c r="F3" s="95" t="s">
        <v>201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</row>
    <row r="4" spans="1:24">
      <c r="C4" s="236" t="s">
        <v>62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O4" s="238"/>
      <c r="P4" s="238"/>
      <c r="Q4" s="238"/>
      <c r="R4" s="238"/>
      <c r="S4" s="239"/>
    </row>
    <row r="5" spans="1:24" ht="14.4">
      <c r="B5" s="97" t="s">
        <v>63</v>
      </c>
      <c r="C5" s="240" t="s">
        <v>64</v>
      </c>
      <c r="D5" s="98">
        <f>EnergyBalance!D5*EnergyBalance!AB5</f>
        <v>8.75</v>
      </c>
      <c r="E5" s="99">
        <f>EnergyBalance!E5*EnergyBalance!AC5</f>
        <v>0</v>
      </c>
      <c r="F5" s="99">
        <f>EnergyBalance!F5*EnergyBalance!AD5</f>
        <v>7.6618499999999994</v>
      </c>
      <c r="G5" s="99">
        <f>EnergyBalance!G5*EnergyBalance!AE5</f>
        <v>0</v>
      </c>
      <c r="H5" s="99">
        <f>EnergyBalance!H5*EnergyBalance!AF5</f>
        <v>0</v>
      </c>
      <c r="I5" s="99">
        <f>EnergyBalance!I5*EnergyBalance!AG5</f>
        <v>8.7930000000000008E-2</v>
      </c>
      <c r="J5" s="99">
        <f>EnergyBalance!J5*EnergyBalance!AH5</f>
        <v>0</v>
      </c>
      <c r="K5" s="99">
        <f>EnergyBalance!K5*EnergyBalance!AI5</f>
        <v>5.0250000000000003E-2</v>
      </c>
      <c r="L5" s="99">
        <f>EnergyBalance!L5*EnergyBalance!AJ5</f>
        <v>0</v>
      </c>
      <c r="M5" s="99">
        <f>EnergyBalance!M5*EnergyBalance!AK5</f>
        <v>0</v>
      </c>
      <c r="N5" s="102">
        <f>EnergyBalance!N5*EnergyBalance!AL5</f>
        <v>0</v>
      </c>
      <c r="O5" s="102">
        <f>EnergyBalance!O5*EnergyBalance!AM5</f>
        <v>423.411</v>
      </c>
      <c r="P5" s="102">
        <f>EnergyBalance!P5*EnergyBalance!AN5</f>
        <v>0</v>
      </c>
      <c r="Q5" s="102">
        <f>EnergyBalance!Q5*EnergyBalance!AO5</f>
        <v>0</v>
      </c>
      <c r="R5" s="102">
        <f>EnergyBalance!R5*EnergyBalance!AP5</f>
        <v>0</v>
      </c>
      <c r="S5" s="241">
        <f>SUM(D5:R5)</f>
        <v>439.96102999999999</v>
      </c>
      <c r="U5" s="14"/>
    </row>
    <row r="6" spans="1:24" ht="14.4">
      <c r="B6" s="97" t="s">
        <v>65</v>
      </c>
      <c r="C6" s="240" t="s">
        <v>66</v>
      </c>
      <c r="D6" s="100">
        <f>EnergyBalance!D6*EnergyBalance!AB6</f>
        <v>8.7089999999999996</v>
      </c>
      <c r="E6" s="101">
        <f>EnergyBalance!E6*EnergyBalance!AC6</f>
        <v>0</v>
      </c>
      <c r="F6" s="101">
        <f>EnergyBalance!F6*EnergyBalance!AD6</f>
        <v>0</v>
      </c>
      <c r="G6" s="101">
        <f>EnergyBalance!G6*EnergyBalance!AE6</f>
        <v>27.017429999999997</v>
      </c>
      <c r="H6" s="101">
        <f>EnergyBalance!H6*EnergyBalance!AF6</f>
        <v>0</v>
      </c>
      <c r="I6" s="101">
        <f>EnergyBalance!I6*EnergyBalance!AG6</f>
        <v>0.43962000000000001</v>
      </c>
      <c r="J6" s="101">
        <f>EnergyBalance!J6*EnergyBalance!AH6</f>
        <v>14.49471</v>
      </c>
      <c r="K6" s="101">
        <f>EnergyBalance!K6*EnergyBalance!AI6</f>
        <v>0</v>
      </c>
      <c r="L6" s="101">
        <f>EnergyBalance!L6*EnergyBalance!AJ6</f>
        <v>0</v>
      </c>
      <c r="M6" s="101">
        <f>EnergyBalance!M6*EnergyBalance!AK6</f>
        <v>5.3255999999999997</v>
      </c>
      <c r="N6" s="102">
        <f>EnergyBalance!N6*EnergyBalance!AL6</f>
        <v>0</v>
      </c>
      <c r="O6" s="102">
        <f>EnergyBalance!O6*EnergyBalance!AM6</f>
        <v>0</v>
      </c>
      <c r="P6" s="102">
        <f>EnergyBalance!P6*EnergyBalance!AN6</f>
        <v>0</v>
      </c>
      <c r="Q6" s="102">
        <f>EnergyBalance!Q6*EnergyBalance!AO6</f>
        <v>0</v>
      </c>
      <c r="R6" s="102">
        <f>EnergyBalance!R6*EnergyBalance!AP6</f>
        <v>0</v>
      </c>
      <c r="S6" s="241">
        <f>SUM(D6:R6)</f>
        <v>55.986359999999991</v>
      </c>
    </row>
    <row r="7" spans="1:24" ht="14.4">
      <c r="B7" s="97" t="s">
        <v>67</v>
      </c>
      <c r="C7" s="240" t="s">
        <v>68</v>
      </c>
      <c r="D7" s="100">
        <f>EnergyBalance!D7*EnergyBalance!AB7</f>
        <v>-0.16750000000000001</v>
      </c>
      <c r="E7" s="101">
        <f>EnergyBalance!E7*EnergyBalance!AC7</f>
        <v>0</v>
      </c>
      <c r="F7" s="101">
        <f>EnergyBalance!F7*EnergyBalance!AD7</f>
        <v>-1.8339000000000001</v>
      </c>
      <c r="G7" s="101">
        <f>EnergyBalance!G7*EnergyBalance!AE7</f>
        <v>-2.1729599999999998</v>
      </c>
      <c r="H7" s="101">
        <f>EnergyBalance!H7*EnergyBalance!AF7</f>
        <v>0</v>
      </c>
      <c r="I7" s="101">
        <f>EnergyBalance!I7*EnergyBalance!AG7</f>
        <v>0</v>
      </c>
      <c r="J7" s="101">
        <f>EnergyBalance!J7*EnergyBalance!AH7</f>
        <v>0</v>
      </c>
      <c r="K7" s="101">
        <f>EnergyBalance!K7*EnergyBalance!AI7</f>
        <v>0</v>
      </c>
      <c r="L7" s="101">
        <f>EnergyBalance!L7*EnergyBalance!AJ7</f>
        <v>0</v>
      </c>
      <c r="M7" s="101">
        <f>EnergyBalance!M7*EnergyBalance!AK7</f>
        <v>0</v>
      </c>
      <c r="N7" s="102">
        <f>EnergyBalance!N7*EnergyBalance!AL7</f>
        <v>0</v>
      </c>
      <c r="O7" s="102">
        <f>EnergyBalance!O7*EnergyBalance!AM7</f>
        <v>0</v>
      </c>
      <c r="P7" s="102">
        <f>EnergyBalance!P7*EnergyBalance!AN7</f>
        <v>0</v>
      </c>
      <c r="Q7" s="102">
        <f>EnergyBalance!Q7*EnergyBalance!AO7</f>
        <v>0</v>
      </c>
      <c r="R7" s="102">
        <f>EnergyBalance!R7*EnergyBalance!AP7</f>
        <v>-4.2914500000000002</v>
      </c>
      <c r="S7" s="241">
        <f>SUM(D7:R7)</f>
        <v>-8.4658100000000012</v>
      </c>
      <c r="U7" s="14"/>
    </row>
    <row r="8" spans="1:24" ht="14.4">
      <c r="B8" s="229" t="s">
        <v>247</v>
      </c>
      <c r="C8" s="104" t="s">
        <v>248</v>
      </c>
      <c r="D8" s="105">
        <f>SUM(D5:D7)</f>
        <v>17.291499999999999</v>
      </c>
      <c r="E8" s="106">
        <f t="shared" ref="E8:R8" si="0">SUM(E5:E7)</f>
        <v>0</v>
      </c>
      <c r="F8" s="106">
        <f t="shared" si="0"/>
        <v>5.8279499999999995</v>
      </c>
      <c r="G8" s="106">
        <f t="shared" ref="G8:M8" si="1">SUM(G5:G7)</f>
        <v>24.844469999999998</v>
      </c>
      <c r="H8" s="106">
        <f t="shared" si="1"/>
        <v>0</v>
      </c>
      <c r="I8" s="106">
        <f t="shared" si="1"/>
        <v>0.52754999999999996</v>
      </c>
      <c r="J8" s="106">
        <f t="shared" si="1"/>
        <v>14.49471</v>
      </c>
      <c r="K8" s="106">
        <f t="shared" si="1"/>
        <v>5.0250000000000003E-2</v>
      </c>
      <c r="L8" s="106">
        <f t="shared" si="1"/>
        <v>0</v>
      </c>
      <c r="M8" s="106">
        <f t="shared" si="1"/>
        <v>5.3255999999999997</v>
      </c>
      <c r="N8" s="106">
        <f t="shared" si="0"/>
        <v>0</v>
      </c>
      <c r="O8" s="106">
        <f t="shared" si="0"/>
        <v>423.411</v>
      </c>
      <c r="P8" s="106">
        <f t="shared" si="0"/>
        <v>0</v>
      </c>
      <c r="Q8" s="106">
        <f t="shared" si="0"/>
        <v>0</v>
      </c>
      <c r="R8" s="106">
        <f t="shared" si="0"/>
        <v>-4.2914500000000002</v>
      </c>
      <c r="S8" s="107">
        <f>SUM(D8:R8)</f>
        <v>487.48158000000001</v>
      </c>
    </row>
    <row r="9" spans="1:24">
      <c r="B9" s="103"/>
      <c r="C9" s="242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3"/>
    </row>
    <row r="10" spans="1:24">
      <c r="B10" s="97" t="s">
        <v>70</v>
      </c>
      <c r="C10" s="108" t="s">
        <v>71</v>
      </c>
      <c r="D10" s="109">
        <f>EnergyBalance!D10*EnergyBalance!AB10</f>
        <v>0</v>
      </c>
      <c r="E10" s="109">
        <f>EnergyBalance!E10*EnergyBalance!AC10</f>
        <v>0</v>
      </c>
      <c r="F10" s="109">
        <f>EnergyBalance!F10*EnergyBalance!AD10</f>
        <v>0</v>
      </c>
      <c r="G10" s="109">
        <f>EnergyBalance!G10*EnergyBalance!AE10</f>
        <v>0</v>
      </c>
      <c r="H10" s="109">
        <f>EnergyBalance!H10*EnergyBalance!AF10</f>
        <v>0</v>
      </c>
      <c r="I10" s="109">
        <f>EnergyBalance!I10*EnergyBalance!AG10</f>
        <v>0</v>
      </c>
      <c r="J10" s="109">
        <f>EnergyBalance!J10*EnergyBalance!AH10</f>
        <v>0</v>
      </c>
      <c r="K10" s="109">
        <f>EnergyBalance!K10*EnergyBalance!AI10</f>
        <v>0</v>
      </c>
      <c r="L10" s="109">
        <f>EnergyBalance!L10*EnergyBalance!AJ10</f>
        <v>0</v>
      </c>
      <c r="M10" s="109">
        <f>EnergyBalance!M10*EnergyBalance!AK10</f>
        <v>0</v>
      </c>
      <c r="N10" s="109">
        <f>EnergyBalance!N10*EnergyBalance!AL10</f>
        <v>0</v>
      </c>
      <c r="O10" s="109">
        <f>EnergyBalance!O10*EnergyBalance!AM10</f>
        <v>0</v>
      </c>
      <c r="P10" s="109">
        <f>EnergyBalance!P10*EnergyBalance!AN10</f>
        <v>0</v>
      </c>
      <c r="Q10" s="110">
        <f>EnergyBalance!Q10*EnergyBalance!AO10</f>
        <v>0</v>
      </c>
      <c r="R10" s="110">
        <f>EnergyBalance!R10*EnergyBalance!AP10</f>
        <v>0</v>
      </c>
      <c r="S10" s="244">
        <f>SUM(D10:R10)</f>
        <v>0</v>
      </c>
    </row>
    <row r="11" spans="1:24" ht="14.4">
      <c r="B11" s="97" t="s">
        <v>54</v>
      </c>
      <c r="C11" s="111" t="s">
        <v>72</v>
      </c>
      <c r="D11" s="101">
        <f>EnergyBalance!D11*EnergyBalance!AB11</f>
        <v>0</v>
      </c>
      <c r="E11" s="101">
        <f>EnergyBalance!E11*EnergyBalance!AC11</f>
        <v>0</v>
      </c>
      <c r="F11" s="101">
        <f>EnergyBalance!F11*EnergyBalance!AD11</f>
        <v>0</v>
      </c>
      <c r="G11" s="101">
        <f>EnergyBalance!G11*EnergyBalance!AE11</f>
        <v>-0.23864999999999997</v>
      </c>
      <c r="H11" s="101">
        <f>EnergyBalance!H11*EnergyBalance!AF11</f>
        <v>0</v>
      </c>
      <c r="I11" s="101">
        <f>EnergyBalance!I11*EnergyBalance!AG11</f>
        <v>0</v>
      </c>
      <c r="J11" s="101">
        <f>EnergyBalance!J11*EnergyBalance!AH11</f>
        <v>0</v>
      </c>
      <c r="K11" s="101">
        <f>EnergyBalance!K11*EnergyBalance!AI11</f>
        <v>0</v>
      </c>
      <c r="L11" s="101">
        <f>EnergyBalance!L11*EnergyBalance!AJ11</f>
        <v>0</v>
      </c>
      <c r="M11" s="101">
        <f>EnergyBalance!M11*EnergyBalance!AK11</f>
        <v>0</v>
      </c>
      <c r="N11" s="101">
        <f>EnergyBalance!N11*EnergyBalance!AL11</f>
        <v>0</v>
      </c>
      <c r="O11" s="101">
        <f>EnergyBalance!O11*EnergyBalance!AM11</f>
        <v>-43.71</v>
      </c>
      <c r="P11" s="109">
        <f>EnergyBalance!P11*EnergyBalance!AN11</f>
        <v>0</v>
      </c>
      <c r="Q11" s="109">
        <f>EnergyBalance!Q11*EnergyBalance!AO11</f>
        <v>0</v>
      </c>
      <c r="R11" s="101">
        <f>EnergyBalance!R11*EnergyBalance!AP11</f>
        <v>36.46705</v>
      </c>
      <c r="S11" s="241">
        <f>SUM(D11:R11)</f>
        <v>-7.4816000000000003</v>
      </c>
    </row>
    <row r="12" spans="1:24">
      <c r="B12" s="97" t="s">
        <v>73</v>
      </c>
      <c r="C12" s="111" t="s">
        <v>74</v>
      </c>
      <c r="D12" s="109">
        <f>EnergyBalance!D12*EnergyBalance!AB12</f>
        <v>0</v>
      </c>
      <c r="E12" s="109">
        <f>EnergyBalance!E12*EnergyBalance!AC12</f>
        <v>0</v>
      </c>
      <c r="F12" s="109">
        <f>EnergyBalance!F12*EnergyBalance!AD12</f>
        <v>0</v>
      </c>
      <c r="G12" s="109">
        <f>EnergyBalance!G12*EnergyBalance!AE12</f>
        <v>0</v>
      </c>
      <c r="H12" s="109">
        <f>EnergyBalance!H12*EnergyBalance!AF12</f>
        <v>0</v>
      </c>
      <c r="I12" s="109">
        <f>EnergyBalance!I12*EnergyBalance!AG12</f>
        <v>0</v>
      </c>
      <c r="J12" s="109">
        <f>EnergyBalance!J12*EnergyBalance!AH12</f>
        <v>0</v>
      </c>
      <c r="K12" s="109">
        <f>EnergyBalance!K12*EnergyBalance!AI12</f>
        <v>0</v>
      </c>
      <c r="L12" s="109">
        <f>EnergyBalance!L12*EnergyBalance!AJ12</f>
        <v>0</v>
      </c>
      <c r="M12" s="109">
        <f>EnergyBalance!M12*EnergyBalance!AK12</f>
        <v>0</v>
      </c>
      <c r="N12" s="109">
        <f>EnergyBalance!N12*EnergyBalance!AL12</f>
        <v>0</v>
      </c>
      <c r="O12" s="109">
        <f>EnergyBalance!O12*EnergyBalance!AM12</f>
        <v>-5.9029999999999996</v>
      </c>
      <c r="P12" s="109">
        <f>EnergyBalance!P12*EnergyBalance!AN12</f>
        <v>0</v>
      </c>
      <c r="Q12" s="109">
        <f>EnergyBalance!Q12*EnergyBalance!AO12</f>
        <v>0</v>
      </c>
      <c r="R12" s="109">
        <f>EnergyBalance!R12*EnergyBalance!AP12</f>
        <v>0</v>
      </c>
      <c r="S12" s="244">
        <f>SUM(D12:R12)</f>
        <v>-5.9029999999999996</v>
      </c>
    </row>
    <row r="13" spans="1:24">
      <c r="B13" s="97" t="s">
        <v>75</v>
      </c>
      <c r="C13" s="111" t="s">
        <v>76</v>
      </c>
      <c r="D13" s="245">
        <f>EnergyBalance!D13*EnergyBalance!AB13</f>
        <v>0</v>
      </c>
      <c r="E13" s="110">
        <f>EnergyBalance!E13*EnergyBalance!AC13</f>
        <v>0</v>
      </c>
      <c r="F13" s="109">
        <f>EnergyBalance!F13*EnergyBalance!AD13</f>
        <v>-5.2628999999999992</v>
      </c>
      <c r="G13" s="109">
        <f>EnergyBalance!G13*EnergyBalance!AE13</f>
        <v>1.9468499999999997</v>
      </c>
      <c r="H13" s="109">
        <f>EnergyBalance!H13*EnergyBalance!AF13</f>
        <v>0</v>
      </c>
      <c r="I13" s="109">
        <f>EnergyBalance!I13*EnergyBalance!AG13</f>
        <v>6.2789999999999999E-2</v>
      </c>
      <c r="J13" s="109">
        <f>EnergyBalance!J13*EnergyBalance!AH13</f>
        <v>1.92174</v>
      </c>
      <c r="K13" s="109">
        <f>EnergyBalance!K13*EnergyBalance!AI13</f>
        <v>0</v>
      </c>
      <c r="L13" s="109">
        <f>EnergyBalance!L13*EnergyBalance!AJ13</f>
        <v>0.94199999999999995</v>
      </c>
      <c r="M13" s="109">
        <f>EnergyBalance!M13*EnergyBalance!AK13</f>
        <v>0.17586000000000002</v>
      </c>
      <c r="N13" s="110">
        <f>EnergyBalance!N13*EnergyBalance!AL13</f>
        <v>0</v>
      </c>
      <c r="O13" s="110">
        <f>EnergyBalance!O13*EnergyBalance!AM13</f>
        <v>0</v>
      </c>
      <c r="P13" s="110">
        <f>EnergyBalance!P13*EnergyBalance!AN13</f>
        <v>0</v>
      </c>
      <c r="Q13" s="110">
        <f>EnergyBalance!Q13*EnergyBalance!AO13</f>
        <v>0</v>
      </c>
      <c r="R13" s="110">
        <f>EnergyBalance!R13*EnergyBalance!AP13</f>
        <v>0</v>
      </c>
      <c r="S13" s="244">
        <f>SUM(D13:R13)</f>
        <v>-0.21365999999999963</v>
      </c>
    </row>
    <row r="14" spans="1:24" ht="14.4">
      <c r="B14" s="103"/>
      <c r="C14" s="104" t="s">
        <v>77</v>
      </c>
      <c r="D14" s="113">
        <f>SUM(D10:D13)</f>
        <v>0</v>
      </c>
      <c r="E14" s="106">
        <f t="shared" ref="E14:R14" si="2">SUM(E10:E13)</f>
        <v>0</v>
      </c>
      <c r="F14" s="106">
        <f t="shared" si="2"/>
        <v>-5.2628999999999992</v>
      </c>
      <c r="G14" s="106">
        <f t="shared" ref="G14:M14" si="3">SUM(G10:G13)</f>
        <v>1.7081999999999997</v>
      </c>
      <c r="H14" s="106">
        <f t="shared" si="3"/>
        <v>0</v>
      </c>
      <c r="I14" s="106">
        <f t="shared" si="3"/>
        <v>6.2789999999999999E-2</v>
      </c>
      <c r="J14" s="106">
        <f t="shared" si="3"/>
        <v>1.92174</v>
      </c>
      <c r="K14" s="106">
        <f t="shared" si="3"/>
        <v>0</v>
      </c>
      <c r="L14" s="106">
        <f t="shared" si="3"/>
        <v>0.94199999999999995</v>
      </c>
      <c r="M14" s="106">
        <f t="shared" si="3"/>
        <v>0.17586000000000002</v>
      </c>
      <c r="N14" s="106">
        <f t="shared" si="2"/>
        <v>0</v>
      </c>
      <c r="O14" s="106">
        <f t="shared" si="2"/>
        <v>-49.613</v>
      </c>
      <c r="P14" s="106">
        <f t="shared" si="2"/>
        <v>0</v>
      </c>
      <c r="Q14" s="106">
        <f t="shared" si="2"/>
        <v>0</v>
      </c>
      <c r="R14" s="106">
        <f t="shared" si="2"/>
        <v>36.46705</v>
      </c>
      <c r="S14" s="107">
        <f>SUM(D14:R14)</f>
        <v>-13.598259999999996</v>
      </c>
    </row>
    <row r="15" spans="1:24">
      <c r="B15" s="103"/>
      <c r="C15" s="242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3"/>
    </row>
    <row r="16" spans="1:24" ht="14.4">
      <c r="A16" s="9"/>
      <c r="B16" s="97" t="s">
        <v>79</v>
      </c>
      <c r="C16" s="114" t="s">
        <v>80</v>
      </c>
      <c r="D16" s="246">
        <f>EnergyBalance!D16*EnergyBalance!AB16</f>
        <v>0</v>
      </c>
      <c r="E16" s="101">
        <f>EnergyBalance!E16*EnergyBalance!AC16</f>
        <v>0</v>
      </c>
      <c r="F16" s="246"/>
      <c r="G16" s="246">
        <f>EnergyBalance!G16*EnergyBalance!AE16</f>
        <v>0</v>
      </c>
      <c r="H16" s="246">
        <f>EnergyBalance!H16*EnergyBalance!AF16</f>
        <v>0</v>
      </c>
      <c r="I16" s="246">
        <f>EnergyBalance!I16*EnergyBalance!AG16</f>
        <v>0.43962000000000001</v>
      </c>
      <c r="J16" s="246">
        <f>EnergyBalance!J16*EnergyBalance!AH16</f>
        <v>0</v>
      </c>
      <c r="K16" s="246">
        <f>EnergyBalance!K16*EnergyBalance!AI16</f>
        <v>0</v>
      </c>
      <c r="L16" s="246">
        <f>EnergyBalance!L16*EnergyBalance!AJ16</f>
        <v>0</v>
      </c>
      <c r="M16" s="246">
        <f>EnergyBalance!M16*EnergyBalance!AK16</f>
        <v>0</v>
      </c>
      <c r="N16" s="247">
        <f>EnergyBalance!N16*EnergyBalance!AL16</f>
        <v>0</v>
      </c>
      <c r="O16" s="246">
        <f>EnergyBalance!O16*EnergyBalance!AM16</f>
        <v>153.279</v>
      </c>
      <c r="P16" s="246">
        <f>EnergyBalance!P16*EnergyBalance!AN16</f>
        <v>0</v>
      </c>
      <c r="Q16" s="246">
        <f>EnergyBalance!Q16*EnergyBalance!AO16</f>
        <v>0</v>
      </c>
      <c r="R16" s="246">
        <f>EnergyBalance!R16*EnergyBalance!AP16</f>
        <v>13.62805</v>
      </c>
      <c r="S16" s="248">
        <f>SUM(D16:R16)</f>
        <v>167.34666999999999</v>
      </c>
    </row>
    <row r="17" spans="1:19">
      <c r="A17" s="9"/>
      <c r="B17" s="97" t="s">
        <v>81</v>
      </c>
      <c r="C17" s="115" t="s">
        <v>82</v>
      </c>
      <c r="D17" s="246">
        <f>EnergyBalance!D17*EnergyBalance!AB17</f>
        <v>0</v>
      </c>
      <c r="E17" s="246">
        <f>EnergyBalance!E17*EnergyBalance!AC17</f>
        <v>0</v>
      </c>
      <c r="F17" s="246"/>
      <c r="G17" s="246">
        <f>EnergyBalance!G17*EnergyBalance!AE17</f>
        <v>0</v>
      </c>
      <c r="H17" s="246">
        <f>EnergyBalance!H17*EnergyBalance!AF17</f>
        <v>0</v>
      </c>
      <c r="I17" s="246">
        <f>EnergyBalance!I17*EnergyBalance!AG17</f>
        <v>0.17586000000000002</v>
      </c>
      <c r="J17" s="246">
        <f>EnergyBalance!J17*EnergyBalance!AH17</f>
        <v>0</v>
      </c>
      <c r="K17" s="246">
        <f>EnergyBalance!K17*EnergyBalance!AI17</f>
        <v>0</v>
      </c>
      <c r="L17" s="246">
        <f>EnergyBalance!L17*EnergyBalance!AJ17</f>
        <v>0.25122</v>
      </c>
      <c r="M17" s="246">
        <f>EnergyBalance!M17*EnergyBalance!AK17</f>
        <v>0</v>
      </c>
      <c r="N17" s="247">
        <f>EnergyBalance!N17*EnergyBalance!AL17</f>
        <v>0</v>
      </c>
      <c r="O17" s="246">
        <f>EnergyBalance!O17*EnergyBalance!AM17</f>
        <v>110.238</v>
      </c>
      <c r="P17" s="246">
        <f>EnergyBalance!P17*EnergyBalance!AN17</f>
        <v>0</v>
      </c>
      <c r="Q17" s="246">
        <f>EnergyBalance!Q17*EnergyBalance!AO17</f>
        <v>0</v>
      </c>
      <c r="R17" s="246">
        <f>EnergyBalance!R17*EnergyBalance!AP17</f>
        <v>5.44285</v>
      </c>
      <c r="S17" s="248">
        <f t="shared" ref="S17:S24" si="4">SUM(D17:R17)</f>
        <v>116.10793000000001</v>
      </c>
    </row>
    <row r="18" spans="1:19">
      <c r="A18" s="9"/>
      <c r="B18" s="97" t="s">
        <v>83</v>
      </c>
      <c r="C18" s="115" t="s">
        <v>84</v>
      </c>
      <c r="D18" s="246">
        <f>EnergyBalance!D18*EnergyBalance!AB18</f>
        <v>17.040299999999998</v>
      </c>
      <c r="E18" s="246">
        <f>EnergyBalance!E18*EnergyBalance!AC18</f>
        <v>0</v>
      </c>
      <c r="F18" s="246"/>
      <c r="G18" s="246">
        <f>EnergyBalance!G18*EnergyBalance!AE18</f>
        <v>22.030949999999997</v>
      </c>
      <c r="H18" s="246">
        <f>EnergyBalance!H18*EnergyBalance!AF18</f>
        <v>0</v>
      </c>
      <c r="I18" s="246">
        <f>EnergyBalance!I18*EnergyBalance!AG18</f>
        <v>0</v>
      </c>
      <c r="J18" s="246">
        <f>EnergyBalance!J18*EnergyBalance!AH18</f>
        <v>0</v>
      </c>
      <c r="K18" s="246">
        <f>EnergyBalance!K18*EnergyBalance!AI18</f>
        <v>0</v>
      </c>
      <c r="L18" s="246">
        <f>EnergyBalance!L18*EnergyBalance!AJ18</f>
        <v>0.75363000000000002</v>
      </c>
      <c r="M18" s="246">
        <f>EnergyBalance!M18*EnergyBalance!AK18</f>
        <v>2.80098</v>
      </c>
      <c r="N18" s="247">
        <f>EnergyBalance!N18*EnergyBalance!AL18</f>
        <v>0</v>
      </c>
      <c r="O18" s="246">
        <f>EnergyBalance!O18*EnergyBalance!AM18</f>
        <v>110.238</v>
      </c>
      <c r="P18" s="246">
        <f>EnergyBalance!P18*EnergyBalance!AN18</f>
        <v>0</v>
      </c>
      <c r="Q18" s="246">
        <f>EnergyBalance!Q18*EnergyBalance!AO18</f>
        <v>0</v>
      </c>
      <c r="R18" s="246">
        <f>EnergyBalance!R18*EnergyBalance!AP18</f>
        <v>8.3735999999999997</v>
      </c>
      <c r="S18" s="248">
        <f t="shared" si="4"/>
        <v>161.23746</v>
      </c>
    </row>
    <row r="19" spans="1:19">
      <c r="A19" s="9"/>
      <c r="B19" s="97" t="s">
        <v>85</v>
      </c>
      <c r="C19" s="115" t="s">
        <v>86</v>
      </c>
      <c r="D19" s="246">
        <f>EnergyBalance!D19*EnergyBalance!AB19</f>
        <v>0</v>
      </c>
      <c r="E19" s="246">
        <f>EnergyBalance!E19*EnergyBalance!AC19</f>
        <v>0</v>
      </c>
      <c r="F19" s="246"/>
      <c r="G19" s="246">
        <f>EnergyBalance!G19*EnergyBalance!AE19</f>
        <v>0</v>
      </c>
      <c r="H19" s="246">
        <f>EnergyBalance!H19*EnergyBalance!AF19</f>
        <v>0</v>
      </c>
      <c r="I19" s="246">
        <f>EnergyBalance!I19*EnergyBalance!AG19</f>
        <v>0</v>
      </c>
      <c r="J19" s="246">
        <f>EnergyBalance!J19*EnergyBalance!AH19</f>
        <v>0</v>
      </c>
      <c r="K19" s="246">
        <f>EnergyBalance!K19*EnergyBalance!AI19</f>
        <v>0</v>
      </c>
      <c r="L19" s="246">
        <f>EnergyBalance!L19*EnergyBalance!AJ19</f>
        <v>0</v>
      </c>
      <c r="M19" s="246">
        <f>EnergyBalance!M19*EnergyBalance!AK19</f>
        <v>0</v>
      </c>
      <c r="N19" s="247">
        <f>EnergyBalance!N19*EnergyBalance!AL19</f>
        <v>0</v>
      </c>
      <c r="O19" s="246">
        <f>EnergyBalance!O19*EnergyBalance!AM19</f>
        <v>0</v>
      </c>
      <c r="P19" s="246">
        <f>EnergyBalance!P19*EnergyBalance!AN19</f>
        <v>0</v>
      </c>
      <c r="Q19" s="246">
        <f>EnergyBalance!Q19*EnergyBalance!AO19</f>
        <v>0</v>
      </c>
      <c r="R19" s="246">
        <f>EnergyBalance!R19*EnergyBalance!AP19</f>
        <v>0</v>
      </c>
      <c r="S19" s="248">
        <f t="shared" si="4"/>
        <v>0</v>
      </c>
    </row>
    <row r="20" spans="1:19" ht="14.4">
      <c r="A20" s="9"/>
      <c r="B20" s="97" t="s">
        <v>87</v>
      </c>
      <c r="C20" s="115" t="s">
        <v>88</v>
      </c>
      <c r="D20" s="246">
        <f>EnergyBalance!D20*EnergyBalance!AB20</f>
        <v>0</v>
      </c>
      <c r="E20" s="246">
        <f>EnergyBalance!E20*EnergyBalance!AC20</f>
        <v>0</v>
      </c>
      <c r="F20" s="246"/>
      <c r="G20" s="101">
        <f>EnergyBalance!G20*EnergyBalance!AE20</f>
        <v>5.38842</v>
      </c>
      <c r="H20" s="101">
        <f>EnergyBalance!H20*EnergyBalance!AF20</f>
        <v>0</v>
      </c>
      <c r="I20" s="101">
        <f>EnergyBalance!I20*EnergyBalance!AG20</f>
        <v>0</v>
      </c>
      <c r="J20" s="101">
        <f>EnergyBalance!J20*EnergyBalance!AH20</f>
        <v>16.717890000000001</v>
      </c>
      <c r="K20" s="101">
        <f>EnergyBalance!K20*EnergyBalance!AI20</f>
        <v>0</v>
      </c>
      <c r="L20" s="101">
        <f>EnergyBalance!L20*EnergyBalance!AJ20</f>
        <v>0</v>
      </c>
      <c r="M20" s="101">
        <f>EnergyBalance!M20*EnergyBalance!AK20</f>
        <v>2.2231799999999997</v>
      </c>
      <c r="N20" s="247">
        <f>EnergyBalance!N20*EnergyBalance!AL20</f>
        <v>0</v>
      </c>
      <c r="O20" s="246">
        <f>EnergyBalance!O20*EnergyBalance!AM20</f>
        <v>0</v>
      </c>
      <c r="P20" s="246">
        <f>EnergyBalance!P20*EnergyBalance!AN20</f>
        <v>0</v>
      </c>
      <c r="Q20" s="246">
        <f>EnergyBalance!Q20*EnergyBalance!AO20</f>
        <v>0</v>
      </c>
      <c r="R20" s="246">
        <f>EnergyBalance!R20*EnergyBalance!AP20</f>
        <v>0</v>
      </c>
      <c r="S20" s="248">
        <f t="shared" si="4"/>
        <v>24.32949</v>
      </c>
    </row>
    <row r="21" spans="1:19">
      <c r="A21" s="9"/>
      <c r="B21" s="97" t="s">
        <v>89</v>
      </c>
      <c r="C21" s="116" t="s">
        <v>90</v>
      </c>
      <c r="D21" s="117">
        <f>EnergyBalance!D21*EnergyBalance!AB21</f>
        <v>0</v>
      </c>
      <c r="E21" s="117">
        <f>EnergyBalance!E21*EnergyBalance!AC21</f>
        <v>0</v>
      </c>
      <c r="F21" s="117"/>
      <c r="G21" s="117">
        <f>EnergyBalance!G21*EnergyBalance!AE21</f>
        <v>0</v>
      </c>
      <c r="H21" s="117">
        <f>EnergyBalance!H21*EnergyBalance!AF21</f>
        <v>0</v>
      </c>
      <c r="I21" s="117">
        <f>EnergyBalance!I21*EnergyBalance!AG21</f>
        <v>0</v>
      </c>
      <c r="J21" s="117">
        <f>EnergyBalance!J21*EnergyBalance!AH21</f>
        <v>0</v>
      </c>
      <c r="K21" s="117">
        <f>EnergyBalance!K21*EnergyBalance!AI21</f>
        <v>5.0250000000000003E-2</v>
      </c>
      <c r="L21" s="117">
        <f>EnergyBalance!L21*EnergyBalance!AJ21</f>
        <v>0</v>
      </c>
      <c r="M21" s="117">
        <f>EnergyBalance!M21*EnergyBalance!AK21</f>
        <v>0</v>
      </c>
      <c r="N21" s="117">
        <f>EnergyBalance!N21*EnergyBalance!AL21</f>
        <v>0</v>
      </c>
      <c r="O21" s="117">
        <f>EnergyBalance!O21*EnergyBalance!AM21</f>
        <v>4.2999999999999997E-2</v>
      </c>
      <c r="P21" s="117">
        <f>EnergyBalance!P21*EnergyBalance!AN21</f>
        <v>0</v>
      </c>
      <c r="Q21" s="117">
        <f>EnergyBalance!Q21*EnergyBalance!AO21</f>
        <v>0</v>
      </c>
      <c r="R21" s="117">
        <f>EnergyBalance!R21*EnergyBalance!AP21</f>
        <v>0.20935000000000001</v>
      </c>
      <c r="S21" s="249">
        <f t="shared" si="4"/>
        <v>0.30259999999999998</v>
      </c>
    </row>
    <row r="22" spans="1:19">
      <c r="A22" s="9"/>
      <c r="B22" s="97" t="s">
        <v>110</v>
      </c>
      <c r="C22" s="115" t="s">
        <v>91</v>
      </c>
      <c r="D22" s="246">
        <f>EnergyBalance!D22*EnergyBalance!AB22</f>
        <v>0</v>
      </c>
      <c r="E22" s="246">
        <f>EnergyBalance!E22*EnergyBalance!AC22</f>
        <v>0</v>
      </c>
      <c r="F22" s="246"/>
      <c r="G22" s="246">
        <f>EnergyBalance!G22*EnergyBalance!AE22</f>
        <v>0</v>
      </c>
      <c r="H22" s="246">
        <f>EnergyBalance!H22*EnergyBalance!AF22</f>
        <v>0</v>
      </c>
      <c r="I22" s="246">
        <f>EnergyBalance!I22*EnergyBalance!AG22</f>
        <v>0</v>
      </c>
      <c r="J22" s="246">
        <f>EnergyBalance!J22*EnergyBalance!AH22</f>
        <v>0</v>
      </c>
      <c r="K22" s="246">
        <f>EnergyBalance!K22*EnergyBalance!AI22</f>
        <v>0</v>
      </c>
      <c r="L22" s="246">
        <f>EnergyBalance!L22*EnergyBalance!AJ22</f>
        <v>0</v>
      </c>
      <c r="M22" s="246">
        <f>EnergyBalance!M22*EnergyBalance!AK22</f>
        <v>5.3255999999999997</v>
      </c>
      <c r="N22" s="247">
        <f>EnergyBalance!N22*EnergyBalance!AL22</f>
        <v>0</v>
      </c>
      <c r="O22" s="246">
        <f>EnergyBalance!O22*EnergyBalance!AM22</f>
        <v>0</v>
      </c>
      <c r="P22" s="246">
        <f>EnergyBalance!P22*EnergyBalance!AN22</f>
        <v>0</v>
      </c>
      <c r="Q22" s="246">
        <f>EnergyBalance!Q22*EnergyBalance!AO22</f>
        <v>0</v>
      </c>
      <c r="R22" s="246">
        <f>EnergyBalance!R22*EnergyBalance!AP22</f>
        <v>0</v>
      </c>
      <c r="S22" s="248">
        <f t="shared" si="4"/>
        <v>5.3255999999999997</v>
      </c>
    </row>
    <row r="23" spans="1:19">
      <c r="A23" s="9"/>
      <c r="B23" s="97" t="s">
        <v>111</v>
      </c>
      <c r="C23" s="115" t="s">
        <v>92</v>
      </c>
      <c r="D23" s="246">
        <f>EnergyBalance!D23*EnergyBalance!AB23</f>
        <v>0</v>
      </c>
      <c r="E23" s="246">
        <f>EnergyBalance!E23*EnergyBalance!AC23</f>
        <v>0</v>
      </c>
      <c r="F23" s="246"/>
      <c r="G23" s="246">
        <f>EnergyBalance!G23*EnergyBalance!AE23</f>
        <v>-1.257E-2</v>
      </c>
      <c r="H23" s="246">
        <f>EnergyBalance!H23*EnergyBalance!AF23</f>
        <v>0</v>
      </c>
      <c r="I23" s="246">
        <f>EnergyBalance!I23*EnergyBalance!AG23</f>
        <v>0</v>
      </c>
      <c r="J23" s="246">
        <f>EnergyBalance!J23*EnergyBalance!AH23</f>
        <v>0</v>
      </c>
      <c r="K23" s="246">
        <f>EnergyBalance!K23*EnergyBalance!AI23</f>
        <v>0</v>
      </c>
      <c r="L23" s="246">
        <f>EnergyBalance!L23*EnergyBalance!AJ23</f>
        <v>0</v>
      </c>
      <c r="M23" s="246">
        <f>EnergyBalance!M23*EnergyBalance!AK23</f>
        <v>0</v>
      </c>
      <c r="N23" s="247">
        <f>EnergyBalance!N23*EnergyBalance!AL23</f>
        <v>0</v>
      </c>
      <c r="O23" s="246">
        <f>EnergyBalance!O23*EnergyBalance!AM23</f>
        <v>0</v>
      </c>
      <c r="P23" s="246">
        <f>EnergyBalance!P23*EnergyBalance!AN23</f>
        <v>0</v>
      </c>
      <c r="Q23" s="246">
        <f>EnergyBalance!Q23*EnergyBalance!AO23</f>
        <v>0</v>
      </c>
      <c r="R23" s="246">
        <f>EnergyBalance!R23*EnergyBalance!AP23</f>
        <v>0</v>
      </c>
      <c r="S23" s="248">
        <f t="shared" si="4"/>
        <v>-1.257E-2</v>
      </c>
    </row>
    <row r="24" spans="1:19" ht="14.4">
      <c r="A24" s="9"/>
      <c r="B24" s="229" t="s">
        <v>113</v>
      </c>
      <c r="C24" s="104" t="s">
        <v>246</v>
      </c>
      <c r="D24" s="118">
        <f t="shared" ref="D24:R24" si="5">SUM(D16:D23)</f>
        <v>17.040299999999998</v>
      </c>
      <c r="E24" s="119">
        <f t="shared" si="5"/>
        <v>0</v>
      </c>
      <c r="F24" s="119"/>
      <c r="G24" s="119">
        <f t="shared" ref="G24:M24" si="6">SUM(G16:G23)</f>
        <v>27.406799999999997</v>
      </c>
      <c r="H24" s="119">
        <f t="shared" si="6"/>
        <v>0</v>
      </c>
      <c r="I24" s="119">
        <f t="shared" si="6"/>
        <v>0.61548000000000003</v>
      </c>
      <c r="J24" s="119">
        <f t="shared" si="6"/>
        <v>16.717890000000001</v>
      </c>
      <c r="K24" s="119">
        <f t="shared" si="6"/>
        <v>5.0250000000000003E-2</v>
      </c>
      <c r="L24" s="119">
        <f t="shared" si="6"/>
        <v>1.00485</v>
      </c>
      <c r="M24" s="119">
        <f t="shared" si="6"/>
        <v>10.34976</v>
      </c>
      <c r="N24" s="119">
        <f t="shared" si="5"/>
        <v>0</v>
      </c>
      <c r="O24" s="119">
        <f t="shared" si="5"/>
        <v>373.798</v>
      </c>
      <c r="P24" s="119">
        <f t="shared" si="5"/>
        <v>0</v>
      </c>
      <c r="Q24" s="119">
        <f t="shared" si="5"/>
        <v>0</v>
      </c>
      <c r="R24" s="118">
        <f t="shared" si="5"/>
        <v>27.653850000000002</v>
      </c>
      <c r="S24" s="120">
        <f t="shared" si="4"/>
        <v>474.63718</v>
      </c>
    </row>
    <row r="25" spans="1:19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4.4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19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</row>
    <row r="41" spans="1:21" ht="39.6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201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4.4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4.4">
      <c r="A49" s="9"/>
      <c r="B49" s="97" t="s">
        <v>87</v>
      </c>
      <c r="C49" s="116" t="s">
        <v>138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140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3" t="s">
        <v>146</v>
      </c>
      <c r="D52" s="134" t="s">
        <v>147</v>
      </c>
      <c r="E52" s="135" t="s">
        <v>148</v>
      </c>
      <c r="S52" s="11"/>
    </row>
    <row r="53" spans="1:21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>
      <c r="A54" s="9"/>
      <c r="B54" s="97" t="s">
        <v>79</v>
      </c>
      <c r="C54" s="137">
        <v>1</v>
      </c>
      <c r="D54" s="137"/>
      <c r="E54" s="137"/>
    </row>
    <row r="55" spans="1:21">
      <c r="A55" s="9"/>
      <c r="B55" s="97" t="s">
        <v>87</v>
      </c>
      <c r="C55" s="137">
        <v>1</v>
      </c>
      <c r="D55" s="137"/>
      <c r="E55" s="137"/>
    </row>
    <row r="56" spans="1:21">
      <c r="A56" s="9"/>
      <c r="B56" s="97" t="s">
        <v>89</v>
      </c>
      <c r="C56" s="137">
        <v>1</v>
      </c>
      <c r="D56" s="137"/>
      <c r="E56" s="137"/>
    </row>
    <row r="57" spans="1:21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X57"/>
  <sheetViews>
    <sheetView tabSelected="1" zoomScale="90" zoomScaleNormal="90" workbookViewId="0">
      <selection activeCell="F22" sqref="F22:F24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18" width="11" customWidth="1"/>
    <col min="19" max="19" width="7.33203125" bestFit="1" customWidth="1"/>
    <col min="20" max="20" width="2" bestFit="1" customWidth="1"/>
    <col min="21" max="21" width="12.5546875" bestFit="1" customWidth="1"/>
    <col min="23" max="23" width="6.6640625" bestFit="1" customWidth="1"/>
    <col min="24" max="24" width="9.33203125" bestFit="1" customWidth="1"/>
  </cols>
  <sheetData>
    <row r="1" spans="1:24" s="9" customFormat="1">
      <c r="U1" s="37" t="s">
        <v>119</v>
      </c>
      <c r="V1" s="1" t="s">
        <v>120</v>
      </c>
      <c r="W1" s="1" t="s">
        <v>121</v>
      </c>
      <c r="X1" s="1" t="s">
        <v>142</v>
      </c>
    </row>
    <row r="2" spans="1:24" ht="15.6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20" t="s">
        <v>100</v>
      </c>
      <c r="W2" s="20" t="s">
        <v>97</v>
      </c>
      <c r="X2" s="20" t="s">
        <v>143</v>
      </c>
    </row>
    <row r="3" spans="1:24" ht="39.6">
      <c r="C3" s="176" t="s">
        <v>191</v>
      </c>
      <c r="D3" s="95" t="s">
        <v>55</v>
      </c>
      <c r="E3" s="95" t="s">
        <v>56</v>
      </c>
      <c r="F3" s="95" t="s">
        <v>201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</row>
    <row r="4" spans="1:24">
      <c r="C4" s="236" t="s">
        <v>62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O4" s="238"/>
      <c r="P4" s="238"/>
      <c r="Q4" s="238"/>
      <c r="R4" s="238"/>
      <c r="S4" s="239"/>
    </row>
    <row r="5" spans="1:24" ht="14.4">
      <c r="B5" s="97" t="s">
        <v>63</v>
      </c>
      <c r="C5" s="240" t="s">
        <v>64</v>
      </c>
      <c r="D5" s="98">
        <f>EnergyBalance!D5-'EB1'!D5</f>
        <v>0</v>
      </c>
      <c r="E5" s="99">
        <f>EnergyBalance!E5-'EB1'!E5</f>
        <v>689.86599999999999</v>
      </c>
      <c r="F5" s="99">
        <f>EnergyBalance!F5-'EB1'!F5</f>
        <v>17.877650000000003</v>
      </c>
      <c r="G5" s="99">
        <f>EnergyBalance!G5-'EB1'!G5</f>
        <v>0</v>
      </c>
      <c r="H5" s="99">
        <f>EnergyBalance!H5-'EB1'!H5</f>
        <v>0</v>
      </c>
      <c r="I5" s="99">
        <f>EnergyBalance!I5-'EB1'!I5</f>
        <v>0.20517000000000002</v>
      </c>
      <c r="J5" s="99">
        <f>EnergyBalance!J5-'EB1'!J5</f>
        <v>0</v>
      </c>
      <c r="K5" s="99">
        <f>EnergyBalance!K5-'EB1'!K5</f>
        <v>0.11725000000000001</v>
      </c>
      <c r="L5" s="99">
        <f>EnergyBalance!L5-'EB1'!L5</f>
        <v>0</v>
      </c>
      <c r="M5" s="99">
        <f>EnergyBalance!M5-'EB1'!M5</f>
        <v>0</v>
      </c>
      <c r="N5" s="102">
        <f>EnergyBalance!N5-'EB1'!N5</f>
        <v>0</v>
      </c>
      <c r="O5" s="102">
        <f>EnergyBalance!O5-'EB1'!O5</f>
        <v>0</v>
      </c>
      <c r="P5" s="102">
        <f>EnergyBalance!P5-'EB1'!P5</f>
        <v>0</v>
      </c>
      <c r="Q5" s="102">
        <f>EnergyBalance!Q5-'EB1'!Q5</f>
        <v>0</v>
      </c>
      <c r="R5" s="102">
        <f>EnergyBalance!R5-'EB1'!R5</f>
        <v>0</v>
      </c>
      <c r="S5" s="241">
        <f>SUM(D5:R5)</f>
        <v>708.06606999999997</v>
      </c>
      <c r="U5" s="14"/>
    </row>
    <row r="6" spans="1:24" ht="14.4">
      <c r="B6" s="97" t="s">
        <v>65</v>
      </c>
      <c r="C6" s="240" t="s">
        <v>66</v>
      </c>
      <c r="D6" s="100">
        <f>EnergyBalance!D6-'EB1'!D6</f>
        <v>0</v>
      </c>
      <c r="E6" s="101">
        <f>EnergyBalance!E6-'EB1'!E6</f>
        <v>0</v>
      </c>
      <c r="F6" s="101">
        <f>EnergyBalance!F6-'EB1'!F6</f>
        <v>0</v>
      </c>
      <c r="G6" s="101">
        <f>EnergyBalance!G6-'EB1'!G6</f>
        <v>63.040669999999999</v>
      </c>
      <c r="H6" s="101">
        <f>EnergyBalance!H6-'EB1'!H6</f>
        <v>0</v>
      </c>
      <c r="I6" s="101">
        <f>EnergyBalance!I6-'EB1'!I6</f>
        <v>1.0257800000000001</v>
      </c>
      <c r="J6" s="101">
        <f>EnergyBalance!J6-'EB1'!J6</f>
        <v>33.820990000000002</v>
      </c>
      <c r="K6" s="101">
        <f>EnergyBalance!K6-'EB1'!K6</f>
        <v>0</v>
      </c>
      <c r="L6" s="101">
        <f>EnergyBalance!L6-'EB1'!L6</f>
        <v>0</v>
      </c>
      <c r="M6" s="101">
        <f>EnergyBalance!M6-'EB1'!M6</f>
        <v>12.426399999999999</v>
      </c>
      <c r="N6" s="102">
        <f>EnergyBalance!N6-'EB1'!N6</f>
        <v>0</v>
      </c>
      <c r="O6" s="102">
        <f>EnergyBalance!O6-'EB1'!O6</f>
        <v>0</v>
      </c>
      <c r="P6" s="102">
        <f>EnergyBalance!P6-'EB1'!P6</f>
        <v>0</v>
      </c>
      <c r="Q6" s="102">
        <f>EnergyBalance!Q6-'EB1'!Q6</f>
        <v>0</v>
      </c>
      <c r="R6" s="102">
        <f>EnergyBalance!R6-'EB1'!R6</f>
        <v>0</v>
      </c>
      <c r="S6" s="241">
        <f>SUM(D6:R6)</f>
        <v>110.31384</v>
      </c>
    </row>
    <row r="7" spans="1:24" ht="14.4">
      <c r="B7" s="97" t="s">
        <v>67</v>
      </c>
      <c r="C7" s="240" t="s">
        <v>68</v>
      </c>
      <c r="D7" s="100">
        <f>EnergyBalance!D7-'EB1'!D7</f>
        <v>0</v>
      </c>
      <c r="E7" s="101">
        <f>EnergyBalance!E7-'EB1'!E7</f>
        <v>-537.33399999999995</v>
      </c>
      <c r="F7" s="101">
        <f>EnergyBalance!F7-'EB1'!F7</f>
        <v>-4.2791000000000006</v>
      </c>
      <c r="G7" s="101">
        <f>EnergyBalance!G7-'EB1'!G7</f>
        <v>-5.0702400000000001</v>
      </c>
      <c r="H7" s="101">
        <f>EnergyBalance!H7-'EB1'!H7</f>
        <v>0</v>
      </c>
      <c r="I7" s="101">
        <f>EnergyBalance!I7-'EB1'!I7</f>
        <v>0</v>
      </c>
      <c r="J7" s="101">
        <f>EnergyBalance!J7-'EB1'!J7</f>
        <v>0</v>
      </c>
      <c r="K7" s="101">
        <f>EnergyBalance!K7-'EB1'!K7</f>
        <v>0</v>
      </c>
      <c r="L7" s="101">
        <f>EnergyBalance!L7-'EB1'!L7</f>
        <v>0</v>
      </c>
      <c r="M7" s="101">
        <f>EnergyBalance!M7-'EB1'!M7</f>
        <v>0</v>
      </c>
      <c r="N7" s="102">
        <f>EnergyBalance!N7-'EB1'!N7</f>
        <v>0</v>
      </c>
      <c r="O7" s="102">
        <f>EnergyBalance!O7-'EB1'!O7</f>
        <v>0</v>
      </c>
      <c r="P7" s="102">
        <f>EnergyBalance!P7-'EB1'!P7</f>
        <v>0</v>
      </c>
      <c r="Q7" s="102">
        <f>EnergyBalance!Q7-'EB1'!Q7</f>
        <v>0</v>
      </c>
      <c r="R7" s="102">
        <f>EnergyBalance!R7-'EB1'!R7</f>
        <v>-4.2914500000000002</v>
      </c>
      <c r="S7" s="241">
        <f>SUM(D7:R7)</f>
        <v>-550.97478999999998</v>
      </c>
      <c r="U7" s="14"/>
    </row>
    <row r="8" spans="1:24" ht="14.4">
      <c r="B8" s="229" t="s">
        <v>247</v>
      </c>
      <c r="C8" s="104" t="s">
        <v>248</v>
      </c>
      <c r="D8" s="105">
        <f t="shared" ref="D8:R8" si="0">SUM(D5:D7)</f>
        <v>0</v>
      </c>
      <c r="E8" s="106">
        <f t="shared" si="0"/>
        <v>152.53200000000004</v>
      </c>
      <c r="F8" s="106">
        <f t="shared" si="0"/>
        <v>13.598550000000003</v>
      </c>
      <c r="G8" s="106">
        <f t="shared" ref="G8:M8" si="1">SUM(G5:G7)</f>
        <v>57.97043</v>
      </c>
      <c r="H8" s="106">
        <f t="shared" si="1"/>
        <v>0</v>
      </c>
      <c r="I8" s="106">
        <f t="shared" si="1"/>
        <v>1.2309500000000002</v>
      </c>
      <c r="J8" s="106">
        <f t="shared" si="1"/>
        <v>33.820990000000002</v>
      </c>
      <c r="K8" s="106">
        <f t="shared" si="1"/>
        <v>0.11725000000000001</v>
      </c>
      <c r="L8" s="106">
        <f t="shared" si="1"/>
        <v>0</v>
      </c>
      <c r="M8" s="106">
        <f t="shared" si="1"/>
        <v>12.426399999999999</v>
      </c>
      <c r="N8" s="106">
        <f t="shared" si="0"/>
        <v>0</v>
      </c>
      <c r="O8" s="106">
        <f t="shared" si="0"/>
        <v>0</v>
      </c>
      <c r="P8" s="106">
        <f t="shared" si="0"/>
        <v>0</v>
      </c>
      <c r="Q8" s="106">
        <f t="shared" si="0"/>
        <v>0</v>
      </c>
      <c r="R8" s="106">
        <f t="shared" si="0"/>
        <v>-4.2914500000000002</v>
      </c>
      <c r="S8" s="107">
        <f>SUM(S5:S7)</f>
        <v>267.40512000000001</v>
      </c>
    </row>
    <row r="9" spans="1:24">
      <c r="B9" s="103"/>
      <c r="C9" s="242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3"/>
    </row>
    <row r="10" spans="1:24">
      <c r="B10" s="97" t="s">
        <v>70</v>
      </c>
      <c r="C10" s="108" t="s">
        <v>71</v>
      </c>
      <c r="D10" s="109">
        <f>EnergyBalance!D10-'EB1'!D10</f>
        <v>0</v>
      </c>
      <c r="E10" s="109">
        <f>EnergyBalance!E10-'EB1'!E10</f>
        <v>-18.045000000000002</v>
      </c>
      <c r="F10" s="109">
        <f>EnergyBalance!F10-'EB1'!F10</f>
        <v>0</v>
      </c>
      <c r="G10" s="109">
        <f>EnergyBalance!G10-'EB1'!G10</f>
        <v>0</v>
      </c>
      <c r="H10" s="109">
        <f>EnergyBalance!H10-'EB1'!H10</f>
        <v>0</v>
      </c>
      <c r="I10" s="109">
        <f>EnergyBalance!I10-'EB1'!I10</f>
        <v>0</v>
      </c>
      <c r="J10" s="109">
        <f>EnergyBalance!J10-'EB1'!J10</f>
        <v>0</v>
      </c>
      <c r="K10" s="109">
        <f>EnergyBalance!K10-'EB1'!K10</f>
        <v>0</v>
      </c>
      <c r="L10" s="109">
        <f>EnergyBalance!L10-'EB1'!L10</f>
        <v>0</v>
      </c>
      <c r="M10" s="109">
        <f>EnergyBalance!M10-'EB1'!M10</f>
        <v>0</v>
      </c>
      <c r="N10" s="109">
        <f>EnergyBalance!N10-'EB1'!N10</f>
        <v>0</v>
      </c>
      <c r="O10" s="109">
        <f>EnergyBalance!O10-'EB1'!O10</f>
        <v>0</v>
      </c>
      <c r="P10" s="109">
        <f>EnergyBalance!P10-'EB1'!P10</f>
        <v>0</v>
      </c>
      <c r="Q10" s="110">
        <f>EnergyBalance!Q10-'EB1'!Q10</f>
        <v>0</v>
      </c>
      <c r="R10" s="110">
        <f>EnergyBalance!R10-'EB1'!R10</f>
        <v>-9.0429999999999993</v>
      </c>
      <c r="S10" s="244">
        <f>SUM(D10:R10)</f>
        <v>-27.088000000000001</v>
      </c>
    </row>
    <row r="11" spans="1:24" ht="14.4">
      <c r="B11" s="97" t="s">
        <v>54</v>
      </c>
      <c r="C11" s="111" t="s">
        <v>72</v>
      </c>
      <c r="D11" s="101">
        <f>EnergyBalance!D11-'EB1'!D11</f>
        <v>0</v>
      </c>
      <c r="E11" s="101">
        <f>EnergyBalance!E11-'EB1'!E11</f>
        <v>-114.2996</v>
      </c>
      <c r="F11" s="101">
        <f>EnergyBalance!F11-'EB1'!F11</f>
        <v>0</v>
      </c>
      <c r="G11" s="101">
        <f>EnergyBalance!G11-'EB1'!G11</f>
        <v>-0.55685000000000007</v>
      </c>
      <c r="H11" s="101">
        <f>EnergyBalance!H11-'EB1'!H11</f>
        <v>0</v>
      </c>
      <c r="I11" s="101">
        <f>EnergyBalance!I11-'EB1'!I11</f>
        <v>0</v>
      </c>
      <c r="J11" s="101">
        <f>EnergyBalance!J11-'EB1'!J11</f>
        <v>0</v>
      </c>
      <c r="K11" s="101">
        <f>EnergyBalance!K11-'EB1'!K11</f>
        <v>0</v>
      </c>
      <c r="L11" s="101">
        <f>EnergyBalance!L11-'EB1'!L11</f>
        <v>0</v>
      </c>
      <c r="M11" s="101">
        <f>EnergyBalance!M11-'EB1'!M11</f>
        <v>0</v>
      </c>
      <c r="N11" s="101">
        <f>EnergyBalance!N11-'EB1'!N11</f>
        <v>0</v>
      </c>
      <c r="O11" s="101">
        <f>EnergyBalance!O11-'EB1'!O11</f>
        <v>0</v>
      </c>
      <c r="P11" s="109">
        <f>EnergyBalance!P11-'EB1'!P11</f>
        <v>0</v>
      </c>
      <c r="Q11" s="109">
        <f>EnergyBalance!Q11-'EB1'!Q11</f>
        <v>0</v>
      </c>
      <c r="R11" s="101">
        <f>EnergyBalance!R11-'EB1'!R11</f>
        <v>36.46705</v>
      </c>
      <c r="S11" s="241">
        <f>SUM(D11:R11)</f>
        <v>-78.389399999999995</v>
      </c>
    </row>
    <row r="12" spans="1:24">
      <c r="B12" s="97" t="s">
        <v>73</v>
      </c>
      <c r="C12" s="111" t="s">
        <v>74</v>
      </c>
      <c r="D12" s="109">
        <f>EnergyBalance!D12-'EB1'!D12</f>
        <v>0</v>
      </c>
      <c r="E12" s="109">
        <f>EnergyBalance!E12-'EB1'!E12</f>
        <v>0</v>
      </c>
      <c r="F12" s="109">
        <f>EnergyBalance!F12-'EB1'!F12</f>
        <v>0</v>
      </c>
      <c r="G12" s="109">
        <f>EnergyBalance!G12-'EB1'!G12</f>
        <v>0</v>
      </c>
      <c r="H12" s="109">
        <f>EnergyBalance!H12-'EB1'!H12</f>
        <v>0</v>
      </c>
      <c r="I12" s="109">
        <f>EnergyBalance!I12-'EB1'!I12</f>
        <v>0</v>
      </c>
      <c r="J12" s="109">
        <f>EnergyBalance!J12-'EB1'!J12</f>
        <v>0</v>
      </c>
      <c r="K12" s="109">
        <f>EnergyBalance!K12-'EB1'!K12</f>
        <v>0</v>
      </c>
      <c r="L12" s="109">
        <f>EnergyBalance!L12-'EB1'!L12</f>
        <v>0</v>
      </c>
      <c r="M12" s="109">
        <f>EnergyBalance!M12-'EB1'!M12</f>
        <v>0</v>
      </c>
      <c r="N12" s="109">
        <f>EnergyBalance!N12-'EB1'!N12</f>
        <v>0</v>
      </c>
      <c r="O12" s="109">
        <f>EnergyBalance!O12-'EB1'!O12</f>
        <v>0</v>
      </c>
      <c r="P12" s="109">
        <f>EnergyBalance!P12-'EB1'!P12</f>
        <v>0</v>
      </c>
      <c r="Q12" s="109">
        <f>EnergyBalance!Q12-'EB1'!Q12</f>
        <v>0</v>
      </c>
      <c r="R12" s="109">
        <f>EnergyBalance!R12-'EB1'!R12</f>
        <v>0</v>
      </c>
      <c r="S12" s="244">
        <f>SUM(D12:R12)</f>
        <v>0</v>
      </c>
    </row>
    <row r="13" spans="1:24">
      <c r="B13" s="97" t="s">
        <v>75</v>
      </c>
      <c r="C13" s="111" t="s">
        <v>76</v>
      </c>
      <c r="D13" s="245">
        <f>EnergyBalance!D13-'EB1'!D13</f>
        <v>0</v>
      </c>
      <c r="E13" s="110">
        <f>EnergyBalance!E13-'EB1'!E13</f>
        <v>0</v>
      </c>
      <c r="F13" s="109">
        <f>EnergyBalance!F13-'EB1'!F13</f>
        <v>-12.280100000000001</v>
      </c>
      <c r="G13" s="109">
        <f>EnergyBalance!G13-'EB1'!G13</f>
        <v>4.5426500000000001</v>
      </c>
      <c r="H13" s="109">
        <f>EnergyBalance!H13-'EB1'!H13</f>
        <v>0</v>
      </c>
      <c r="I13" s="109">
        <f>EnergyBalance!I13-'EB1'!I13</f>
        <v>0.14651000000000003</v>
      </c>
      <c r="J13" s="109">
        <f>EnergyBalance!J13-'EB1'!J13</f>
        <v>4.4840600000000004</v>
      </c>
      <c r="K13" s="109">
        <f>EnergyBalance!K13-'EB1'!K13</f>
        <v>0</v>
      </c>
      <c r="L13" s="109">
        <f>EnergyBalance!L13-'EB1'!L13</f>
        <v>2.1980000000000004</v>
      </c>
      <c r="M13" s="109">
        <f>EnergyBalance!M13-'EB1'!M13</f>
        <v>0.41034000000000004</v>
      </c>
      <c r="N13" s="110">
        <f>EnergyBalance!N13-'EB1'!N13</f>
        <v>0</v>
      </c>
      <c r="O13" s="110">
        <f>EnergyBalance!O13-'EB1'!O13</f>
        <v>0</v>
      </c>
      <c r="P13" s="110">
        <f>EnergyBalance!P13-'EB1'!P13</f>
        <v>0</v>
      </c>
      <c r="Q13" s="110">
        <f>EnergyBalance!Q13-'EB1'!Q13</f>
        <v>0</v>
      </c>
      <c r="R13" s="110">
        <f>EnergyBalance!R13-'EB1'!R13</f>
        <v>0</v>
      </c>
      <c r="S13" s="244">
        <f>SUM(D13:R13)</f>
        <v>-0.49853999999999987</v>
      </c>
    </row>
    <row r="14" spans="1:24" ht="14.4">
      <c r="B14" s="103"/>
      <c r="C14" s="104" t="s">
        <v>77</v>
      </c>
      <c r="D14" s="113">
        <f t="shared" ref="D14:R14" si="2">SUM(D10:D13)</f>
        <v>0</v>
      </c>
      <c r="E14" s="106">
        <f t="shared" si="2"/>
        <v>-132.34460000000001</v>
      </c>
      <c r="F14" s="106">
        <f t="shared" si="2"/>
        <v>-12.280100000000001</v>
      </c>
      <c r="G14" s="106">
        <f t="shared" ref="G14:M14" si="3">SUM(G10:G13)</f>
        <v>3.9858000000000002</v>
      </c>
      <c r="H14" s="106">
        <f t="shared" si="3"/>
        <v>0</v>
      </c>
      <c r="I14" s="106">
        <f t="shared" si="3"/>
        <v>0.14651000000000003</v>
      </c>
      <c r="J14" s="106">
        <f t="shared" si="3"/>
        <v>4.4840600000000004</v>
      </c>
      <c r="K14" s="106">
        <f t="shared" si="3"/>
        <v>0</v>
      </c>
      <c r="L14" s="106">
        <f t="shared" si="3"/>
        <v>2.1980000000000004</v>
      </c>
      <c r="M14" s="106">
        <f t="shared" si="3"/>
        <v>0.41034000000000004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27.424050000000001</v>
      </c>
      <c r="S14" s="107">
        <f>SUM(S10:S13)</f>
        <v>-105.97593999999999</v>
      </c>
    </row>
    <row r="15" spans="1:24">
      <c r="B15" s="103"/>
      <c r="C15" s="242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3"/>
    </row>
    <row r="16" spans="1:24" ht="14.4">
      <c r="A16" s="9"/>
      <c r="B16" s="97" t="s">
        <v>79</v>
      </c>
      <c r="C16" s="114" t="s">
        <v>80</v>
      </c>
      <c r="D16" s="246">
        <f>EnergyBalance!D16-'EB1'!D16</f>
        <v>0</v>
      </c>
      <c r="E16" s="101">
        <f>EnergyBalance!E16-'EB1'!E16</f>
        <v>0</v>
      </c>
      <c r="F16" s="246"/>
      <c r="G16" s="246">
        <f>EnergyBalance!G16-'EB1'!G16</f>
        <v>0</v>
      </c>
      <c r="H16" s="246">
        <f>EnergyBalance!H16-'EB1'!H16</f>
        <v>0</v>
      </c>
      <c r="I16" s="246">
        <f>EnergyBalance!I16-'EB1'!I16</f>
        <v>1.0257800000000001</v>
      </c>
      <c r="J16" s="246">
        <f>EnergyBalance!J16-'EB1'!J16</f>
        <v>0</v>
      </c>
      <c r="K16" s="246">
        <f>EnergyBalance!K16-'EB1'!K16</f>
        <v>0</v>
      </c>
      <c r="L16" s="246">
        <f>EnergyBalance!L16-'EB1'!L16</f>
        <v>0</v>
      </c>
      <c r="M16" s="246">
        <f>EnergyBalance!M16-'EB1'!M16</f>
        <v>0</v>
      </c>
      <c r="N16" s="247">
        <f>EnergyBalance!N16-'EB1'!N16</f>
        <v>0</v>
      </c>
      <c r="O16" s="246">
        <f>EnergyBalance!O16-'EB1'!O16</f>
        <v>0</v>
      </c>
      <c r="P16" s="246">
        <f>EnergyBalance!P16-'EB1'!P16</f>
        <v>0</v>
      </c>
      <c r="Q16" s="246">
        <f>EnergyBalance!Q16-'EB1'!Q16</f>
        <v>0</v>
      </c>
      <c r="R16" s="246">
        <f>EnergyBalance!R16-'EB1'!R16</f>
        <v>13.62805</v>
      </c>
      <c r="S16" s="248">
        <f>SUM(D16:R16)</f>
        <v>14.653829999999999</v>
      </c>
    </row>
    <row r="17" spans="1:19">
      <c r="A17" s="9"/>
      <c r="B17" s="97" t="s">
        <v>81</v>
      </c>
      <c r="C17" s="115" t="s">
        <v>82</v>
      </c>
      <c r="D17" s="246">
        <f>EnergyBalance!D17-'EB1'!D17</f>
        <v>0</v>
      </c>
      <c r="E17" s="246">
        <f>EnergyBalance!E17-'EB1'!E17</f>
        <v>0</v>
      </c>
      <c r="F17" s="246"/>
      <c r="G17" s="246">
        <f>EnergyBalance!G17-'EB1'!G17</f>
        <v>0</v>
      </c>
      <c r="H17" s="246">
        <f>EnergyBalance!H17-'EB1'!H17</f>
        <v>0</v>
      </c>
      <c r="I17" s="246">
        <f>EnergyBalance!I17-'EB1'!I17</f>
        <v>0.41034000000000004</v>
      </c>
      <c r="J17" s="246">
        <f>EnergyBalance!J17-'EB1'!J17</f>
        <v>0</v>
      </c>
      <c r="K17" s="246">
        <f>EnergyBalance!K17-'EB1'!K17</f>
        <v>0</v>
      </c>
      <c r="L17" s="246">
        <f>EnergyBalance!L17-'EB1'!L17</f>
        <v>0.58618000000000003</v>
      </c>
      <c r="M17" s="246">
        <f>EnergyBalance!M17-'EB1'!M17</f>
        <v>0</v>
      </c>
      <c r="N17" s="247">
        <f>EnergyBalance!N17-'EB1'!N17</f>
        <v>0</v>
      </c>
      <c r="O17" s="246">
        <f>EnergyBalance!O17-'EB1'!O17</f>
        <v>0</v>
      </c>
      <c r="P17" s="246">
        <f>EnergyBalance!P17-'EB1'!P17</f>
        <v>0</v>
      </c>
      <c r="Q17" s="246">
        <f>EnergyBalance!Q17-'EB1'!Q17</f>
        <v>0</v>
      </c>
      <c r="R17" s="246">
        <f>EnergyBalance!R17-'EB1'!R17</f>
        <v>5.44285</v>
      </c>
      <c r="S17" s="248">
        <f t="shared" ref="S17:S23" si="4">SUM(D17:R17)</f>
        <v>6.4393700000000003</v>
      </c>
    </row>
    <row r="18" spans="1:19">
      <c r="A18" s="9"/>
      <c r="B18" s="97" t="s">
        <v>83</v>
      </c>
      <c r="C18" s="115" t="s">
        <v>84</v>
      </c>
      <c r="D18" s="246">
        <f>EnergyBalance!D18-'EB1'!D18</f>
        <v>0</v>
      </c>
      <c r="E18" s="246">
        <f>EnergyBalance!E18-'EB1'!E18</f>
        <v>11.095000000000001</v>
      </c>
      <c r="F18" s="246"/>
      <c r="G18" s="246">
        <f>EnergyBalance!G18-'EB1'!G18</f>
        <v>51.405549999999998</v>
      </c>
      <c r="H18" s="246">
        <f>EnergyBalance!H18-'EB1'!H18</f>
        <v>0</v>
      </c>
      <c r="I18" s="246">
        <f>EnergyBalance!I18-'EB1'!I18</f>
        <v>0</v>
      </c>
      <c r="J18" s="246">
        <f>EnergyBalance!J18-'EB1'!J18</f>
        <v>0</v>
      </c>
      <c r="K18" s="246">
        <f>EnergyBalance!K18-'EB1'!K18</f>
        <v>0</v>
      </c>
      <c r="L18" s="246">
        <f>EnergyBalance!L18-'EB1'!L18</f>
        <v>1.7584700000000002</v>
      </c>
      <c r="M18" s="246">
        <f>EnergyBalance!M18-'EB1'!M18</f>
        <v>6.5356200000000007</v>
      </c>
      <c r="N18" s="247">
        <f>EnergyBalance!N18-'EB1'!N18</f>
        <v>0</v>
      </c>
      <c r="O18" s="246">
        <f>EnergyBalance!O18-'EB1'!O18</f>
        <v>0</v>
      </c>
      <c r="P18" s="246">
        <f>EnergyBalance!P18-'EB1'!P18</f>
        <v>0</v>
      </c>
      <c r="Q18" s="246">
        <f>EnergyBalance!Q18-'EB1'!Q18</f>
        <v>0</v>
      </c>
      <c r="R18" s="246">
        <f>EnergyBalance!R18-'EB1'!R18</f>
        <v>8.3735999999999997</v>
      </c>
      <c r="S18" s="248">
        <f t="shared" si="4"/>
        <v>79.168239999999983</v>
      </c>
    </row>
    <row r="19" spans="1:19">
      <c r="A19" s="9"/>
      <c r="B19" s="97" t="s">
        <v>85</v>
      </c>
      <c r="C19" s="115" t="s">
        <v>86</v>
      </c>
      <c r="D19" s="246">
        <f>EnergyBalance!D19-'EB1'!D19</f>
        <v>0</v>
      </c>
      <c r="E19" s="246">
        <f>EnergyBalance!E19-'EB1'!E19</f>
        <v>0</v>
      </c>
      <c r="F19" s="246"/>
      <c r="G19" s="246">
        <f>EnergyBalance!G19-'EB1'!G19</f>
        <v>0</v>
      </c>
      <c r="H19" s="246">
        <f>EnergyBalance!H19-'EB1'!H19</f>
        <v>0</v>
      </c>
      <c r="I19" s="246">
        <f>EnergyBalance!I19-'EB1'!I19</f>
        <v>0</v>
      </c>
      <c r="J19" s="246">
        <f>EnergyBalance!J19-'EB1'!J19</f>
        <v>0</v>
      </c>
      <c r="K19" s="246">
        <f>EnergyBalance!K19-'EB1'!K19</f>
        <v>0</v>
      </c>
      <c r="L19" s="246">
        <f>EnergyBalance!L19-'EB1'!L19</f>
        <v>0</v>
      </c>
      <c r="M19" s="246">
        <f>EnergyBalance!M19-'EB1'!M19</f>
        <v>0</v>
      </c>
      <c r="N19" s="247">
        <f>EnergyBalance!N19-'EB1'!N19</f>
        <v>0</v>
      </c>
      <c r="O19" s="246">
        <f>EnergyBalance!O19-'EB1'!O19</f>
        <v>0</v>
      </c>
      <c r="P19" s="246">
        <f>EnergyBalance!P19-'EB1'!P19</f>
        <v>0</v>
      </c>
      <c r="Q19" s="246">
        <f>EnergyBalance!Q19-'EB1'!Q19</f>
        <v>0</v>
      </c>
      <c r="R19" s="246">
        <f>EnergyBalance!R19-'EB1'!R19</f>
        <v>0</v>
      </c>
      <c r="S19" s="248">
        <f t="shared" si="4"/>
        <v>0</v>
      </c>
    </row>
    <row r="20" spans="1:19" ht="14.4">
      <c r="A20" s="9"/>
      <c r="B20" s="97" t="s">
        <v>87</v>
      </c>
      <c r="C20" s="115" t="s">
        <v>88</v>
      </c>
      <c r="D20" s="246">
        <f>EnergyBalance!D20-'EB1'!D20</f>
        <v>0</v>
      </c>
      <c r="E20" s="246">
        <f>EnergyBalance!E20-'EB1'!E20</f>
        <v>6.8663999999999996</v>
      </c>
      <c r="F20" s="246"/>
      <c r="G20" s="101">
        <f>EnergyBalance!G20-'EB1'!G20</f>
        <v>12.572980000000001</v>
      </c>
      <c r="H20" s="101">
        <f>EnergyBalance!H20-'EB1'!H20</f>
        <v>0</v>
      </c>
      <c r="I20" s="101">
        <f>EnergyBalance!I20-'EB1'!I20</f>
        <v>0</v>
      </c>
      <c r="J20" s="101">
        <f>EnergyBalance!J20-'EB1'!J20</f>
        <v>39.008409999999998</v>
      </c>
      <c r="K20" s="101">
        <f>EnergyBalance!K20-'EB1'!K20</f>
        <v>0</v>
      </c>
      <c r="L20" s="101">
        <f>EnergyBalance!L20-'EB1'!L20</f>
        <v>0</v>
      </c>
      <c r="M20" s="101">
        <f>EnergyBalance!M20-'EB1'!M20</f>
        <v>5.1874199999999995</v>
      </c>
      <c r="N20" s="247">
        <f>EnergyBalance!N20-'EB1'!N20</f>
        <v>0</v>
      </c>
      <c r="O20" s="246">
        <f>EnergyBalance!O20-'EB1'!O20</f>
        <v>0</v>
      </c>
      <c r="P20" s="246">
        <f>EnergyBalance!P20-'EB1'!P20</f>
        <v>0</v>
      </c>
      <c r="Q20" s="246">
        <f>EnergyBalance!Q20-'EB1'!Q20</f>
        <v>0</v>
      </c>
      <c r="R20" s="246">
        <f>EnergyBalance!R20-'EB1'!R20</f>
        <v>0</v>
      </c>
      <c r="S20" s="248">
        <f t="shared" si="4"/>
        <v>63.635210000000001</v>
      </c>
    </row>
    <row r="21" spans="1:19">
      <c r="A21" s="9"/>
      <c r="B21" s="97" t="s">
        <v>89</v>
      </c>
      <c r="C21" s="116" t="s">
        <v>90</v>
      </c>
      <c r="D21" s="117">
        <f>EnergyBalance!D21-'EB1'!D21</f>
        <v>0</v>
      </c>
      <c r="E21" s="117">
        <f>EnergyBalance!E21-'EB1'!E21</f>
        <v>14.968999999999999</v>
      </c>
      <c r="F21" s="117"/>
      <c r="G21" s="117">
        <f>EnergyBalance!G21-'EB1'!G21</f>
        <v>0</v>
      </c>
      <c r="H21" s="117">
        <f>EnergyBalance!H21-'EB1'!H21</f>
        <v>0</v>
      </c>
      <c r="I21" s="117">
        <f>EnergyBalance!I21-'EB1'!I21</f>
        <v>0</v>
      </c>
      <c r="J21" s="117">
        <f>EnergyBalance!J21-'EB1'!J21</f>
        <v>0</v>
      </c>
      <c r="K21" s="117">
        <f>EnergyBalance!K21-'EB1'!K21</f>
        <v>0.11725000000000001</v>
      </c>
      <c r="L21" s="117">
        <f>EnergyBalance!L21-'EB1'!L21</f>
        <v>0</v>
      </c>
      <c r="M21" s="117">
        <f>EnergyBalance!M21-'EB1'!M21</f>
        <v>0</v>
      </c>
      <c r="N21" s="117">
        <f>EnergyBalance!N21-'EB1'!N21</f>
        <v>0</v>
      </c>
      <c r="O21" s="117">
        <f>EnergyBalance!O21-'EB1'!O21</f>
        <v>0</v>
      </c>
      <c r="P21" s="117">
        <f>EnergyBalance!P21-'EB1'!P21</f>
        <v>0</v>
      </c>
      <c r="Q21" s="117">
        <f>EnergyBalance!Q21-'EB1'!Q21</f>
        <v>0</v>
      </c>
      <c r="R21" s="117">
        <f>EnergyBalance!R21-'EB1'!R21</f>
        <v>0.20935000000000001</v>
      </c>
      <c r="S21" s="249">
        <f t="shared" si="4"/>
        <v>15.2956</v>
      </c>
    </row>
    <row r="22" spans="1:19">
      <c r="A22" s="9"/>
      <c r="B22" s="97" t="s">
        <v>110</v>
      </c>
      <c r="C22" s="115" t="s">
        <v>91</v>
      </c>
      <c r="D22" s="246">
        <f>EnergyBalance!D22-'EB1'!D22</f>
        <v>0</v>
      </c>
      <c r="E22" s="246">
        <f>EnergyBalance!E22-'EB1'!E22</f>
        <v>4.3960999999999997</v>
      </c>
      <c r="F22" s="246"/>
      <c r="G22" s="246">
        <f>EnergyBalance!G22-'EB1'!G22</f>
        <v>0</v>
      </c>
      <c r="H22" s="246">
        <f>EnergyBalance!H22-'EB1'!H22</f>
        <v>0</v>
      </c>
      <c r="I22" s="246">
        <f>EnergyBalance!I22-'EB1'!I22</f>
        <v>0</v>
      </c>
      <c r="J22" s="246">
        <f>EnergyBalance!J22-'EB1'!J22</f>
        <v>0</v>
      </c>
      <c r="K22" s="246">
        <f>EnergyBalance!K22-'EB1'!K22</f>
        <v>0</v>
      </c>
      <c r="L22" s="246">
        <f>EnergyBalance!L22-'EB1'!L22</f>
        <v>0</v>
      </c>
      <c r="M22" s="246">
        <f>EnergyBalance!M22-'EB1'!M22</f>
        <v>12.426399999999999</v>
      </c>
      <c r="N22" s="247">
        <f>EnergyBalance!N22-'EB1'!N22</f>
        <v>0</v>
      </c>
      <c r="O22" s="246">
        <f>EnergyBalance!O22-'EB1'!O22</f>
        <v>0</v>
      </c>
      <c r="P22" s="246">
        <f>EnergyBalance!P22-'EB1'!P22</f>
        <v>0</v>
      </c>
      <c r="Q22" s="246">
        <f>EnergyBalance!Q22-'EB1'!Q22</f>
        <v>0</v>
      </c>
      <c r="R22" s="246">
        <f>EnergyBalance!R22-'EB1'!R22</f>
        <v>0</v>
      </c>
      <c r="S22" s="248">
        <f t="shared" si="4"/>
        <v>16.822499999999998</v>
      </c>
    </row>
    <row r="23" spans="1:19">
      <c r="A23" s="9"/>
      <c r="B23" s="97" t="s">
        <v>111</v>
      </c>
      <c r="C23" s="115" t="s">
        <v>92</v>
      </c>
      <c r="D23" s="246">
        <f>EnergyBalance!D23-'EB1'!D23</f>
        <v>0</v>
      </c>
      <c r="E23" s="246">
        <f>EnergyBalance!E23-'EB1'!E23</f>
        <v>0</v>
      </c>
      <c r="F23" s="246"/>
      <c r="G23" s="246">
        <f>EnergyBalance!G23-'EB1'!G23</f>
        <v>-2.9330000000000002E-2</v>
      </c>
      <c r="H23" s="246">
        <f>EnergyBalance!H23-'EB1'!H23</f>
        <v>0</v>
      </c>
      <c r="I23" s="246">
        <f>EnergyBalance!I23-'EB1'!I23</f>
        <v>0</v>
      </c>
      <c r="J23" s="246">
        <f>EnergyBalance!J23-'EB1'!J23</f>
        <v>0</v>
      </c>
      <c r="K23" s="246">
        <f>EnergyBalance!K23-'EB1'!K23</f>
        <v>0</v>
      </c>
      <c r="L23" s="246">
        <f>EnergyBalance!L23-'EB1'!L23</f>
        <v>0</v>
      </c>
      <c r="M23" s="246">
        <f>EnergyBalance!M23-'EB1'!M23</f>
        <v>0</v>
      </c>
      <c r="N23" s="247">
        <f>EnergyBalance!N23-'EB1'!N23</f>
        <v>0</v>
      </c>
      <c r="O23" s="246">
        <f>EnergyBalance!O23-'EB1'!O23</f>
        <v>0</v>
      </c>
      <c r="P23" s="246">
        <f>EnergyBalance!P23-'EB1'!P23</f>
        <v>0</v>
      </c>
      <c r="Q23" s="246">
        <f>EnergyBalance!Q23-'EB1'!Q23</f>
        <v>0</v>
      </c>
      <c r="R23" s="246">
        <f>EnergyBalance!R23-'EB1'!R23</f>
        <v>0</v>
      </c>
      <c r="S23" s="248">
        <f t="shared" si="4"/>
        <v>-2.9330000000000002E-2</v>
      </c>
    </row>
    <row r="24" spans="1:19" ht="14.4">
      <c r="A24" s="9"/>
      <c r="B24" s="229" t="s">
        <v>113</v>
      </c>
      <c r="C24" s="104" t="s">
        <v>246</v>
      </c>
      <c r="D24" s="118">
        <f t="shared" ref="D24:S24" si="5">SUM(D16:D23)</f>
        <v>0</v>
      </c>
      <c r="E24" s="119">
        <f t="shared" si="5"/>
        <v>37.326499999999996</v>
      </c>
      <c r="F24" s="119"/>
      <c r="G24" s="119">
        <f t="shared" ref="G24:M24" si="6">SUM(G16:G23)</f>
        <v>63.949199999999998</v>
      </c>
      <c r="H24" s="119">
        <f t="shared" si="6"/>
        <v>0</v>
      </c>
      <c r="I24" s="119">
        <f t="shared" si="6"/>
        <v>1.4361200000000003</v>
      </c>
      <c r="J24" s="119">
        <f t="shared" si="6"/>
        <v>39.008409999999998</v>
      </c>
      <c r="K24" s="119">
        <f t="shared" si="6"/>
        <v>0.11725000000000001</v>
      </c>
      <c r="L24" s="119">
        <f t="shared" si="6"/>
        <v>2.3446500000000001</v>
      </c>
      <c r="M24" s="119">
        <f t="shared" si="6"/>
        <v>24.149439999999998</v>
      </c>
      <c r="N24" s="119">
        <f t="shared" si="5"/>
        <v>0</v>
      </c>
      <c r="O24" s="119">
        <f t="shared" si="5"/>
        <v>0</v>
      </c>
      <c r="P24" s="119">
        <f t="shared" si="5"/>
        <v>0</v>
      </c>
      <c r="Q24" s="119">
        <f t="shared" si="5"/>
        <v>0</v>
      </c>
      <c r="R24" s="118">
        <f t="shared" si="5"/>
        <v>27.653850000000002</v>
      </c>
      <c r="S24" s="120">
        <f t="shared" si="5"/>
        <v>195.98541999999998</v>
      </c>
    </row>
    <row r="25" spans="1:19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4.4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19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  <c r="N40" s="11"/>
    </row>
    <row r="41" spans="1:21" ht="39.6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201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4.4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4.4">
      <c r="A49" s="9"/>
      <c r="B49" s="97" t="s">
        <v>87</v>
      </c>
      <c r="C49" s="116" t="s">
        <v>138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140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3" t="s">
        <v>146</v>
      </c>
      <c r="D52" s="134" t="s">
        <v>147</v>
      </c>
      <c r="E52" s="135" t="s">
        <v>148</v>
      </c>
      <c r="S52" s="11"/>
    </row>
    <row r="53" spans="1:21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>
      <c r="A54" s="9"/>
      <c r="B54" s="97" t="s">
        <v>79</v>
      </c>
      <c r="C54" s="137">
        <v>1</v>
      </c>
      <c r="D54" s="137"/>
      <c r="E54" s="137"/>
    </row>
    <row r="55" spans="1:21">
      <c r="A55" s="9"/>
      <c r="B55" s="97" t="s">
        <v>87</v>
      </c>
      <c r="C55" s="137">
        <v>1</v>
      </c>
      <c r="D55" s="137"/>
      <c r="E55" s="137"/>
    </row>
    <row r="56" spans="1:21">
      <c r="A56" s="9"/>
      <c r="B56" s="97" t="s">
        <v>89</v>
      </c>
      <c r="C56" s="137">
        <v>1</v>
      </c>
      <c r="D56" s="137"/>
      <c r="E56" s="137"/>
    </row>
    <row r="57" spans="1:21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5"/>
  <sheetViews>
    <sheetView zoomScale="60" zoomScaleNormal="60" workbookViewId="0">
      <selection activeCell="D20" sqref="D20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0" max="10" width="9.109375" customWidth="1"/>
    <col min="12" max="12" width="26.109375" customWidth="1"/>
    <col min="13" max="13" width="22.5546875" customWidth="1"/>
    <col min="15" max="15" width="7.109375" customWidth="1"/>
    <col min="25" max="25" width="2.88671875" customWidth="1"/>
  </cols>
  <sheetData>
    <row r="2" spans="2:17" ht="17.399999999999999">
      <c r="B2" s="212" t="s">
        <v>236</v>
      </c>
      <c r="K2" s="212" t="s">
        <v>244</v>
      </c>
      <c r="L2" s="213"/>
      <c r="M2" s="213"/>
      <c r="N2" s="213"/>
    </row>
    <row r="3" spans="2:17" ht="17.399999999999999">
      <c r="K3" s="212" t="s">
        <v>245</v>
      </c>
      <c r="L3" s="214"/>
      <c r="M3" s="262"/>
      <c r="N3" s="214"/>
    </row>
    <row r="4" spans="2:17" ht="15">
      <c r="B4" s="48" t="s">
        <v>256</v>
      </c>
      <c r="L4" s="214"/>
      <c r="M4" s="262"/>
      <c r="N4" s="214"/>
    </row>
    <row r="5" spans="2:17" ht="15">
      <c r="L5" s="214"/>
      <c r="M5" s="214"/>
      <c r="N5" s="214"/>
    </row>
    <row r="6" spans="2:17" ht="15">
      <c r="B6" s="1" t="s">
        <v>259</v>
      </c>
      <c r="L6" s="214"/>
      <c r="M6" s="214"/>
      <c r="N6" s="214"/>
    </row>
    <row r="7" spans="2:17" ht="15">
      <c r="B7" s="1" t="s">
        <v>257</v>
      </c>
      <c r="L7" s="214"/>
      <c r="M7" s="214"/>
      <c r="N7" s="214"/>
    </row>
    <row r="8" spans="2:17" ht="15.6">
      <c r="B8" s="1" t="s">
        <v>262</v>
      </c>
      <c r="L8" s="214"/>
      <c r="M8" s="263"/>
      <c r="N8" s="264"/>
    </row>
    <row r="9" spans="2:17" ht="15">
      <c r="B9" s="1" t="s">
        <v>258</v>
      </c>
      <c r="L9" s="214"/>
      <c r="M9" s="214"/>
      <c r="N9" s="214"/>
    </row>
    <row r="11" spans="2:17">
      <c r="O11" s="210"/>
      <c r="P11" s="210"/>
      <c r="Q11" s="9"/>
    </row>
    <row r="12" spans="2:17">
      <c r="O12" s="9"/>
      <c r="P12" s="16"/>
      <c r="Q12" s="9"/>
    </row>
    <row r="13" spans="2:17">
      <c r="O13" s="9"/>
      <c r="P13" s="16"/>
      <c r="Q13" s="9"/>
    </row>
    <row r="14" spans="2:17">
      <c r="O14" s="9"/>
      <c r="P14" s="16"/>
      <c r="Q14" s="9"/>
    </row>
    <row r="15" spans="2:17" ht="17.399999999999999">
      <c r="B15" s="212" t="s">
        <v>237</v>
      </c>
      <c r="O15" s="9"/>
      <c r="P15" s="9"/>
      <c r="Q15" s="9"/>
    </row>
    <row r="17" spans="4:30">
      <c r="D17" s="211" t="s">
        <v>238</v>
      </c>
      <c r="E17" s="211"/>
      <c r="F17" s="211"/>
      <c r="G17" s="211"/>
      <c r="H17" s="211"/>
      <c r="I17" s="211"/>
      <c r="L17" s="211" t="s">
        <v>239</v>
      </c>
      <c r="M17" s="211"/>
      <c r="N17" s="211"/>
      <c r="P17" s="211" t="s">
        <v>240</v>
      </c>
      <c r="Q17" s="211"/>
      <c r="R17" s="211"/>
      <c r="S17" s="211"/>
      <c r="AA17" s="211" t="s">
        <v>241</v>
      </c>
      <c r="AB17" s="211"/>
      <c r="AC17" s="211"/>
      <c r="AD17" s="211"/>
    </row>
    <row r="18" spans="4:30">
      <c r="L18" s="211" t="s">
        <v>242</v>
      </c>
      <c r="M18" s="211"/>
      <c r="N18" s="211"/>
    </row>
    <row r="55" spans="12:14">
      <c r="L55" s="210"/>
      <c r="M55" s="210"/>
      <c r="N55" s="2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32"/>
  <sheetViews>
    <sheetView zoomScaleNormal="100" workbookViewId="0">
      <selection activeCell="I22" sqref="I22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0.88671875" bestFit="1" customWidth="1"/>
    <col min="6" max="6" width="8.33203125" bestFit="1" customWidth="1"/>
    <col min="7" max="7" width="14.33203125" bestFit="1" customWidth="1"/>
    <col min="8" max="8" width="8.4414062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1093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5" t="s">
        <v>94</v>
      </c>
      <c r="C1" s="45" t="s">
        <v>95</v>
      </c>
      <c r="D1" s="45" t="s">
        <v>96</v>
      </c>
      <c r="E1" s="45" t="s">
        <v>98</v>
      </c>
      <c r="F1" s="32"/>
      <c r="G1" s="45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EnergyBalance!W2</f>
        <v>PJ</v>
      </c>
      <c r="G2" s="20" t="str">
        <f>EnergyBalance!V2</f>
        <v>M€2016</v>
      </c>
      <c r="K2" s="269" t="s">
        <v>14</v>
      </c>
      <c r="L2" s="269"/>
      <c r="M2" s="270"/>
      <c r="N2" s="270"/>
      <c r="O2" s="270"/>
      <c r="P2" s="270"/>
      <c r="Q2" s="270"/>
      <c r="R2" s="270"/>
      <c r="S2" s="270"/>
    </row>
    <row r="3" spans="2:20">
      <c r="K3" s="271" t="s">
        <v>7</v>
      </c>
      <c r="L3" s="272" t="s">
        <v>30</v>
      </c>
      <c r="M3" s="271" t="s">
        <v>0</v>
      </c>
      <c r="N3" s="271" t="s">
        <v>3</v>
      </c>
      <c r="O3" s="271" t="s">
        <v>4</v>
      </c>
      <c r="P3" s="271" t="s">
        <v>8</v>
      </c>
      <c r="Q3" s="271" t="s">
        <v>9</v>
      </c>
      <c r="R3" s="271" t="s">
        <v>10</v>
      </c>
      <c r="S3" s="271" t="s">
        <v>12</v>
      </c>
    </row>
    <row r="4" spans="2:20" ht="21.6" thickBot="1">
      <c r="C4" s="1"/>
      <c r="K4" s="273" t="s">
        <v>40</v>
      </c>
      <c r="L4" s="273" t="s">
        <v>31</v>
      </c>
      <c r="M4" s="273" t="s">
        <v>26</v>
      </c>
      <c r="N4" s="273" t="s">
        <v>27</v>
      </c>
      <c r="O4" s="273" t="s">
        <v>4</v>
      </c>
      <c r="P4" s="273" t="s">
        <v>43</v>
      </c>
      <c r="Q4" s="273" t="s">
        <v>44</v>
      </c>
      <c r="R4" s="273" t="s">
        <v>28</v>
      </c>
      <c r="S4" s="273" t="s">
        <v>29</v>
      </c>
    </row>
    <row r="5" spans="2:20">
      <c r="K5" s="274" t="s">
        <v>93</v>
      </c>
      <c r="L5" s="275"/>
      <c r="M5" s="274" t="str">
        <f>C2</f>
        <v>COA</v>
      </c>
      <c r="N5" s="274" t="str">
        <f>D2</f>
        <v>Solid Fuels</v>
      </c>
      <c r="O5" s="274" t="str">
        <f>$E$2</f>
        <v>PJ</v>
      </c>
      <c r="P5" s="274"/>
      <c r="Q5" s="274"/>
      <c r="R5" s="274"/>
      <c r="S5" s="274"/>
    </row>
    <row r="7" spans="2:20">
      <c r="F7" s="7" t="s">
        <v>13</v>
      </c>
      <c r="H7" s="7"/>
      <c r="K7" s="269" t="s">
        <v>15</v>
      </c>
      <c r="L7" s="269"/>
      <c r="M7" s="276"/>
      <c r="N7" s="276"/>
      <c r="O7" s="276"/>
      <c r="P7" s="276"/>
      <c r="Q7" s="276"/>
      <c r="R7" s="276"/>
      <c r="S7" s="276"/>
    </row>
    <row r="8" spans="2:20">
      <c r="B8" s="3" t="s">
        <v>1</v>
      </c>
      <c r="C8" s="31" t="s">
        <v>5</v>
      </c>
      <c r="D8" s="3" t="s">
        <v>6</v>
      </c>
      <c r="E8" s="3" t="s">
        <v>158</v>
      </c>
      <c r="F8" s="3" t="s">
        <v>8</v>
      </c>
      <c r="G8" s="223" t="s">
        <v>37</v>
      </c>
      <c r="H8" s="223" t="s">
        <v>38</v>
      </c>
      <c r="I8" s="223" t="s">
        <v>101</v>
      </c>
      <c r="J8" s="9"/>
      <c r="K8" s="271" t="s">
        <v>11</v>
      </c>
      <c r="L8" s="272" t="s">
        <v>30</v>
      </c>
      <c r="M8" s="271" t="s">
        <v>1</v>
      </c>
      <c r="N8" s="271" t="s">
        <v>2</v>
      </c>
      <c r="O8" s="271" t="s">
        <v>16</v>
      </c>
      <c r="P8" s="271" t="s">
        <v>17</v>
      </c>
      <c r="Q8" s="271" t="s">
        <v>18</v>
      </c>
      <c r="R8" s="271" t="s">
        <v>19</v>
      </c>
      <c r="S8" s="271" t="s">
        <v>20</v>
      </c>
    </row>
    <row r="9" spans="2:20" s="9" customFormat="1" ht="21.6" thickBot="1">
      <c r="B9" s="93" t="s">
        <v>42</v>
      </c>
      <c r="C9" s="93" t="s">
        <v>32</v>
      </c>
      <c r="D9" s="93" t="s">
        <v>33</v>
      </c>
      <c r="E9" s="93"/>
      <c r="F9" s="93"/>
      <c r="G9" s="93" t="s">
        <v>39</v>
      </c>
      <c r="H9" s="93" t="s">
        <v>118</v>
      </c>
      <c r="I9" s="93" t="s">
        <v>117</v>
      </c>
      <c r="K9" s="273" t="s">
        <v>41</v>
      </c>
      <c r="L9" s="273" t="s">
        <v>31</v>
      </c>
      <c r="M9" s="273" t="s">
        <v>21</v>
      </c>
      <c r="N9" s="273" t="s">
        <v>22</v>
      </c>
      <c r="O9" s="273" t="s">
        <v>23</v>
      </c>
      <c r="P9" s="273" t="s">
        <v>24</v>
      </c>
      <c r="Q9" s="273" t="s">
        <v>46</v>
      </c>
      <c r="R9" s="273" t="s">
        <v>45</v>
      </c>
      <c r="S9" s="273" t="s">
        <v>25</v>
      </c>
    </row>
    <row r="10" spans="2:20" s="9" customFormat="1" ht="13.8" thickBot="1">
      <c r="B10" s="93" t="s">
        <v>115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273" t="s">
        <v>104</v>
      </c>
      <c r="L10" s="277"/>
      <c r="M10" s="277"/>
      <c r="N10" s="277"/>
      <c r="O10" s="277"/>
      <c r="P10" s="277"/>
      <c r="Q10" s="277"/>
      <c r="R10" s="277"/>
      <c r="S10" s="277"/>
    </row>
    <row r="11" spans="2:20" s="9" customFormat="1">
      <c r="B11" s="16" t="str">
        <f>M11</f>
        <v>MINCOA1</v>
      </c>
      <c r="C11" s="16"/>
      <c r="D11" s="16" t="str">
        <f>$M$5</f>
        <v>COA</v>
      </c>
      <c r="E11" s="16"/>
      <c r="F11" s="16"/>
      <c r="G11" s="327">
        <v>810</v>
      </c>
      <c r="H11" s="328">
        <v>2.5</v>
      </c>
      <c r="I11" s="190">
        <f>'EB2'!$D$5*'EB2'!D37</f>
        <v>0</v>
      </c>
      <c r="K11" s="274" t="str">
        <f>EnergyBalance!$B$5</f>
        <v>MIN</v>
      </c>
      <c r="L11" s="275"/>
      <c r="M11" s="275" t="str">
        <f>$K$11&amp;$C$2&amp;1</f>
        <v>MINCOA1</v>
      </c>
      <c r="N11" s="278" t="str">
        <f>"Domestic Supply of "&amp;$D$2&amp; " Step "&amp;RIGHT(M11,1)</f>
        <v>Domestic Supply of Solid Fuels Step 1</v>
      </c>
      <c r="O11" s="275" t="str">
        <f>$E$2</f>
        <v>PJ</v>
      </c>
      <c r="P11" s="275"/>
      <c r="Q11" s="275"/>
      <c r="R11" s="275"/>
      <c r="S11" s="275"/>
    </row>
    <row r="12" spans="2:20">
      <c r="B12" s="16" t="str">
        <f>M12</f>
        <v>MINCOA2</v>
      </c>
      <c r="C12" s="16"/>
      <c r="D12" s="16" t="str">
        <f>$M$5</f>
        <v>COA</v>
      </c>
      <c r="E12" s="16"/>
      <c r="F12" s="16"/>
      <c r="G12" s="327">
        <v>480</v>
      </c>
      <c r="H12" s="328">
        <v>3</v>
      </c>
      <c r="I12" s="190">
        <f>'EB2'!$D$5*'EB2'!D38</f>
        <v>0</v>
      </c>
      <c r="K12" s="275"/>
      <c r="L12" s="275"/>
      <c r="M12" s="275" t="str">
        <f>$K$11&amp;$C$2&amp;2</f>
        <v>MINCOA2</v>
      </c>
      <c r="N12" s="278" t="str">
        <f>"Domestic Supply of "&amp;$D$2&amp; " Step "&amp;RIGHT(M12,1)</f>
        <v>Domestic Supply of Solid Fuels Step 2</v>
      </c>
      <c r="O12" s="275" t="str">
        <f>$E$2</f>
        <v>PJ</v>
      </c>
      <c r="P12" s="275"/>
      <c r="Q12" s="275"/>
      <c r="R12" s="275"/>
      <c r="S12" s="275"/>
      <c r="T12" s="9"/>
    </row>
    <row r="13" spans="2:20">
      <c r="B13" s="16" t="str">
        <f>M13</f>
        <v>MINCOA3</v>
      </c>
      <c r="C13" s="16"/>
      <c r="D13" s="16" t="str">
        <f>$M$5</f>
        <v>COA</v>
      </c>
      <c r="E13" s="16"/>
      <c r="F13" s="16"/>
      <c r="G13" s="329">
        <v>24</v>
      </c>
      <c r="H13" s="330">
        <v>4</v>
      </c>
      <c r="I13" s="186">
        <v>0</v>
      </c>
      <c r="K13" s="275"/>
      <c r="L13" s="275"/>
      <c r="M13" s="275" t="str">
        <f>$K$11&amp;$C$2&amp;3</f>
        <v>MINCOA3</v>
      </c>
      <c r="N13" s="278" t="str">
        <f>"Domestic Supply of "&amp;$D$2&amp; " Step "&amp;RIGHT(M13,1)</f>
        <v>Domestic Supply of Solid Fuels Step 3</v>
      </c>
      <c r="O13" s="275" t="str">
        <f>$E$2</f>
        <v>PJ</v>
      </c>
      <c r="P13" s="275"/>
      <c r="Q13" s="275"/>
      <c r="R13" s="275"/>
      <c r="S13" s="275"/>
    </row>
    <row r="14" spans="2:20">
      <c r="B14" s="16" t="str">
        <f>M14</f>
        <v>IMPCOA1</v>
      </c>
      <c r="C14" s="16"/>
      <c r="D14" s="16" t="str">
        <f>$M$5</f>
        <v>COA</v>
      </c>
      <c r="E14" s="16"/>
      <c r="F14" s="16"/>
      <c r="G14" s="331"/>
      <c r="H14" s="328">
        <v>6</v>
      </c>
      <c r="I14" s="190">
        <f>'EB2'!D6</f>
        <v>0</v>
      </c>
      <c r="K14" s="275" t="str">
        <f>EnergyBalance!$B$6</f>
        <v>IMP</v>
      </c>
      <c r="L14" s="275"/>
      <c r="M14" s="275" t="str">
        <f>$K$14&amp;$C$2&amp;1</f>
        <v>IMPCOA1</v>
      </c>
      <c r="N14" s="278" t="str">
        <f>"Import of "&amp;$D$2&amp; " Step "&amp;RIGHT(M14,1)</f>
        <v>Import of Solid Fuels Step 1</v>
      </c>
      <c r="O14" s="275" t="str">
        <f>$E$2</f>
        <v>PJ</v>
      </c>
      <c r="P14" s="275"/>
      <c r="Q14" s="275"/>
      <c r="R14" s="275"/>
      <c r="S14" s="275"/>
    </row>
    <row r="15" spans="2:20" s="9" customFormat="1">
      <c r="B15" s="16" t="str">
        <f>M15</f>
        <v>EXPCOA1</v>
      </c>
      <c r="C15" s="16" t="str">
        <f>$M$5</f>
        <v>COA</v>
      </c>
      <c r="F15" s="16"/>
      <c r="G15"/>
      <c r="H15" s="328">
        <v>6</v>
      </c>
      <c r="I15" s="190">
        <f>-'EB2'!D7</f>
        <v>0</v>
      </c>
      <c r="K15" s="275" t="str">
        <f>EnergyBalance!B7</f>
        <v>EXP</v>
      </c>
      <c r="L15" s="275"/>
      <c r="M15" s="275" t="str">
        <f>$K$15&amp;$C$2&amp;1</f>
        <v>EXPCOA1</v>
      </c>
      <c r="N15" s="278" t="str">
        <f>"Export of "&amp;$D$2&amp; " Step "&amp;RIGHT(M15,1)</f>
        <v>Export of Solid Fuels Step 1</v>
      </c>
      <c r="O15" s="275" t="str">
        <f>$E$2</f>
        <v>PJ</v>
      </c>
      <c r="P15" s="275"/>
      <c r="Q15" s="275"/>
      <c r="R15" s="275"/>
      <c r="S15" s="275"/>
      <c r="T15"/>
    </row>
    <row r="16" spans="2:20" s="9" customFormat="1">
      <c r="B16" s="1"/>
      <c r="F16" s="16"/>
    </row>
    <row r="17" spans="2:20" s="9" customFormat="1"/>
    <row r="18" spans="2:20" s="9" customFormat="1"/>
    <row r="19" spans="2:20">
      <c r="B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>
      <c r="B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2:20">
      <c r="B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2:20" s="1" customFormat="1">
      <c r="B22" s="112"/>
      <c r="C22" s="1" t="s">
        <v>232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>
      <c r="B23" s="183"/>
      <c r="C23" s="1" t="s">
        <v>233</v>
      </c>
      <c r="T23" s="1"/>
    </row>
    <row r="25" spans="2:20" s="9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s="9" customForma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20" s="9" customForma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20">
      <c r="T32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34"/>
  <sheetViews>
    <sheetView zoomScaleNormal="100" workbookViewId="0">
      <selection activeCell="E11" sqref="E11:F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664062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EnergyBalance!W2</f>
        <v>PJ</v>
      </c>
      <c r="F2" s="20" t="str">
        <f>EnergyBalance!V2</f>
        <v>M€2016</v>
      </c>
      <c r="I2" s="269" t="s">
        <v>14</v>
      </c>
      <c r="J2" s="269"/>
      <c r="K2" s="270"/>
      <c r="L2" s="270"/>
      <c r="M2" s="270"/>
      <c r="N2" s="270"/>
      <c r="O2" s="270"/>
      <c r="P2" s="270"/>
      <c r="Q2" s="270"/>
    </row>
    <row r="3" spans="2:18">
      <c r="I3" s="271" t="s">
        <v>7</v>
      </c>
      <c r="J3" s="272" t="s">
        <v>30</v>
      </c>
      <c r="K3" s="271" t="s">
        <v>0</v>
      </c>
      <c r="L3" s="271" t="s">
        <v>3</v>
      </c>
      <c r="M3" s="271" t="s">
        <v>4</v>
      </c>
      <c r="N3" s="271" t="s">
        <v>8</v>
      </c>
      <c r="O3" s="271" t="s">
        <v>9</v>
      </c>
      <c r="P3" s="271" t="s">
        <v>10</v>
      </c>
      <c r="Q3" s="271" t="s">
        <v>12</v>
      </c>
    </row>
    <row r="4" spans="2:18" ht="21.6" thickBot="1">
      <c r="C4" s="1"/>
      <c r="I4" s="273" t="s">
        <v>40</v>
      </c>
      <c r="J4" s="273" t="s">
        <v>31</v>
      </c>
      <c r="K4" s="273" t="s">
        <v>26</v>
      </c>
      <c r="L4" s="273" t="s">
        <v>27</v>
      </c>
      <c r="M4" s="273" t="s">
        <v>4</v>
      </c>
      <c r="N4" s="273" t="s">
        <v>43</v>
      </c>
      <c r="O4" s="273" t="s">
        <v>44</v>
      </c>
      <c r="P4" s="273" t="s">
        <v>28</v>
      </c>
      <c r="Q4" s="273" t="s">
        <v>29</v>
      </c>
    </row>
    <row r="5" spans="2:18">
      <c r="I5" s="274" t="s">
        <v>93</v>
      </c>
      <c r="J5" s="275"/>
      <c r="K5" s="274" t="str">
        <f>C2</f>
        <v>GAS</v>
      </c>
      <c r="L5" s="274" t="str">
        <f>D2</f>
        <v>Natural Gas</v>
      </c>
      <c r="M5" s="274" t="str">
        <f>$E$2</f>
        <v>PJ</v>
      </c>
      <c r="N5" s="274"/>
      <c r="O5" s="274"/>
      <c r="P5" s="274"/>
      <c r="Q5" s="274"/>
    </row>
    <row r="7" spans="2:18">
      <c r="D7" s="7" t="s">
        <v>13</v>
      </c>
      <c r="F7" s="7"/>
      <c r="I7" s="269" t="s">
        <v>15</v>
      </c>
      <c r="J7" s="269"/>
      <c r="K7" s="276"/>
      <c r="L7" s="276"/>
      <c r="M7" s="276"/>
      <c r="N7" s="276"/>
      <c r="O7" s="276"/>
      <c r="P7" s="276"/>
      <c r="Q7" s="276"/>
    </row>
    <row r="8" spans="2:18">
      <c r="B8" s="3" t="s">
        <v>1</v>
      </c>
      <c r="C8" s="31" t="s">
        <v>5</v>
      </c>
      <c r="D8" s="3" t="s">
        <v>6</v>
      </c>
      <c r="E8" s="223" t="s">
        <v>37</v>
      </c>
      <c r="F8" s="223" t="s">
        <v>38</v>
      </c>
      <c r="G8" s="223" t="s">
        <v>101</v>
      </c>
      <c r="I8" s="271" t="s">
        <v>11</v>
      </c>
      <c r="J8" s="272" t="s">
        <v>30</v>
      </c>
      <c r="K8" s="271" t="s">
        <v>1</v>
      </c>
      <c r="L8" s="271" t="s">
        <v>2</v>
      </c>
      <c r="M8" s="271" t="s">
        <v>16</v>
      </c>
      <c r="N8" s="271" t="s">
        <v>17</v>
      </c>
      <c r="O8" s="271" t="s">
        <v>18</v>
      </c>
      <c r="P8" s="271" t="s">
        <v>19</v>
      </c>
      <c r="Q8" s="271" t="s">
        <v>20</v>
      </c>
    </row>
    <row r="9" spans="2:18" s="9" customFormat="1" ht="21.6" thickBot="1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3" t="s">
        <v>41</v>
      </c>
      <c r="J9" s="273" t="s">
        <v>31</v>
      </c>
      <c r="K9" s="273" t="s">
        <v>21</v>
      </c>
      <c r="L9" s="273" t="s">
        <v>22</v>
      </c>
      <c r="M9" s="273" t="s">
        <v>23</v>
      </c>
      <c r="N9" s="273" t="s">
        <v>24</v>
      </c>
      <c r="O9" s="273" t="s">
        <v>46</v>
      </c>
      <c r="P9" s="273" t="s">
        <v>45</v>
      </c>
      <c r="Q9" s="273" t="s">
        <v>25</v>
      </c>
    </row>
    <row r="10" spans="2:18" s="9" customFormat="1" ht="13.8" thickBot="1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I10" s="273" t="s">
        <v>104</v>
      </c>
      <c r="J10" s="277"/>
      <c r="K10" s="277"/>
      <c r="L10" s="277"/>
      <c r="M10" s="277"/>
      <c r="N10" s="277"/>
      <c r="O10" s="277"/>
      <c r="P10" s="277"/>
      <c r="Q10" s="277"/>
    </row>
    <row r="11" spans="2:18" s="9" customFormat="1">
      <c r="B11" s="16" t="str">
        <f>K11</f>
        <v>MINGAS1</v>
      </c>
      <c r="C11" s="16"/>
      <c r="D11" s="16" t="str">
        <f>$K$5</f>
        <v>GAS</v>
      </c>
      <c r="E11" s="332">
        <v>6000</v>
      </c>
      <c r="F11" s="328">
        <v>2</v>
      </c>
      <c r="G11" s="182">
        <f>'EB2'!$E$5*'EB2'!E37</f>
        <v>344.93299999999999</v>
      </c>
      <c r="I11" s="274" t="str">
        <f>EnergyBalance!$B$5</f>
        <v>MIN</v>
      </c>
      <c r="J11" s="275"/>
      <c r="K11" s="275" t="str">
        <f>$I$11&amp;$C$2&amp;1</f>
        <v>MINGAS1</v>
      </c>
      <c r="L11" s="278" t="str">
        <f>"Domestic Supply of "&amp;$D$2&amp; " Step "&amp;RIGHT(K11,1)</f>
        <v>Domestic Supply of Natural Gas Step 1</v>
      </c>
      <c r="M11" s="275" t="str">
        <f>$E$2</f>
        <v>PJ</v>
      </c>
      <c r="N11" s="275"/>
      <c r="O11" s="275"/>
      <c r="P11" s="275"/>
      <c r="Q11" s="275"/>
    </row>
    <row r="12" spans="2:18">
      <c r="B12" s="16" t="str">
        <f>K12</f>
        <v>MINGAS2</v>
      </c>
      <c r="C12" s="16"/>
      <c r="D12" s="16" t="str">
        <f>$K$5</f>
        <v>GAS</v>
      </c>
      <c r="E12" s="329">
        <v>3000</v>
      </c>
      <c r="F12" s="330">
        <v>3.5</v>
      </c>
      <c r="G12" s="182">
        <f>'EB2'!$E$5*'EB2'!E38</f>
        <v>344.93299999999999</v>
      </c>
      <c r="H12" s="9"/>
      <c r="I12" s="275"/>
      <c r="J12" s="275"/>
      <c r="K12" s="275" t="str">
        <f>$I$11&amp;$C$2&amp;2</f>
        <v>MINGAS2</v>
      </c>
      <c r="L12" s="278" t="str">
        <f>"Domestic Supply of "&amp;$D$2&amp; " Step "&amp;RIGHT(K12,1)</f>
        <v>Domestic Supply of Natural Gas Step 2</v>
      </c>
      <c r="M12" s="275" t="str">
        <f>$E$2</f>
        <v>PJ</v>
      </c>
      <c r="N12" s="275"/>
      <c r="O12" s="275"/>
      <c r="P12" s="275"/>
      <c r="Q12" s="275"/>
      <c r="R12" s="9"/>
    </row>
    <row r="13" spans="2:18">
      <c r="B13" s="16" t="str">
        <f>K13</f>
        <v>MINGAS3</v>
      </c>
      <c r="C13" s="16"/>
      <c r="D13" s="16" t="str">
        <f>$K$5</f>
        <v>GAS</v>
      </c>
      <c r="E13" s="329">
        <v>4700</v>
      </c>
      <c r="F13" s="330">
        <v>3</v>
      </c>
      <c r="G13" s="23"/>
      <c r="I13" s="275"/>
      <c r="J13" s="275"/>
      <c r="K13" s="275" t="str">
        <f>$I$11&amp;$C$2&amp;3</f>
        <v>MINGAS3</v>
      </c>
      <c r="L13" s="278" t="str">
        <f>"Domestic Supply of "&amp;$D$2&amp; " Step "&amp;RIGHT(K13,1)</f>
        <v>Domestic Supply of Natural Gas Step 3</v>
      </c>
      <c r="M13" s="275" t="str">
        <f>$E$2</f>
        <v>PJ</v>
      </c>
      <c r="N13" s="275"/>
      <c r="O13" s="275"/>
      <c r="P13" s="275"/>
      <c r="Q13" s="275"/>
    </row>
    <row r="14" spans="2:18">
      <c r="B14" s="16" t="str">
        <f>K14</f>
        <v>IMPGAS1</v>
      </c>
      <c r="C14" s="16"/>
      <c r="D14" s="16" t="str">
        <f>$K$5</f>
        <v>GAS</v>
      </c>
      <c r="E14" s="331"/>
      <c r="F14" s="328">
        <v>2</v>
      </c>
      <c r="G14" s="23"/>
      <c r="I14" s="275" t="str">
        <f>EnergyBalance!$B$6</f>
        <v>IMP</v>
      </c>
      <c r="J14" s="275"/>
      <c r="K14" s="275" t="str">
        <f>$I$14&amp;$C$2&amp;1</f>
        <v>IMPGAS1</v>
      </c>
      <c r="L14" s="278" t="str">
        <f>"Import of "&amp;$D$2&amp; " Step "&amp;RIGHT(K14,1)</f>
        <v>Import of Natural Gas Step 1</v>
      </c>
      <c r="M14" s="275" t="str">
        <f>$E$2</f>
        <v>PJ</v>
      </c>
      <c r="N14" s="275"/>
      <c r="O14" s="275"/>
      <c r="P14" s="275"/>
      <c r="Q14" s="275"/>
    </row>
    <row r="15" spans="2:18" s="9" customFormat="1">
      <c r="B15" s="16" t="str">
        <f>K15</f>
        <v>EXPGAS1</v>
      </c>
      <c r="C15" s="16" t="str">
        <f>$K$5</f>
        <v>GAS</v>
      </c>
      <c r="D15" s="16"/>
      <c r="E15"/>
      <c r="F15" s="328">
        <v>2</v>
      </c>
      <c r="G15" s="182">
        <f>-'EB2'!E7</f>
        <v>537.33399999999995</v>
      </c>
      <c r="H15"/>
      <c r="I15" s="275" t="str">
        <f>EnergyBalance!B7</f>
        <v>EXP</v>
      </c>
      <c r="J15" s="275"/>
      <c r="K15" s="275" t="str">
        <f>$I$15&amp;$C$2&amp;1</f>
        <v>EXPGAS1</v>
      </c>
      <c r="L15" s="278" t="str">
        <f>"Export of "&amp;$D$2&amp; " Step "&amp;RIGHT(K15,1)</f>
        <v>Export of Natural Gas Step 1</v>
      </c>
      <c r="M15" s="275" t="str">
        <f>$E$2</f>
        <v>PJ</v>
      </c>
      <c r="N15" s="275"/>
      <c r="O15" s="275"/>
      <c r="P15" s="275"/>
      <c r="Q15" s="275"/>
      <c r="R15"/>
    </row>
    <row r="16" spans="2:18" s="9" customFormat="1">
      <c r="B16" s="16"/>
      <c r="C16" s="16"/>
      <c r="F16" s="187"/>
      <c r="G16" s="187"/>
    </row>
    <row r="17" spans="2:18" s="9" customFormat="1">
      <c r="B17" s="1"/>
      <c r="F17" s="187"/>
    </row>
    <row r="18" spans="2:18" s="9" customFormat="1"/>
    <row r="19" spans="2:18" s="9" customFormat="1"/>
    <row r="20" spans="2:18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>
      <c r="B21" s="9"/>
      <c r="I21" s="9"/>
      <c r="J21" s="9"/>
      <c r="K21" s="9"/>
      <c r="L21" s="9"/>
      <c r="M21" s="9"/>
      <c r="N21" s="9"/>
      <c r="O21" s="9"/>
      <c r="P21" s="9"/>
      <c r="Q21" s="9"/>
    </row>
    <row r="23" spans="2:18" s="1" customFormat="1">
      <c r="B23" s="112"/>
      <c r="C23" s="1" t="s">
        <v>232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>
      <c r="B24" s="183"/>
      <c r="C24" s="1" t="s">
        <v>233</v>
      </c>
      <c r="H24" s="1"/>
      <c r="R24" s="1"/>
    </row>
    <row r="26" spans="2:18" s="9" customForma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9" customFormat="1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9" customFormat="1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9" customFormat="1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9" customFormat="1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9" customFormat="1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9" customFormat="1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9" customFormat="1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>
      <c r="H34" s="9"/>
      <c r="R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34"/>
  <sheetViews>
    <sheetView topLeftCell="B1" zoomScaleNormal="100" workbookViewId="0">
      <selection activeCell="E11" sqref="E11:F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109375" customWidth="1"/>
    <col min="7" max="7" width="14.10937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554687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23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23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EnergyBalance!W2</f>
        <v>PJ</v>
      </c>
      <c r="F2" s="20" t="str">
        <f>EnergyBalance!V2</f>
        <v>M€2016</v>
      </c>
      <c r="I2" s="269" t="s">
        <v>14</v>
      </c>
      <c r="J2" s="269"/>
      <c r="K2" s="270"/>
      <c r="L2" s="270"/>
      <c r="M2" s="270"/>
      <c r="N2" s="270"/>
      <c r="O2" s="270"/>
      <c r="P2" s="270"/>
      <c r="Q2" s="270"/>
    </row>
    <row r="3" spans="2:23">
      <c r="I3" s="271" t="s">
        <v>7</v>
      </c>
      <c r="J3" s="272" t="s">
        <v>30</v>
      </c>
      <c r="K3" s="271" t="s">
        <v>0</v>
      </c>
      <c r="L3" s="271" t="s">
        <v>3</v>
      </c>
      <c r="M3" s="271" t="s">
        <v>4</v>
      </c>
      <c r="N3" s="271" t="s">
        <v>8</v>
      </c>
      <c r="O3" s="271" t="s">
        <v>9</v>
      </c>
      <c r="P3" s="271" t="s">
        <v>10</v>
      </c>
      <c r="Q3" s="271" t="s">
        <v>12</v>
      </c>
    </row>
    <row r="4" spans="2:23" ht="21.6" thickBot="1">
      <c r="C4" s="1"/>
      <c r="I4" s="273" t="s">
        <v>40</v>
      </c>
      <c r="J4" s="273" t="s">
        <v>31</v>
      </c>
      <c r="K4" s="273" t="s">
        <v>26</v>
      </c>
      <c r="L4" s="273" t="s">
        <v>27</v>
      </c>
      <c r="M4" s="273" t="s">
        <v>4</v>
      </c>
      <c r="N4" s="273" t="s">
        <v>43</v>
      </c>
      <c r="O4" s="273" t="s">
        <v>44</v>
      </c>
      <c r="P4" s="273" t="s">
        <v>28</v>
      </c>
      <c r="Q4" s="273" t="s">
        <v>29</v>
      </c>
      <c r="T4" s="9"/>
      <c r="U4" s="9"/>
    </row>
    <row r="5" spans="2:23">
      <c r="I5" s="274" t="s">
        <v>93</v>
      </c>
      <c r="J5" s="275"/>
      <c r="K5" s="274" t="str">
        <f>C2</f>
        <v>OIL</v>
      </c>
      <c r="L5" s="274" t="str">
        <f>D2</f>
        <v>Crude Oil</v>
      </c>
      <c r="M5" s="274" t="str">
        <f>$E$2</f>
        <v>PJ</v>
      </c>
      <c r="N5" s="274"/>
      <c r="O5" s="274"/>
      <c r="P5" s="274"/>
      <c r="Q5" s="274"/>
      <c r="S5" s="9"/>
      <c r="T5" s="9"/>
      <c r="U5" s="9"/>
      <c r="V5" s="9"/>
      <c r="W5" s="9"/>
    </row>
    <row r="6" spans="2:23">
      <c r="S6" s="9"/>
      <c r="T6" s="9"/>
      <c r="U6" s="9"/>
      <c r="V6" s="9"/>
      <c r="W6" s="9"/>
    </row>
    <row r="7" spans="2:23">
      <c r="D7" s="7" t="s">
        <v>13</v>
      </c>
      <c r="F7" s="7"/>
      <c r="I7" s="269" t="s">
        <v>15</v>
      </c>
      <c r="J7" s="269"/>
      <c r="K7" s="276"/>
      <c r="L7" s="276"/>
      <c r="M7" s="276"/>
      <c r="N7" s="276"/>
      <c r="O7" s="276"/>
      <c r="P7" s="276"/>
      <c r="Q7" s="276"/>
      <c r="V7" s="9"/>
      <c r="W7" s="9"/>
    </row>
    <row r="8" spans="2:23">
      <c r="B8" s="3" t="s">
        <v>1</v>
      </c>
      <c r="C8" s="31" t="s">
        <v>5</v>
      </c>
      <c r="D8" s="3" t="s">
        <v>6</v>
      </c>
      <c r="E8" s="223" t="s">
        <v>37</v>
      </c>
      <c r="F8" s="223" t="s">
        <v>38</v>
      </c>
      <c r="G8" s="223" t="s">
        <v>101</v>
      </c>
      <c r="I8" s="271" t="s">
        <v>11</v>
      </c>
      <c r="J8" s="272" t="s">
        <v>30</v>
      </c>
      <c r="K8" s="271" t="s">
        <v>1</v>
      </c>
      <c r="L8" s="271" t="s">
        <v>2</v>
      </c>
      <c r="M8" s="271" t="s">
        <v>16</v>
      </c>
      <c r="N8" s="271" t="s">
        <v>17</v>
      </c>
      <c r="O8" s="271" t="s">
        <v>18</v>
      </c>
      <c r="P8" s="271" t="s">
        <v>19</v>
      </c>
      <c r="Q8" s="271" t="s">
        <v>20</v>
      </c>
    </row>
    <row r="9" spans="2:23" ht="21.6" thickBot="1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H9" s="9"/>
      <c r="I9" s="273" t="s">
        <v>41</v>
      </c>
      <c r="J9" s="273" t="s">
        <v>31</v>
      </c>
      <c r="K9" s="273" t="s">
        <v>21</v>
      </c>
      <c r="L9" s="273" t="s">
        <v>22</v>
      </c>
      <c r="M9" s="273" t="s">
        <v>23</v>
      </c>
      <c r="N9" s="273" t="s">
        <v>24</v>
      </c>
      <c r="O9" s="273" t="s">
        <v>46</v>
      </c>
      <c r="P9" s="273" t="s">
        <v>45</v>
      </c>
      <c r="Q9" s="273" t="s">
        <v>25</v>
      </c>
    </row>
    <row r="10" spans="2:23" s="9" customFormat="1" ht="13.8" thickBot="1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I10" s="273" t="s">
        <v>104</v>
      </c>
      <c r="J10" s="277"/>
      <c r="K10" s="277"/>
      <c r="L10" s="277"/>
      <c r="M10" s="277"/>
      <c r="N10" s="277"/>
      <c r="O10" s="277"/>
      <c r="P10" s="277"/>
      <c r="Q10" s="277"/>
      <c r="R10"/>
      <c r="V10"/>
      <c r="W10"/>
    </row>
    <row r="11" spans="2:23" s="9" customFormat="1">
      <c r="B11" s="16" t="str">
        <f>K11</f>
        <v>MINOIL1</v>
      </c>
      <c r="C11" s="16"/>
      <c r="D11" s="16" t="str">
        <f>$K$5</f>
        <v>OIL</v>
      </c>
      <c r="E11" s="332">
        <v>150</v>
      </c>
      <c r="F11" s="328">
        <v>6.6</v>
      </c>
      <c r="G11" s="182">
        <f>'EB2'!$F$5*'EB2'!F37</f>
        <v>14.302120000000002</v>
      </c>
      <c r="I11" s="274" t="str">
        <f>EnergyBalance!$B$5</f>
        <v>MIN</v>
      </c>
      <c r="J11" s="275"/>
      <c r="K11" s="275" t="str">
        <f>$I$11&amp;$C$2&amp;1</f>
        <v>MINOIL1</v>
      </c>
      <c r="L11" s="278" t="str">
        <f>"Domestic Supply of "&amp;$D$2&amp; " Step "&amp;RIGHT(K11,1)</f>
        <v>Domestic Supply of Crude Oil Step 1</v>
      </c>
      <c r="M11" s="275" t="str">
        <f>$E$2</f>
        <v>PJ</v>
      </c>
      <c r="N11" s="275"/>
      <c r="O11" s="275"/>
      <c r="P11" s="275"/>
      <c r="Q11" s="275"/>
    </row>
    <row r="12" spans="2:23" s="9" customFormat="1">
      <c r="B12" s="16" t="str">
        <f>K12</f>
        <v>MINOIL2</v>
      </c>
      <c r="C12" s="16"/>
      <c r="D12" s="16" t="str">
        <f>$K$5</f>
        <v>OIL</v>
      </c>
      <c r="E12" s="329">
        <v>90</v>
      </c>
      <c r="F12" s="330">
        <v>7</v>
      </c>
      <c r="G12" s="182">
        <f>'EB2'!$F$5*'EB2'!F38</f>
        <v>3.5755300000000005</v>
      </c>
      <c r="I12" s="275"/>
      <c r="J12" s="275"/>
      <c r="K12" s="275" t="str">
        <f>$I$11&amp;$C$2&amp;2</f>
        <v>MINOIL2</v>
      </c>
      <c r="L12" s="278" t="str">
        <f>"Domestic Supply of "&amp;$D$2&amp; " Step "&amp;RIGHT(K12,1)</f>
        <v>Domestic Supply of Crude Oil Step 2</v>
      </c>
      <c r="M12" s="275" t="str">
        <f>$E$2</f>
        <v>PJ</v>
      </c>
      <c r="N12" s="275"/>
      <c r="O12" s="275"/>
      <c r="P12" s="275"/>
      <c r="Q12" s="275"/>
    </row>
    <row r="13" spans="2:23">
      <c r="B13" s="16" t="str">
        <f>K13</f>
        <v>MINOIL3</v>
      </c>
      <c r="C13" s="16"/>
      <c r="D13" s="16" t="str">
        <f>$K$5</f>
        <v>OIL</v>
      </c>
      <c r="E13" s="329">
        <v>60</v>
      </c>
      <c r="F13" s="330">
        <v>7.33</v>
      </c>
      <c r="G13" s="22"/>
      <c r="I13" s="275"/>
      <c r="J13" s="275"/>
      <c r="K13" s="275" t="str">
        <f>$I$11&amp;$C$2&amp;3</f>
        <v>MINOIL3</v>
      </c>
      <c r="L13" s="278" t="str">
        <f>"Domestic Supply of "&amp;$D$2&amp; " Step "&amp;RIGHT(K13,1)</f>
        <v>Domestic Supply of Crude Oil Step 3</v>
      </c>
      <c r="M13" s="275" t="str">
        <f>$E$2</f>
        <v>PJ</v>
      </c>
      <c r="N13" s="275"/>
      <c r="O13" s="275"/>
      <c r="P13" s="275"/>
      <c r="Q13" s="275"/>
      <c r="R13" s="9"/>
      <c r="S13" s="9"/>
      <c r="T13" s="9"/>
      <c r="U13" s="9"/>
      <c r="V13" s="9"/>
      <c r="W13" s="9"/>
    </row>
    <row r="14" spans="2:23">
      <c r="B14" s="16" t="str">
        <f>K14</f>
        <v>IMPOIL1</v>
      </c>
      <c r="C14" s="16"/>
      <c r="D14" s="16" t="str">
        <f>$K$5</f>
        <v>OIL</v>
      </c>
      <c r="E14" s="331"/>
      <c r="F14" s="328">
        <v>8</v>
      </c>
      <c r="G14" s="22"/>
      <c r="I14" s="275" t="str">
        <f>EnergyBalance!$B$6</f>
        <v>IMP</v>
      </c>
      <c r="J14" s="275"/>
      <c r="K14" s="275" t="str">
        <f>$I$14&amp;$C$2&amp;1</f>
        <v>IMPOIL1</v>
      </c>
      <c r="L14" s="278" t="str">
        <f>"Import of "&amp;$D$2&amp; " Step "&amp;RIGHT(K14,1)</f>
        <v>Import of Crude Oil Step 1</v>
      </c>
      <c r="M14" s="275" t="str">
        <f>$E$2</f>
        <v>PJ</v>
      </c>
      <c r="N14" s="275"/>
      <c r="O14" s="275"/>
      <c r="P14" s="275"/>
      <c r="Q14" s="275"/>
      <c r="S14" s="9"/>
      <c r="T14" s="9"/>
      <c r="U14" s="9"/>
      <c r="V14" s="9"/>
      <c r="W14" s="9"/>
    </row>
    <row r="15" spans="2:23">
      <c r="B15" s="16" t="str">
        <f>K15</f>
        <v>EXPOIL1</v>
      </c>
      <c r="C15" s="16" t="str">
        <f>$K$5</f>
        <v>OIL</v>
      </c>
      <c r="D15" s="16"/>
      <c r="F15" s="328">
        <v>8</v>
      </c>
      <c r="G15" s="181">
        <f>-'EB2'!F7</f>
        <v>4.2791000000000006</v>
      </c>
      <c r="I15" s="275" t="str">
        <f>EnergyBalance!B7</f>
        <v>EXP</v>
      </c>
      <c r="J15" s="275"/>
      <c r="K15" s="275" t="str">
        <f>$I$15&amp;$C$2&amp;1</f>
        <v>EXPOIL1</v>
      </c>
      <c r="L15" s="278" t="str">
        <f>"Export of "&amp;$D$2&amp; " Step "&amp;RIGHT(K15,1)</f>
        <v>Export of Crude Oil Step 1</v>
      </c>
      <c r="M15" s="275" t="str">
        <f>$E$2</f>
        <v>PJ</v>
      </c>
      <c r="N15" s="275"/>
      <c r="O15" s="275"/>
      <c r="P15" s="275"/>
      <c r="Q15" s="275"/>
      <c r="V15" s="9"/>
      <c r="W15" s="9"/>
    </row>
    <row r="16" spans="2:23" s="9" customFormat="1">
      <c r="B16" s="16"/>
      <c r="C16" s="16"/>
      <c r="F16" s="187"/>
      <c r="R16"/>
      <c r="T16"/>
      <c r="U16"/>
      <c r="V16"/>
      <c r="W16"/>
    </row>
    <row r="17" spans="2:23" s="9" customFormat="1">
      <c r="B17" s="1"/>
      <c r="F17" s="187"/>
      <c r="S17"/>
      <c r="T17"/>
      <c r="U17"/>
      <c r="V17"/>
      <c r="W17"/>
    </row>
    <row r="18" spans="2:23" s="9" customFormat="1">
      <c r="S18"/>
      <c r="T18" s="1"/>
      <c r="U18" s="1"/>
      <c r="V18"/>
      <c r="W18"/>
    </row>
    <row r="19" spans="2:23" s="9" customFormat="1">
      <c r="S19" s="1"/>
      <c r="T19"/>
      <c r="U19"/>
      <c r="V19" s="1"/>
      <c r="W19" s="1"/>
    </row>
    <row r="20" spans="2:23" s="9" customFormat="1">
      <c r="C20"/>
      <c r="D20"/>
      <c r="E20"/>
      <c r="F20"/>
      <c r="G20"/>
      <c r="S20"/>
      <c r="T20"/>
      <c r="U20"/>
      <c r="V20"/>
      <c r="W20"/>
    </row>
    <row r="21" spans="2:23" s="9" customFormat="1">
      <c r="C21"/>
      <c r="D21"/>
      <c r="E21"/>
      <c r="F21"/>
      <c r="G21"/>
      <c r="H21"/>
      <c r="S21"/>
      <c r="T21"/>
      <c r="U21"/>
      <c r="V21"/>
      <c r="W21"/>
    </row>
    <row r="22" spans="2:23" s="9" customForma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>
      <c r="B23" s="112"/>
      <c r="C23" s="1" t="s">
        <v>232</v>
      </c>
      <c r="R23" s="9"/>
    </row>
    <row r="24" spans="2:23">
      <c r="B24" s="183"/>
      <c r="C24" s="1" t="s">
        <v>233</v>
      </c>
      <c r="H24" s="1"/>
    </row>
    <row r="27" spans="2:23">
      <c r="H27" s="9"/>
    </row>
    <row r="28" spans="2:23">
      <c r="H28" s="9"/>
    </row>
    <row r="29" spans="2:23">
      <c r="H29" s="9"/>
    </row>
    <row r="30" spans="2:23">
      <c r="H30" s="9"/>
    </row>
    <row r="31" spans="2:23">
      <c r="H31" s="9"/>
    </row>
    <row r="32" spans="2:23">
      <c r="H32" s="9"/>
    </row>
    <row r="33" spans="8:8">
      <c r="H33" s="9"/>
    </row>
    <row r="34" spans="8:8">
      <c r="H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8"/>
  <sheetViews>
    <sheetView zoomScaleNormal="100" workbookViewId="0">
      <selection activeCell="G22" sqref="G22"/>
    </sheetView>
  </sheetViews>
  <sheetFormatPr defaultColWidth="8.88671875" defaultRowHeight="13.2"/>
  <cols>
    <col min="1" max="1" width="2" style="50" bestFit="1" customWidth="1"/>
    <col min="2" max="2" width="13.88671875" customWidth="1"/>
    <col min="3" max="3" width="11.88671875" bestFit="1" customWidth="1"/>
    <col min="4" max="4" width="11" customWidth="1"/>
    <col min="5" max="5" width="13.109375" bestFit="1" customWidth="1"/>
    <col min="6" max="6" width="8.44140625" bestFit="1" customWidth="1"/>
    <col min="7" max="7" width="13.33203125" customWidth="1"/>
    <col min="8" max="8" width="2" style="50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40.5546875" customWidth="1"/>
    <col min="13" max="13" width="6.109375" bestFit="1" customWidth="1"/>
    <col min="14" max="14" width="10.44140625" bestFit="1" customWidth="1"/>
    <col min="15" max="15" width="13.44140625" customWidth="1"/>
    <col min="16" max="16" width="13.5546875" customWidth="1"/>
    <col min="17" max="17" width="8" bestFit="1" customWidth="1"/>
    <col min="18" max="16384" width="8.88671875" style="50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EnergyBalance!O2</f>
        <v>RNW</v>
      </c>
      <c r="D2" s="20" t="str">
        <f>EnergyBalance!O3</f>
        <v>Renewable Energies</v>
      </c>
      <c r="E2" s="20" t="str">
        <f>EnergyBalance!W2</f>
        <v>PJ</v>
      </c>
      <c r="F2" s="20" t="str">
        <f>EnergyBalance!V2</f>
        <v>M€2016</v>
      </c>
      <c r="I2" s="269" t="s">
        <v>14</v>
      </c>
      <c r="J2" s="269"/>
      <c r="K2" s="270"/>
      <c r="L2" s="270"/>
      <c r="M2" s="270"/>
      <c r="N2" s="270"/>
      <c r="O2" s="270"/>
      <c r="P2" s="270"/>
      <c r="Q2" s="270"/>
    </row>
    <row r="3" spans="2:18">
      <c r="F3" s="19"/>
      <c r="I3" s="271" t="s">
        <v>7</v>
      </c>
      <c r="J3" s="272" t="s">
        <v>30</v>
      </c>
      <c r="K3" s="271" t="s">
        <v>0</v>
      </c>
      <c r="L3" s="271" t="s">
        <v>3</v>
      </c>
      <c r="M3" s="271" t="s">
        <v>4</v>
      </c>
      <c r="N3" s="271" t="s">
        <v>8</v>
      </c>
      <c r="O3" s="271" t="s">
        <v>9</v>
      </c>
      <c r="P3" s="271" t="s">
        <v>10</v>
      </c>
      <c r="Q3" s="271" t="s">
        <v>12</v>
      </c>
    </row>
    <row r="4" spans="2:18" ht="21.6" thickBot="1">
      <c r="B4" s="1"/>
      <c r="I4" s="273" t="s">
        <v>40</v>
      </c>
      <c r="J4" s="273" t="s">
        <v>31</v>
      </c>
      <c r="K4" s="273" t="s">
        <v>26</v>
      </c>
      <c r="L4" s="273" t="s">
        <v>27</v>
      </c>
      <c r="M4" s="273" t="s">
        <v>4</v>
      </c>
      <c r="N4" s="273" t="s">
        <v>43</v>
      </c>
      <c r="O4" s="273" t="s">
        <v>44</v>
      </c>
      <c r="P4" s="273" t="s">
        <v>28</v>
      </c>
      <c r="Q4" s="273" t="s">
        <v>29</v>
      </c>
    </row>
    <row r="5" spans="2:18">
      <c r="I5" s="274" t="s">
        <v>93</v>
      </c>
      <c r="J5" s="275"/>
      <c r="K5" s="274" t="str">
        <f>C2</f>
        <v>RNW</v>
      </c>
      <c r="L5" s="274" t="str">
        <f>D2</f>
        <v>Renewable Energies</v>
      </c>
      <c r="M5" s="274" t="str">
        <f>$E$2</f>
        <v>PJ</v>
      </c>
      <c r="N5" s="274"/>
      <c r="O5" s="274"/>
      <c r="P5" s="274"/>
      <c r="Q5" s="274"/>
    </row>
    <row r="7" spans="2:18">
      <c r="D7" s="7" t="s">
        <v>13</v>
      </c>
      <c r="F7" s="7"/>
      <c r="I7" s="269" t="s">
        <v>15</v>
      </c>
      <c r="J7" s="269"/>
      <c r="K7" s="276"/>
      <c r="L7" s="276"/>
      <c r="M7" s="276"/>
      <c r="N7" s="276"/>
      <c r="O7" s="276"/>
      <c r="P7" s="276"/>
      <c r="Q7" s="276"/>
    </row>
    <row r="8" spans="2:18">
      <c r="B8" s="3" t="s">
        <v>1</v>
      </c>
      <c r="C8" s="31" t="s">
        <v>5</v>
      </c>
      <c r="D8" s="3" t="s">
        <v>6</v>
      </c>
      <c r="E8" s="223" t="s">
        <v>37</v>
      </c>
      <c r="F8" s="223" t="s">
        <v>38</v>
      </c>
      <c r="G8" s="223" t="s">
        <v>101</v>
      </c>
      <c r="I8" s="271" t="s">
        <v>11</v>
      </c>
      <c r="J8" s="272" t="s">
        <v>30</v>
      </c>
      <c r="K8" s="271" t="s">
        <v>1</v>
      </c>
      <c r="L8" s="271" t="s">
        <v>2</v>
      </c>
      <c r="M8" s="271" t="s">
        <v>16</v>
      </c>
      <c r="N8" s="271" t="s">
        <v>17</v>
      </c>
      <c r="O8" s="271" t="s">
        <v>18</v>
      </c>
      <c r="P8" s="271" t="s">
        <v>19</v>
      </c>
      <c r="Q8" s="271" t="s">
        <v>20</v>
      </c>
    </row>
    <row r="9" spans="2:18" ht="21.6" thickBot="1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3" t="s">
        <v>41</v>
      </c>
      <c r="J9" s="273" t="s">
        <v>31</v>
      </c>
      <c r="K9" s="273" t="s">
        <v>21</v>
      </c>
      <c r="L9" s="273" t="s">
        <v>22</v>
      </c>
      <c r="M9" s="273" t="s">
        <v>23</v>
      </c>
      <c r="N9" s="273" t="s">
        <v>24</v>
      </c>
      <c r="O9" s="273" t="s">
        <v>46</v>
      </c>
      <c r="P9" s="273" t="s">
        <v>45</v>
      </c>
      <c r="Q9" s="273" t="s">
        <v>25</v>
      </c>
    </row>
    <row r="10" spans="2:18" s="52" customFormat="1" ht="13.8" thickBot="1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H10" s="50"/>
      <c r="I10" s="273" t="s">
        <v>104</v>
      </c>
      <c r="J10" s="277"/>
      <c r="K10" s="277"/>
      <c r="L10" s="277"/>
      <c r="M10" s="277"/>
      <c r="N10" s="277"/>
      <c r="O10" s="277"/>
      <c r="P10" s="277"/>
      <c r="Q10" s="277"/>
      <c r="R10" s="50"/>
    </row>
    <row r="11" spans="2:18" s="52" customFormat="1">
      <c r="B11" s="16" t="str">
        <f>K11</f>
        <v>MINRNW1</v>
      </c>
      <c r="C11" s="16"/>
      <c r="D11" s="16" t="str">
        <f>$K$5</f>
        <v>RNW</v>
      </c>
      <c r="E11" s="320">
        <v>7300</v>
      </c>
      <c r="F11" s="321">
        <v>6.64</v>
      </c>
      <c r="G11" s="322">
        <v>423</v>
      </c>
      <c r="I11" s="274" t="str">
        <f>EnergyBalance!$B$5</f>
        <v>MIN</v>
      </c>
      <c r="J11" s="275"/>
      <c r="K11" s="275" t="str">
        <f>$I$11&amp;$C$2&amp;1</f>
        <v>MINRNW1</v>
      </c>
      <c r="L11" s="278" t="str">
        <f>"Domestic Supply of "&amp;$D$2&amp; " Step "&amp;RIGHT(K11,1)</f>
        <v>Domestic Supply of Renewable Energies Step 1</v>
      </c>
      <c r="M11" s="275" t="str">
        <f>$E$2</f>
        <v>PJ</v>
      </c>
      <c r="N11" s="275"/>
      <c r="O11" s="275"/>
      <c r="P11" s="275"/>
      <c r="Q11" s="275"/>
    </row>
    <row r="12" spans="2:18" s="52" customFormat="1">
      <c r="B12" s="16"/>
      <c r="C12" s="16"/>
      <c r="D12" s="16"/>
      <c r="E12" s="21"/>
      <c r="F12" s="46"/>
      <c r="G12" s="9"/>
      <c r="I12" s="9"/>
      <c r="J12" s="9"/>
      <c r="K12" s="9"/>
      <c r="L12" s="36"/>
      <c r="M12" s="9"/>
      <c r="N12" s="9"/>
      <c r="O12" s="9"/>
      <c r="P12" s="9"/>
      <c r="Q12" s="9"/>
    </row>
    <row r="13" spans="2:18">
      <c r="B13" s="16"/>
      <c r="C13" s="16"/>
      <c r="D13" s="16"/>
      <c r="E13" s="21"/>
      <c r="F13" s="46"/>
      <c r="G13" s="9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>
      <c r="B23" s="112"/>
      <c r="C23" s="1" t="s">
        <v>232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>
      <c r="B24" s="183"/>
      <c r="C24" s="1" t="s">
        <v>233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>
      <c r="H26" s="52"/>
      <c r="R26" s="52"/>
    </row>
    <row r="30" spans="2:18">
      <c r="H30" s="54"/>
    </row>
    <row r="31" spans="2:18">
      <c r="H31" s="54"/>
    </row>
    <row r="32" spans="2:18">
      <c r="H32" s="54"/>
    </row>
    <row r="33" spans="8:8">
      <c r="H33" s="54"/>
    </row>
    <row r="34" spans="8:8">
      <c r="H34" s="54"/>
    </row>
    <row r="35" spans="8:8">
      <c r="H35" s="54"/>
    </row>
    <row r="36" spans="8:8">
      <c r="H36" s="54"/>
    </row>
    <row r="37" spans="8:8">
      <c r="H37" s="54"/>
    </row>
    <row r="38" spans="8:8">
      <c r="H38" s="54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zoomScaleNormal="100" workbookViewId="0">
      <selection activeCell="E1" sqref="E1:F65536"/>
    </sheetView>
  </sheetViews>
  <sheetFormatPr defaultColWidth="8.88671875" defaultRowHeight="13.2"/>
  <cols>
    <col min="1" max="1" width="2" style="50" bestFit="1" customWidth="1"/>
    <col min="2" max="2" width="13.88671875" customWidth="1"/>
    <col min="3" max="3" width="11.88671875" bestFit="1" customWidth="1"/>
    <col min="4" max="4" width="11" customWidth="1"/>
    <col min="5" max="5" width="13.109375" bestFit="1" customWidth="1"/>
    <col min="6" max="6" width="8.44140625" bestFit="1" customWidth="1"/>
    <col min="7" max="7" width="13.33203125" customWidth="1"/>
    <col min="8" max="8" width="2" style="50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37.33203125" bestFit="1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  <col min="18" max="16384" width="8.88671875" style="50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EnergyBalance!N2</f>
        <v>NUC</v>
      </c>
      <c r="D2" s="20" t="str">
        <f>EnergyBalance!N3</f>
        <v>Nuclear Energy</v>
      </c>
      <c r="E2" s="20" t="str">
        <f>EnergyBalance!W2</f>
        <v>PJ</v>
      </c>
      <c r="F2" s="20" t="str">
        <f>EnergyBalance!V2</f>
        <v>M€2016</v>
      </c>
      <c r="I2" s="269" t="s">
        <v>14</v>
      </c>
      <c r="J2" s="269"/>
      <c r="K2" s="270"/>
      <c r="L2" s="270"/>
      <c r="M2" s="270"/>
      <c r="N2" s="270"/>
      <c r="O2" s="270"/>
      <c r="P2" s="270"/>
      <c r="Q2" s="270"/>
    </row>
    <row r="3" spans="2:18">
      <c r="F3" s="19"/>
      <c r="I3" s="271" t="s">
        <v>7</v>
      </c>
      <c r="J3" s="272" t="s">
        <v>30</v>
      </c>
      <c r="K3" s="271" t="s">
        <v>0</v>
      </c>
      <c r="L3" s="271" t="s">
        <v>3</v>
      </c>
      <c r="M3" s="271" t="s">
        <v>4</v>
      </c>
      <c r="N3" s="271" t="s">
        <v>8</v>
      </c>
      <c r="O3" s="271" t="s">
        <v>9</v>
      </c>
      <c r="P3" s="271" t="s">
        <v>10</v>
      </c>
      <c r="Q3" s="271" t="s">
        <v>12</v>
      </c>
    </row>
    <row r="4" spans="2:18" ht="21.6" thickBot="1">
      <c r="B4" s="1"/>
      <c r="I4" s="273" t="s">
        <v>40</v>
      </c>
      <c r="J4" s="273" t="s">
        <v>31</v>
      </c>
      <c r="K4" s="273" t="s">
        <v>26</v>
      </c>
      <c r="L4" s="273" t="s">
        <v>27</v>
      </c>
      <c r="M4" s="273" t="s">
        <v>4</v>
      </c>
      <c r="N4" s="273" t="s">
        <v>43</v>
      </c>
      <c r="O4" s="273" t="s">
        <v>44</v>
      </c>
      <c r="P4" s="273" t="s">
        <v>28</v>
      </c>
      <c r="Q4" s="273" t="s">
        <v>29</v>
      </c>
    </row>
    <row r="5" spans="2:18">
      <c r="I5" s="274" t="s">
        <v>93</v>
      </c>
      <c r="J5" s="275"/>
      <c r="K5" s="274" t="str">
        <f>C2</f>
        <v>NUC</v>
      </c>
      <c r="L5" s="274" t="str">
        <f>D2</f>
        <v>Nuclear Energy</v>
      </c>
      <c r="M5" s="274" t="str">
        <f>$E$2</f>
        <v>PJ</v>
      </c>
      <c r="N5" s="274"/>
      <c r="O5" s="274"/>
      <c r="P5" s="274"/>
      <c r="Q5" s="274"/>
    </row>
    <row r="7" spans="2:18">
      <c r="D7" s="7" t="s">
        <v>13</v>
      </c>
      <c r="F7" s="7"/>
      <c r="I7" s="269" t="s">
        <v>15</v>
      </c>
      <c r="J7" s="269"/>
      <c r="K7" s="276"/>
      <c r="L7" s="276"/>
      <c r="M7" s="276"/>
      <c r="N7" s="276"/>
      <c r="O7" s="276"/>
      <c r="P7" s="276"/>
      <c r="Q7" s="276"/>
    </row>
    <row r="8" spans="2:18">
      <c r="B8" s="3" t="s">
        <v>1</v>
      </c>
      <c r="C8" s="31" t="s">
        <v>5</v>
      </c>
      <c r="D8" s="3" t="s">
        <v>6</v>
      </c>
      <c r="E8" s="223" t="s">
        <v>37</v>
      </c>
      <c r="F8" s="223" t="s">
        <v>38</v>
      </c>
      <c r="G8" s="223" t="s">
        <v>101</v>
      </c>
      <c r="I8" s="271" t="s">
        <v>11</v>
      </c>
      <c r="J8" s="272" t="s">
        <v>30</v>
      </c>
      <c r="K8" s="271" t="s">
        <v>1</v>
      </c>
      <c r="L8" s="271" t="s">
        <v>2</v>
      </c>
      <c r="M8" s="271" t="s">
        <v>16</v>
      </c>
      <c r="N8" s="271" t="s">
        <v>17</v>
      </c>
      <c r="O8" s="271" t="s">
        <v>18</v>
      </c>
      <c r="P8" s="271" t="s">
        <v>19</v>
      </c>
      <c r="Q8" s="271" t="s">
        <v>20</v>
      </c>
    </row>
    <row r="9" spans="2:18" ht="21.6" thickBot="1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3" t="s">
        <v>41</v>
      </c>
      <c r="J9" s="273" t="s">
        <v>31</v>
      </c>
      <c r="K9" s="273" t="s">
        <v>21</v>
      </c>
      <c r="L9" s="273" t="s">
        <v>22</v>
      </c>
      <c r="M9" s="273" t="s">
        <v>23</v>
      </c>
      <c r="N9" s="273" t="s">
        <v>24</v>
      </c>
      <c r="O9" s="273" t="s">
        <v>46</v>
      </c>
      <c r="P9" s="273" t="s">
        <v>45</v>
      </c>
      <c r="Q9" s="273" t="s">
        <v>25</v>
      </c>
    </row>
    <row r="10" spans="2:18" s="52" customFormat="1" ht="13.8" thickBot="1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H10" s="50"/>
      <c r="I10" s="273" t="s">
        <v>104</v>
      </c>
      <c r="J10" s="277"/>
      <c r="K10" s="277"/>
      <c r="L10" s="277"/>
      <c r="M10" s="277"/>
      <c r="N10" s="277"/>
      <c r="O10" s="277"/>
      <c r="P10" s="277"/>
      <c r="Q10" s="277"/>
      <c r="R10" s="50"/>
    </row>
    <row r="11" spans="2:18" s="52" customFormat="1">
      <c r="B11" s="16" t="str">
        <f>K11</f>
        <v>MINNUC1</v>
      </c>
      <c r="C11" s="16"/>
      <c r="D11" s="16" t="str">
        <f>$K$5</f>
        <v>NUC</v>
      </c>
      <c r="E11" s="21"/>
      <c r="F11" s="46"/>
      <c r="G11" s="9"/>
      <c r="I11" s="274" t="str">
        <f>EnergyBalance!$B$5</f>
        <v>MIN</v>
      </c>
      <c r="J11" s="275"/>
      <c r="K11" s="275" t="str">
        <f>$I$11&amp;$C$2&amp;1</f>
        <v>MINNUC1</v>
      </c>
      <c r="L11" s="278" t="str">
        <f>"Domestic Supply of "&amp;$D$2&amp; " Step "&amp;RIGHT(K11,1)</f>
        <v>Domestic Supply of Nuclear Energy Step 1</v>
      </c>
      <c r="M11" s="275" t="str">
        <f>$E$2</f>
        <v>PJ</v>
      </c>
      <c r="N11" s="275"/>
      <c r="O11" s="275"/>
      <c r="P11" s="275"/>
      <c r="Q11" s="275"/>
    </row>
    <row r="12" spans="2:18" s="52" customFormat="1">
      <c r="B12" s="16"/>
      <c r="C12" s="16"/>
      <c r="D12" s="16"/>
      <c r="E12" s="21"/>
      <c r="F12" s="46"/>
      <c r="G12" s="9"/>
      <c r="I12" s="9"/>
      <c r="J12" s="9"/>
      <c r="K12" s="9"/>
      <c r="L12" s="36"/>
      <c r="M12" s="9"/>
      <c r="N12" s="9"/>
      <c r="O12" s="9"/>
      <c r="P12" s="9"/>
      <c r="Q12" s="9"/>
    </row>
    <row r="13" spans="2:18">
      <c r="B13" s="16"/>
      <c r="C13" s="16"/>
      <c r="D13" s="16"/>
      <c r="E13" s="21"/>
      <c r="F13" s="46"/>
      <c r="G13" s="9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>
      <c r="B23" s="112"/>
      <c r="C23" s="1" t="s">
        <v>232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>
      <c r="B24" s="183"/>
      <c r="C24" s="1" t="s">
        <v>233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>
      <c r="H26" s="52"/>
      <c r="R26" s="52"/>
    </row>
    <row r="30" spans="2:18">
      <c r="H30" s="54"/>
    </row>
    <row r="31" spans="2:18">
      <c r="H31" s="54"/>
    </row>
    <row r="32" spans="2:18">
      <c r="H32" s="54"/>
    </row>
    <row r="33" spans="8:8">
      <c r="H33" s="54"/>
    </row>
    <row r="34" spans="8:8">
      <c r="H34" s="54"/>
    </row>
    <row r="35" spans="8:8">
      <c r="H35" s="54"/>
    </row>
    <row r="36" spans="8:8">
      <c r="H36" s="54"/>
    </row>
    <row r="37" spans="8:8">
      <c r="H37" s="54"/>
    </row>
    <row r="38" spans="8:8">
      <c r="H38" s="54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2024-06-12T02:28:11Z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619956612586975</vt:r8>
  </property>
</Properties>
</file>