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ENIE2K\CAMFILES\AlexTorda\"/>
    </mc:Choice>
  </mc:AlternateContent>
  <bookViews>
    <workbookView xWindow="0" yWindow="0" windowWidth="28800" windowHeight="141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5" i="1" l="1"/>
  <c r="K26" i="1"/>
  <c r="K27" i="1"/>
  <c r="K28" i="1"/>
  <c r="K29" i="1"/>
  <c r="K30" i="1"/>
  <c r="K31" i="1"/>
  <c r="K32" i="1"/>
  <c r="K33" i="1"/>
  <c r="K34" i="1"/>
  <c r="K35" i="1"/>
  <c r="K36" i="1"/>
  <c r="E26" i="1"/>
  <c r="F25" i="1"/>
  <c r="J26" i="1"/>
  <c r="J27" i="1"/>
  <c r="J28" i="1"/>
  <c r="J29" i="1"/>
  <c r="J30" i="1"/>
  <c r="J31" i="1"/>
  <c r="J32" i="1"/>
  <c r="J33" i="1"/>
  <c r="J34" i="1"/>
  <c r="J35" i="1"/>
  <c r="J36" i="1"/>
  <c r="J25" i="1"/>
  <c r="K23" i="1"/>
  <c r="I29" i="1" s="1"/>
  <c r="R7" i="1"/>
  <c r="I27" i="1"/>
  <c r="I28" i="1"/>
  <c r="I31" i="1"/>
  <c r="I32" i="1"/>
  <c r="I34" i="1"/>
  <c r="I35" i="1"/>
  <c r="I36" i="1"/>
  <c r="R8" i="1"/>
  <c r="R9" i="1"/>
  <c r="R10" i="1"/>
  <c r="R11" i="1"/>
  <c r="R12" i="1"/>
  <c r="R13" i="1"/>
  <c r="R14" i="1"/>
  <c r="R15" i="1"/>
  <c r="R16" i="1"/>
  <c r="R17" i="1"/>
  <c r="R18" i="1"/>
  <c r="E25" i="1"/>
  <c r="I23" i="1"/>
  <c r="L23" i="1"/>
  <c r="B8" i="1"/>
  <c r="B9" i="1"/>
  <c r="B10" i="1"/>
  <c r="B11" i="1"/>
  <c r="B12" i="1"/>
  <c r="B13" i="1"/>
  <c r="B14" i="1"/>
  <c r="B15" i="1"/>
  <c r="B16" i="1"/>
  <c r="B17" i="1"/>
  <c r="B18" i="1"/>
  <c r="B7" i="1"/>
  <c r="I30" i="1" l="1"/>
  <c r="I26" i="1"/>
  <c r="I25" i="1"/>
  <c r="I33" i="1"/>
  <c r="F26" i="1"/>
  <c r="F27" i="1"/>
  <c r="F28" i="1"/>
  <c r="F29" i="1"/>
  <c r="F30" i="1"/>
  <c r="F31" i="1"/>
  <c r="F32" i="1"/>
  <c r="F33" i="1"/>
  <c r="F34" i="1"/>
  <c r="F35" i="1"/>
  <c r="F36" i="1"/>
  <c r="G7" i="1"/>
  <c r="G8" i="1"/>
  <c r="E27" i="1"/>
  <c r="G9" i="1" s="1"/>
  <c r="E28" i="1"/>
  <c r="E29" i="1"/>
  <c r="G11" i="1" s="1"/>
  <c r="E30" i="1"/>
  <c r="G12" i="1" s="1"/>
  <c r="E31" i="1"/>
  <c r="G13" i="1" s="1"/>
  <c r="E32" i="1"/>
  <c r="E33" i="1"/>
  <c r="G15" i="1" s="1"/>
  <c r="E34" i="1"/>
  <c r="G16" i="1" s="1"/>
  <c r="E35" i="1"/>
  <c r="G17" i="1" s="1"/>
  <c r="E36" i="1"/>
  <c r="F16" i="1" l="1"/>
  <c r="H16" i="1" s="1"/>
  <c r="F11" i="1"/>
  <c r="H11" i="1" s="1"/>
  <c r="F12" i="1"/>
  <c r="H12" i="1" s="1"/>
  <c r="F9" i="1"/>
  <c r="H9" i="1" s="1"/>
  <c r="F7" i="1"/>
  <c r="H7" i="1" s="1"/>
  <c r="F15" i="1"/>
  <c r="H15" i="1" s="1"/>
  <c r="F13" i="1"/>
  <c r="H13" i="1" s="1"/>
  <c r="F18" i="1"/>
  <c r="G18" i="1"/>
  <c r="G14" i="1"/>
  <c r="F14" i="1"/>
  <c r="G10" i="1"/>
  <c r="F10" i="1"/>
  <c r="F8" i="1"/>
  <c r="H8" i="1" s="1"/>
  <c r="F17" i="1"/>
  <c r="H17" i="1" s="1"/>
  <c r="H10" i="1" l="1"/>
  <c r="H14" i="1"/>
  <c r="H18" i="1"/>
</calcChain>
</file>

<file path=xl/sharedStrings.xml><?xml version="1.0" encoding="utf-8"?>
<sst xmlns="http://schemas.openxmlformats.org/spreadsheetml/2006/main" count="30" uniqueCount="29">
  <si>
    <t>Angle</t>
  </si>
  <si>
    <t>Amp</t>
  </si>
  <si>
    <t>AmpErr</t>
  </si>
  <si>
    <t>Channel</t>
  </si>
  <si>
    <t>Energy</t>
  </si>
  <si>
    <t>EnergyErr</t>
  </si>
  <si>
    <t>Sig</t>
  </si>
  <si>
    <t>SigErr</t>
  </si>
  <si>
    <t>Time (s)</t>
  </si>
  <si>
    <t>Distance Sample to detector: 32.5cm \pm 0.01</t>
  </si>
  <si>
    <t>Scintillator diameter: 8cm</t>
  </si>
  <si>
    <t>Measurements have error of 0.1cm from ruler markings (\pm 0.01 cm)</t>
  </si>
  <si>
    <t>Target Diameter: 1cm</t>
  </si>
  <si>
    <t>Target Height: 1cm</t>
  </si>
  <si>
    <t xml:space="preserve"> detector diametersmaller than scint diameter since the detector is inside the scint and there is a protective coat between them</t>
  </si>
  <si>
    <t>Detector diamater: 7.6cm from example writeup (ask dr.oh)</t>
  </si>
  <si>
    <t>ChErr (dE)</t>
  </si>
  <si>
    <t>dE' / dE</t>
  </si>
  <si>
    <t>dE' / dtheta</t>
  </si>
  <si>
    <t>mc^2</t>
  </si>
  <si>
    <t>total error</t>
  </si>
  <si>
    <t>Eff</t>
  </si>
  <si>
    <t>dOmega</t>
  </si>
  <si>
    <t>Luminosity</t>
  </si>
  <si>
    <t>n (electron density)</t>
  </si>
  <si>
    <t>barns</t>
  </si>
  <si>
    <t>N (counts per second)</t>
  </si>
  <si>
    <t>C</t>
  </si>
  <si>
    <t>cxn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</si>
</sst>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v.</a:t>
            </a:r>
            <a:r>
              <a:rPr lang="en-US" baseline="0"/>
              <a:t> Angle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Sheet1!$F$25:$F$36</c:f>
                <c:numCache>
                  <c:formatCode>General</c:formatCode>
                  <c:ptCount val="12"/>
                  <c:pt idx="0">
                    <c:v>8.4026336999999999E-4</c:v>
                  </c:pt>
                  <c:pt idx="1">
                    <c:v>2.1080203200000004E-3</c:v>
                  </c:pt>
                  <c:pt idx="2">
                    <c:v>3.2218547400000002E-3</c:v>
                  </c:pt>
                  <c:pt idx="3">
                    <c:v>3.3322807200000006E-3</c:v>
                  </c:pt>
                  <c:pt idx="4">
                    <c:v>3.5780814600000006E-3</c:v>
                  </c:pt>
                  <c:pt idx="5">
                    <c:v>3.8178088200000004E-3</c:v>
                  </c:pt>
                  <c:pt idx="6">
                    <c:v>3.0841914599999999E-3</c:v>
                  </c:pt>
                  <c:pt idx="7">
                    <c:v>1.2339132600000002E-3</c:v>
                  </c:pt>
                  <c:pt idx="8">
                    <c:v>1.3937086800000001E-3</c:v>
                  </c:pt>
                  <c:pt idx="9">
                    <c:v>2.4671517000000001E-3</c:v>
                  </c:pt>
                  <c:pt idx="10">
                    <c:v>1.7717350200000001E-3</c:v>
                  </c:pt>
                  <c:pt idx="11">
                    <c:v>2.6491477199999999E-3</c:v>
                  </c:pt>
                </c:numCache>
              </c:numRef>
            </c:plus>
            <c:minus>
              <c:numRef>
                <c:f>Sheet1!$F$25:$F$36</c:f>
                <c:numCache>
                  <c:formatCode>General</c:formatCode>
                  <c:ptCount val="12"/>
                  <c:pt idx="0">
                    <c:v>8.4026336999999999E-4</c:v>
                  </c:pt>
                  <c:pt idx="1">
                    <c:v>2.1080203200000004E-3</c:v>
                  </c:pt>
                  <c:pt idx="2">
                    <c:v>3.2218547400000002E-3</c:v>
                  </c:pt>
                  <c:pt idx="3">
                    <c:v>3.3322807200000006E-3</c:v>
                  </c:pt>
                  <c:pt idx="4">
                    <c:v>3.5780814600000006E-3</c:v>
                  </c:pt>
                  <c:pt idx="5">
                    <c:v>3.8178088200000004E-3</c:v>
                  </c:pt>
                  <c:pt idx="6">
                    <c:v>3.0841914599999999E-3</c:v>
                  </c:pt>
                  <c:pt idx="7">
                    <c:v>1.2339132600000002E-3</c:v>
                  </c:pt>
                  <c:pt idx="8">
                    <c:v>1.3937086800000001E-3</c:v>
                  </c:pt>
                  <c:pt idx="9">
                    <c:v>2.4671517000000001E-3</c:v>
                  </c:pt>
                  <c:pt idx="10">
                    <c:v>1.7717350200000001E-3</c:v>
                  </c:pt>
                  <c:pt idx="11">
                    <c:v>2.6491477199999999E-3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Sheet1!$D$25:$D$36</c:f>
              <c:numCache>
                <c:formatCode>General</c:formatCode>
                <c:ptCount val="12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-10</c:v>
                </c:pt>
                <c:pt idx="10">
                  <c:v>-20</c:v>
                </c:pt>
                <c:pt idx="11">
                  <c:v>-30</c:v>
                </c:pt>
              </c:numCache>
            </c:numRef>
          </c:xVal>
          <c:yVal>
            <c:numRef>
              <c:f>Sheet1!$E$25:$E$36</c:f>
              <c:numCache>
                <c:formatCode>General</c:formatCode>
                <c:ptCount val="12"/>
                <c:pt idx="0">
                  <c:v>0.62674482200000003</c:v>
                </c:pt>
                <c:pt idx="1">
                  <c:v>0.59436813200000005</c:v>
                </c:pt>
                <c:pt idx="2">
                  <c:v>0.53855073800000008</c:v>
                </c:pt>
                <c:pt idx="3">
                  <c:v>0.47844285800000003</c:v>
                </c:pt>
                <c:pt idx="4">
                  <c:v>0.43234678399999998</c:v>
                </c:pt>
                <c:pt idx="5">
                  <c:v>0.39007566800000004</c:v>
                </c:pt>
                <c:pt idx="6">
                  <c:v>0.341972738</c:v>
                </c:pt>
                <c:pt idx="7">
                  <c:v>0.30590996599999998</c:v>
                </c:pt>
                <c:pt idx="8">
                  <c:v>0.27188339000000006</c:v>
                </c:pt>
                <c:pt idx="9">
                  <c:v>0.62802893599999998</c:v>
                </c:pt>
                <c:pt idx="10">
                  <c:v>0.59241506600000005</c:v>
                </c:pt>
                <c:pt idx="11">
                  <c:v>0.54427008199999993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F8-4139-BC6E-EE1983D44B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3467040"/>
        <c:axId val="1643471616"/>
      </c:scatterChart>
      <c:valAx>
        <c:axId val="1643467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Angle (degrees)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3471616"/>
        <c:crosses val="autoZero"/>
        <c:crossBetween val="midCat"/>
      </c:valAx>
      <c:valAx>
        <c:axId val="164347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 (MeV)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3467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Sheet1!$K$25:$K$36</c:f>
                <c:numCache>
                  <c:formatCode>General</c:formatCode>
                  <c:ptCount val="12"/>
                  <c:pt idx="0">
                    <c:v>3.0407681286844026</c:v>
                  </c:pt>
                  <c:pt idx="1">
                    <c:v>3.6349221155018201</c:v>
                  </c:pt>
                  <c:pt idx="2">
                    <c:v>4.5170534523730943</c:v>
                  </c:pt>
                  <c:pt idx="3">
                    <c:v>2.5582209529663267</c:v>
                  </c:pt>
                  <c:pt idx="4">
                    <c:v>3.4966276634297007</c:v>
                  </c:pt>
                  <c:pt idx="5">
                    <c:v>3.0112490023668461</c:v>
                  </c:pt>
                  <c:pt idx="6">
                    <c:v>2.1533170094719414</c:v>
                  </c:pt>
                  <c:pt idx="7">
                    <c:v>2.3467046124862398</c:v>
                  </c:pt>
                  <c:pt idx="8">
                    <c:v>1.6979180298760712</c:v>
                  </c:pt>
                  <c:pt idx="9">
                    <c:v>2.2556792257075888</c:v>
                  </c:pt>
                  <c:pt idx="10">
                    <c:v>3.14112718583225</c:v>
                  </c:pt>
                  <c:pt idx="11">
                    <c:v>3.7691773819009606</c:v>
                  </c:pt>
                </c:numCache>
              </c:numRef>
            </c:plus>
            <c:minus>
              <c:numRef>
                <c:f>Sheet1!$K$25:$K$36</c:f>
                <c:numCache>
                  <c:formatCode>General</c:formatCode>
                  <c:ptCount val="12"/>
                  <c:pt idx="0">
                    <c:v>3.0407681286844026</c:v>
                  </c:pt>
                  <c:pt idx="1">
                    <c:v>3.6349221155018201</c:v>
                  </c:pt>
                  <c:pt idx="2">
                    <c:v>4.5170534523730943</c:v>
                  </c:pt>
                  <c:pt idx="3">
                    <c:v>2.5582209529663267</c:v>
                  </c:pt>
                  <c:pt idx="4">
                    <c:v>3.4966276634297007</c:v>
                  </c:pt>
                  <c:pt idx="5">
                    <c:v>3.0112490023668461</c:v>
                  </c:pt>
                  <c:pt idx="6">
                    <c:v>2.1533170094719414</c:v>
                  </c:pt>
                  <c:pt idx="7">
                    <c:v>2.3467046124862398</c:v>
                  </c:pt>
                  <c:pt idx="8">
                    <c:v>1.6979180298760712</c:v>
                  </c:pt>
                  <c:pt idx="9">
                    <c:v>2.2556792257075888</c:v>
                  </c:pt>
                  <c:pt idx="10">
                    <c:v>3.14112718583225</c:v>
                  </c:pt>
                  <c:pt idx="11">
                    <c:v>3.7691773819009606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Sheet1!$D$25:$D$36</c:f>
              <c:numCache>
                <c:formatCode>General</c:formatCode>
                <c:ptCount val="12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-10</c:v>
                </c:pt>
                <c:pt idx="10">
                  <c:v>-20</c:v>
                </c:pt>
                <c:pt idx="11">
                  <c:v>-30</c:v>
                </c:pt>
              </c:numCache>
            </c:numRef>
          </c:xVal>
          <c:yVal>
            <c:numRef>
              <c:f>Sheet1!$J$25:$J$36</c:f>
              <c:numCache>
                <c:formatCode>General</c:formatCode>
                <c:ptCount val="12"/>
                <c:pt idx="0">
                  <c:v>8.8468372461033304</c:v>
                </c:pt>
                <c:pt idx="1">
                  <c:v>8.683957826907454</c:v>
                </c:pt>
                <c:pt idx="2">
                  <c:v>7.4743062966202034</c:v>
                </c:pt>
                <c:pt idx="3">
                  <c:v>4.8666502748814837</c:v>
                </c:pt>
                <c:pt idx="4">
                  <c:v>5.2751612992158057</c:v>
                </c:pt>
                <c:pt idx="5">
                  <c:v>4.5985787343404514</c:v>
                </c:pt>
                <c:pt idx="6">
                  <c:v>3.4815172498278648</c:v>
                </c:pt>
                <c:pt idx="7">
                  <c:v>3.9183468599842191</c:v>
                </c:pt>
                <c:pt idx="8">
                  <c:v>2.9556034951330274</c:v>
                </c:pt>
                <c:pt idx="9">
                  <c:v>5.8984545283692427</c:v>
                </c:pt>
                <c:pt idx="10">
                  <c:v>8.4641849857139277</c:v>
                </c:pt>
                <c:pt idx="11">
                  <c:v>7.3774606491882659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6B-49C7-AE28-91C5602ACF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7195136"/>
        <c:axId val="1457198048"/>
      </c:scatterChart>
      <c:valAx>
        <c:axId val="1457195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7198048"/>
        <c:crosses val="autoZero"/>
        <c:crossBetween val="midCat"/>
      </c:valAx>
      <c:valAx>
        <c:axId val="145719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7195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114300</xdr:colOff>
      <xdr:row>20</xdr:row>
      <xdr:rowOff>152400</xdr:rowOff>
    </xdr:from>
    <xdr:to>
      <xdr:col>24</xdr:col>
      <xdr:colOff>295276</xdr:colOff>
      <xdr:row>39</xdr:row>
      <xdr:rowOff>180976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366712</xdr:colOff>
      <xdr:row>39</xdr:row>
      <xdr:rowOff>4762</xdr:rowOff>
    </xdr:from>
    <xdr:to>
      <xdr:col>11</xdr:col>
      <xdr:colOff>404812</xdr:colOff>
      <xdr:row>53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4" name="Table4" displayName="Table4" ref="D24:F36" totalsRowShown="0">
  <autoFilter ref="D24:F36"/>
  <tableColumns count="3">
    <tableColumn id="1" name="Angle"/>
    <tableColumn id="2" name="Energy">
      <calculatedColumnFormula>0.0000978*(D7)-0.0247</calculatedColumnFormula>
    </tableColumn>
    <tableColumn id="3" name="EnergyErr">
      <calculatedColumnFormula>0.0000978*(E7)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T36"/>
  <sheetViews>
    <sheetView tabSelected="1" topLeftCell="A16" workbookViewId="0">
      <selection activeCell="M30" sqref="M30"/>
    </sheetView>
  </sheetViews>
  <sheetFormatPr defaultRowHeight="15" x14ac:dyDescent="0.25"/>
  <cols>
    <col min="6" max="9" width="11.5703125" customWidth="1"/>
    <col min="10" max="11" width="12" bestFit="1" customWidth="1"/>
    <col min="12" max="12" width="11" bestFit="1" customWidth="1"/>
    <col min="18" max="18" width="20.5703125" bestFit="1" customWidth="1"/>
  </cols>
  <sheetData>
    <row r="3" spans="1:20" x14ac:dyDescent="0.25">
      <c r="C3" t="s">
        <v>19</v>
      </c>
      <c r="T3" t="s">
        <v>11</v>
      </c>
    </row>
    <row r="4" spans="1:20" x14ac:dyDescent="0.25">
      <c r="C4">
        <v>0.51100000000000001</v>
      </c>
      <c r="T4" t="s">
        <v>12</v>
      </c>
    </row>
    <row r="5" spans="1:20" x14ac:dyDescent="0.25">
      <c r="T5" t="s">
        <v>13</v>
      </c>
    </row>
    <row r="6" spans="1:20" x14ac:dyDescent="0.25">
      <c r="B6" t="s">
        <v>0</v>
      </c>
      <c r="D6" t="s">
        <v>3</v>
      </c>
      <c r="E6" t="s">
        <v>16</v>
      </c>
      <c r="F6" t="s">
        <v>17</v>
      </c>
      <c r="G6" t="s">
        <v>18</v>
      </c>
      <c r="H6" t="s">
        <v>20</v>
      </c>
      <c r="J6" t="s">
        <v>1</v>
      </c>
      <c r="K6" t="s">
        <v>2</v>
      </c>
      <c r="M6" t="s">
        <v>6</v>
      </c>
      <c r="N6" t="s">
        <v>7</v>
      </c>
      <c r="P6" t="s">
        <v>8</v>
      </c>
      <c r="Q6" t="s">
        <v>27</v>
      </c>
      <c r="R6" t="s">
        <v>26</v>
      </c>
    </row>
    <row r="7" spans="1:20" x14ac:dyDescent="0.25">
      <c r="A7">
        <v>10</v>
      </c>
      <c r="B7">
        <f>PI()*A7/180</f>
        <v>0.17453292519943295</v>
      </c>
      <c r="D7">
        <v>6660.99</v>
      </c>
      <c r="E7">
        <v>8.5916499999999996</v>
      </c>
      <c r="F7">
        <f>-E25*(1+COS(B7)/$C$4)^-2 +(1+E25*(1+COS(B7))/$C$4)^-1</f>
        <v>0.2180290179233127</v>
      </c>
      <c r="G7">
        <f>-E25*(-E25*SIN(B7)/$C$4)</f>
        <v>0.13348450001396303</v>
      </c>
      <c r="H7">
        <f>SQRT((E7*F7)^2 +(G7*B7)^2)</f>
        <v>1.8733738819372556</v>
      </c>
      <c r="J7">
        <v>1517.97</v>
      </c>
      <c r="K7">
        <v>44.42</v>
      </c>
      <c r="M7">
        <v>215.42</v>
      </c>
      <c r="N7">
        <v>6.87</v>
      </c>
      <c r="P7">
        <v>2000</v>
      </c>
      <c r="R7">
        <f>J7*M7*SQRT(2*PI())/(P7*(16384/200))</f>
        <v>5.0028698521618988</v>
      </c>
      <c r="T7" t="s">
        <v>10</v>
      </c>
    </row>
    <row r="8" spans="1:20" x14ac:dyDescent="0.25">
      <c r="A8">
        <v>20</v>
      </c>
      <c r="B8">
        <f t="shared" ref="B8:B18" si="0">PI()*A8/180</f>
        <v>0.3490658503988659</v>
      </c>
      <c r="D8">
        <v>6329.94</v>
      </c>
      <c r="E8">
        <v>21.554400000000001</v>
      </c>
      <c r="F8">
        <f t="shared" ref="F8:F18" si="1">-E26*(1+COS(B8)/$C$4)^-2 +(1+E26*(1+COS(B8))/$C$4)^-1</f>
        <v>0.23336400907564081</v>
      </c>
      <c r="G8">
        <f t="shared" ref="G8:G18" si="2">-E26*(-E26*SIN(B8)/$C$4)</f>
        <v>0.2364513600978394</v>
      </c>
      <c r="H8">
        <f>SQRT((E8*F8)^2 +(G8*B8)^2)</f>
        <v>5.0306983229516389</v>
      </c>
      <c r="J8">
        <v>1260.1199999999999</v>
      </c>
      <c r="K8">
        <v>95.36</v>
      </c>
      <c r="M8">
        <v>248.79</v>
      </c>
      <c r="N8">
        <v>20.32</v>
      </c>
      <c r="P8">
        <v>2000</v>
      </c>
      <c r="R8">
        <f t="shared" ref="R8:R18" si="3">J8*M8*SQRT(2*PI())/(P8*(16384/200))</f>
        <v>4.796393651898657</v>
      </c>
      <c r="T8" t="s">
        <v>15</v>
      </c>
    </row>
    <row r="9" spans="1:20" x14ac:dyDescent="0.25">
      <c r="A9">
        <v>30</v>
      </c>
      <c r="B9">
        <f t="shared" si="0"/>
        <v>0.52359877559829882</v>
      </c>
      <c r="D9">
        <v>5759.21</v>
      </c>
      <c r="E9">
        <v>32.943300000000001</v>
      </c>
      <c r="F9">
        <f t="shared" si="1"/>
        <v>0.26291997301747122</v>
      </c>
      <c r="G9">
        <f t="shared" si="2"/>
        <v>0.28379344168331178</v>
      </c>
      <c r="H9">
        <f>SQRT((E9*F9)^2 +(G9*B9)^2)</f>
        <v>8.6627260749472228</v>
      </c>
      <c r="J9">
        <v>1098.1300000000001</v>
      </c>
      <c r="K9">
        <v>78.58</v>
      </c>
      <c r="M9">
        <v>325.47000000000003</v>
      </c>
      <c r="N9">
        <v>24.05</v>
      </c>
      <c r="P9">
        <v>2600</v>
      </c>
      <c r="R9">
        <f t="shared" si="3"/>
        <v>4.2062139826334768</v>
      </c>
      <c r="T9" t="s">
        <v>14</v>
      </c>
    </row>
    <row r="10" spans="1:20" x14ac:dyDescent="0.25">
      <c r="A10">
        <v>40</v>
      </c>
      <c r="B10">
        <f t="shared" si="0"/>
        <v>0.69813170079773179</v>
      </c>
      <c r="D10">
        <v>5144.6099999999997</v>
      </c>
      <c r="E10">
        <v>34.072400000000002</v>
      </c>
      <c r="F10">
        <f t="shared" si="1"/>
        <v>0.30025169572630073</v>
      </c>
      <c r="G10">
        <f t="shared" si="2"/>
        <v>0.28794314816533656</v>
      </c>
      <c r="H10">
        <f>SQRT((E10*F10)^2 +(G10*B10)^2)</f>
        <v>10.232270700159976</v>
      </c>
      <c r="J10">
        <v>1034.25</v>
      </c>
      <c r="K10">
        <v>99.81</v>
      </c>
      <c r="M10">
        <v>251.5</v>
      </c>
      <c r="N10">
        <v>27.47</v>
      </c>
      <c r="P10">
        <v>3000</v>
      </c>
      <c r="R10">
        <f t="shared" si="3"/>
        <v>2.653030573318822</v>
      </c>
    </row>
    <row r="11" spans="1:20" x14ac:dyDescent="0.25">
      <c r="A11">
        <v>50</v>
      </c>
      <c r="B11">
        <f t="shared" si="0"/>
        <v>0.87266462599716477</v>
      </c>
      <c r="D11">
        <v>4673.28</v>
      </c>
      <c r="E11">
        <v>36.585700000000003</v>
      </c>
      <c r="F11">
        <f t="shared" si="1"/>
        <v>0.333617233650981</v>
      </c>
      <c r="G11">
        <f t="shared" si="2"/>
        <v>0.28021896979766842</v>
      </c>
      <c r="H11">
        <f>SQRT((E11*F11)^2 +(G11*B11)^2)</f>
        <v>12.208069406454195</v>
      </c>
      <c r="J11">
        <v>1144.28</v>
      </c>
      <c r="K11">
        <v>103.66</v>
      </c>
      <c r="M11">
        <v>286.58</v>
      </c>
      <c r="N11">
        <v>26.3</v>
      </c>
      <c r="P11">
        <v>3500</v>
      </c>
      <c r="R11">
        <f t="shared" si="3"/>
        <v>2.8668840725038938</v>
      </c>
      <c r="T11" t="s">
        <v>9</v>
      </c>
    </row>
    <row r="12" spans="1:20" x14ac:dyDescent="0.25">
      <c r="A12">
        <v>60</v>
      </c>
      <c r="B12">
        <f t="shared" si="0"/>
        <v>1.0471975511965976</v>
      </c>
      <c r="D12">
        <v>4241.0600000000004</v>
      </c>
      <c r="E12">
        <v>39.036900000000003</v>
      </c>
      <c r="F12">
        <f t="shared" si="1"/>
        <v>0.36654006212307016</v>
      </c>
      <c r="G12">
        <f t="shared" si="2"/>
        <v>0.25787393854044227</v>
      </c>
      <c r="H12">
        <f>SQRT((E12*F12)^2 +(G12*B12)^2)</f>
        <v>14.311135793831324</v>
      </c>
      <c r="J12">
        <v>1198.24</v>
      </c>
      <c r="K12">
        <v>154.22</v>
      </c>
      <c r="M12">
        <v>255.43</v>
      </c>
      <c r="N12">
        <v>42.17</v>
      </c>
      <c r="P12">
        <v>4000</v>
      </c>
      <c r="R12">
        <f t="shared" si="3"/>
        <v>2.3412927259547827</v>
      </c>
    </row>
    <row r="13" spans="1:20" x14ac:dyDescent="0.25">
      <c r="A13">
        <v>70</v>
      </c>
      <c r="B13">
        <f t="shared" si="0"/>
        <v>1.2217304763960306</v>
      </c>
      <c r="D13">
        <v>3749.21</v>
      </c>
      <c r="E13">
        <v>31.535699999999999</v>
      </c>
      <c r="F13">
        <f t="shared" si="1"/>
        <v>0.40411998528880649</v>
      </c>
      <c r="G13">
        <f t="shared" si="2"/>
        <v>0.21505417955429024</v>
      </c>
      <c r="H13">
        <f>SQRT((E13*F13)^2 +(G13*B13)^2)</f>
        <v>12.746914676132539</v>
      </c>
      <c r="J13">
        <v>1566.22</v>
      </c>
      <c r="K13">
        <v>166.75</v>
      </c>
      <c r="M13">
        <v>211.51</v>
      </c>
      <c r="N13">
        <v>23.82</v>
      </c>
      <c r="P13">
        <v>6000</v>
      </c>
      <c r="R13">
        <f t="shared" si="3"/>
        <v>1.6893996926660979</v>
      </c>
    </row>
    <row r="14" spans="1:20" x14ac:dyDescent="0.25">
      <c r="A14">
        <v>80</v>
      </c>
      <c r="B14">
        <f t="shared" si="0"/>
        <v>1.3962634015954636</v>
      </c>
      <c r="D14">
        <v>3380.47</v>
      </c>
      <c r="E14">
        <v>12.6167</v>
      </c>
      <c r="F14">
        <f t="shared" si="1"/>
        <v>0.41692348057297268</v>
      </c>
      <c r="G14">
        <f t="shared" si="2"/>
        <v>0.18035069088279143</v>
      </c>
      <c r="H14">
        <f>SQRT((E14*F14)^2 +(G14*B14)^2)</f>
        <v>5.2662225415727733</v>
      </c>
      <c r="J14">
        <v>6711.14</v>
      </c>
      <c r="K14">
        <v>324.25</v>
      </c>
      <c r="M14">
        <v>183.21</v>
      </c>
      <c r="N14">
        <v>9.9700000000000006</v>
      </c>
      <c r="P14">
        <v>20000</v>
      </c>
      <c r="R14">
        <f t="shared" si="3"/>
        <v>1.881115527372369</v>
      </c>
    </row>
    <row r="15" spans="1:20" x14ac:dyDescent="0.25">
      <c r="A15">
        <v>90</v>
      </c>
      <c r="B15">
        <f t="shared" si="0"/>
        <v>1.5707963267948966</v>
      </c>
      <c r="D15">
        <v>3032.55</v>
      </c>
      <c r="E15">
        <v>14.2506</v>
      </c>
      <c r="F15">
        <f t="shared" si="1"/>
        <v>0.38083195244710444</v>
      </c>
      <c r="G15">
        <f t="shared" si="2"/>
        <v>0.14465866488824292</v>
      </c>
      <c r="H15">
        <f>SQRT((E15*F15)^2 +(G15*B15)^2)</f>
        <v>5.431838727408711</v>
      </c>
      <c r="J15">
        <v>5517.34</v>
      </c>
      <c r="K15">
        <v>357.13</v>
      </c>
      <c r="M15">
        <v>156.19</v>
      </c>
      <c r="N15">
        <v>11.28</v>
      </c>
      <c r="P15">
        <v>20000</v>
      </c>
      <c r="R15">
        <f t="shared" si="3"/>
        <v>1.3184175257970636</v>
      </c>
    </row>
    <row r="16" spans="1:20" x14ac:dyDescent="0.25">
      <c r="A16">
        <v>-10</v>
      </c>
      <c r="B16">
        <f t="shared" si="0"/>
        <v>-0.17453292519943295</v>
      </c>
      <c r="D16">
        <v>6674.12</v>
      </c>
      <c r="E16">
        <v>25.226500000000001</v>
      </c>
      <c r="F16">
        <f t="shared" si="1"/>
        <v>0.21745690064627096</v>
      </c>
      <c r="G16">
        <f t="shared" si="2"/>
        <v>-0.1340320431488789</v>
      </c>
      <c r="H16">
        <f>SQRT((E16*F16)^2 +(G16*B16)^2)</f>
        <v>5.4857263822469653</v>
      </c>
      <c r="J16">
        <v>909.64</v>
      </c>
      <c r="K16">
        <v>61.54</v>
      </c>
      <c r="M16">
        <v>240.17</v>
      </c>
      <c r="N16">
        <v>19.440000000000001</v>
      </c>
      <c r="P16">
        <v>2000</v>
      </c>
      <c r="R16">
        <f t="shared" si="3"/>
        <v>3.3423990752253254</v>
      </c>
    </row>
    <row r="17" spans="1:18" x14ac:dyDescent="0.25">
      <c r="A17">
        <v>-20</v>
      </c>
      <c r="B17">
        <f t="shared" si="0"/>
        <v>-0.3490658503988659</v>
      </c>
      <c r="D17">
        <v>6309.97</v>
      </c>
      <c r="E17">
        <v>18.1159</v>
      </c>
      <c r="F17">
        <f t="shared" si="1"/>
        <v>0.23430716622938946</v>
      </c>
      <c r="G17">
        <f t="shared" si="2"/>
        <v>-0.23489997686514733</v>
      </c>
      <c r="H17">
        <f>SQRT((E17*F17)^2 +(G17*B17)^2)</f>
        <v>4.2454770823753014</v>
      </c>
      <c r="J17">
        <v>1385.34</v>
      </c>
      <c r="K17">
        <v>100.92</v>
      </c>
      <c r="M17">
        <v>219.85</v>
      </c>
      <c r="N17">
        <v>17.739999999999998</v>
      </c>
      <c r="P17">
        <v>2000</v>
      </c>
      <c r="R17">
        <f t="shared" si="3"/>
        <v>4.6596450879694302</v>
      </c>
    </row>
    <row r="18" spans="1:18" x14ac:dyDescent="0.25">
      <c r="A18">
        <v>-30</v>
      </c>
      <c r="B18">
        <f t="shared" si="0"/>
        <v>-0.52359877559829882</v>
      </c>
      <c r="D18">
        <v>5817.69</v>
      </c>
      <c r="E18">
        <v>27.087399999999999</v>
      </c>
      <c r="F18">
        <f t="shared" si="1"/>
        <v>0.2597758700818914</v>
      </c>
      <c r="G18">
        <f t="shared" si="2"/>
        <v>-0.28985315279871482</v>
      </c>
      <c r="H18">
        <f>SQRT((E18*F18)^2 +(G18*B18)^2)</f>
        <v>7.0382893680995604</v>
      </c>
      <c r="J18">
        <v>1211.17</v>
      </c>
      <c r="K18">
        <v>105.08</v>
      </c>
      <c r="M18">
        <v>278.07</v>
      </c>
      <c r="N18">
        <v>29.03</v>
      </c>
      <c r="P18">
        <v>2600</v>
      </c>
      <c r="R18">
        <f t="shared" si="3"/>
        <v>3.9635640852271412</v>
      </c>
    </row>
    <row r="22" spans="1:18" x14ac:dyDescent="0.25">
      <c r="I22" t="s">
        <v>23</v>
      </c>
      <c r="K22" t="s">
        <v>24</v>
      </c>
      <c r="L22" t="s">
        <v>22</v>
      </c>
    </row>
    <row r="23" spans="1:18" x14ac:dyDescent="0.25">
      <c r="I23">
        <f>(((922500/200)+(793300/200))/2)/0.38</f>
        <v>11288.157894736842</v>
      </c>
      <c r="K23">
        <f>(100^3)*2.7*(6.022E+23)*13/27</f>
        <v>7.828600000000001E+29</v>
      </c>
      <c r="L23">
        <f>4*PI()*(0.5/(36))^2</f>
        <v>2.4240684055476798E-3</v>
      </c>
    </row>
    <row r="24" spans="1:18" x14ac:dyDescent="0.25">
      <c r="D24" t="s">
        <v>0</v>
      </c>
      <c r="E24" t="s">
        <v>4</v>
      </c>
      <c r="F24" t="s">
        <v>5</v>
      </c>
      <c r="H24" t="s">
        <v>21</v>
      </c>
      <c r="J24" t="s">
        <v>25</v>
      </c>
      <c r="K24" t="s">
        <v>28</v>
      </c>
    </row>
    <row r="25" spans="1:18" x14ac:dyDescent="0.25">
      <c r="D25">
        <v>10</v>
      </c>
      <c r="E25">
        <f>0.0000978*(D7)-0.0247</f>
        <v>0.62674482200000003</v>
      </c>
      <c r="F25">
        <f>0.0000978*(E7)</f>
        <v>8.4026336999999999E-4</v>
      </c>
      <c r="H25">
        <v>0.42120000000000002</v>
      </c>
      <c r="I25">
        <f>(1/$L$23)*R7/($K$23*$I$23*H25*Table4[[#This Row],[Energy]])</f>
        <v>8.8468372461033294E-31</v>
      </c>
      <c r="J25">
        <f>1000*I25/(1E-28)</f>
        <v>8.8468372461033304</v>
      </c>
      <c r="K25">
        <f>1000*SQRT(((I25*Table4[[#This Row],[Energy]])*M7)^2 / (Table4[[#This Row],[Energy]]^4))/1E-25</f>
        <v>3.0407681286844026</v>
      </c>
    </row>
    <row r="26" spans="1:18" x14ac:dyDescent="0.25">
      <c r="D26">
        <v>20</v>
      </c>
      <c r="E26">
        <f>0.0000978*(D8)-0.0247</f>
        <v>0.59436813200000005</v>
      </c>
      <c r="F26">
        <f t="shared" ref="F26:F36" si="4">0.0000978*(E8)</f>
        <v>2.1080203200000004E-3</v>
      </c>
      <c r="H26">
        <v>0.43380000000000002</v>
      </c>
      <c r="I26">
        <f>(1/$L$23)*R8/($K$23*$I$23*H26*Table4[[#This Row],[Energy]])</f>
        <v>8.683957826907454E-31</v>
      </c>
      <c r="J26">
        <f t="shared" ref="J26:J36" si="5">1000*I26/(1E-28)</f>
        <v>8.683957826907454</v>
      </c>
      <c r="K26">
        <f>1000*SQRT(((I26*Table4[[#This Row],[Energy]])*M8)^2 / (Table4[[#This Row],[Energy]]^4))/1E-25</f>
        <v>3.6349221155018201</v>
      </c>
    </row>
    <row r="27" spans="1:18" x14ac:dyDescent="0.25">
      <c r="D27">
        <v>30</v>
      </c>
      <c r="E27">
        <f t="shared" ref="E26:E36" si="6">0.0000978*(D9)-0.0247</f>
        <v>0.53855073800000008</v>
      </c>
      <c r="F27">
        <f t="shared" si="4"/>
        <v>3.2218547400000002E-3</v>
      </c>
      <c r="H27">
        <v>0.48780000000000001</v>
      </c>
      <c r="I27">
        <f>(1/$L$23)*R9/($K$23*$I$23*H27*Table4[[#This Row],[Energy]])</f>
        <v>7.474306296620203E-31</v>
      </c>
      <c r="J27">
        <f t="shared" si="5"/>
        <v>7.4743062966202034</v>
      </c>
      <c r="K27">
        <f>1000*SQRT(((I27*Table4[[#This Row],[Energy]])*M9)^2 / (Table4[[#This Row],[Energy]]^4))/1E-25</f>
        <v>4.5170534523730943</v>
      </c>
    </row>
    <row r="28" spans="1:18" x14ac:dyDescent="0.25">
      <c r="D28">
        <v>40</v>
      </c>
      <c r="E28">
        <f t="shared" si="6"/>
        <v>0.47844285800000003</v>
      </c>
      <c r="F28">
        <f t="shared" si="4"/>
        <v>3.3322807200000006E-3</v>
      </c>
      <c r="H28">
        <v>0.53190000000000004</v>
      </c>
      <c r="I28">
        <f>(1/$L$23)*R10/($K$23*$I$23*H28*Table4[[#This Row],[Energy]])</f>
        <v>4.8666502748814833E-31</v>
      </c>
      <c r="J28">
        <f t="shared" si="5"/>
        <v>4.8666502748814837</v>
      </c>
      <c r="K28">
        <f>1000*SQRT(((I28*Table4[[#This Row],[Energy]])*M10)^2 / (Table4[[#This Row],[Energy]]^4))/1E-25</f>
        <v>2.5582209529663267</v>
      </c>
    </row>
    <row r="29" spans="1:18" x14ac:dyDescent="0.25">
      <c r="D29">
        <v>50</v>
      </c>
      <c r="E29">
        <f t="shared" si="6"/>
        <v>0.43234678399999998</v>
      </c>
      <c r="F29">
        <f t="shared" si="4"/>
        <v>3.5780814600000006E-3</v>
      </c>
      <c r="H29">
        <v>0.58679999999999999</v>
      </c>
      <c r="I29">
        <f>(1/$L$23)*R11/($K$23*$I$23*H29*Table4[[#This Row],[Energy]])</f>
        <v>5.2751612992158058E-31</v>
      </c>
      <c r="J29">
        <f t="shared" si="5"/>
        <v>5.2751612992158057</v>
      </c>
      <c r="K29">
        <f>1000*SQRT(((I29*Table4[[#This Row],[Energy]])*M11)^2 / (Table4[[#This Row],[Energy]]^4))/1E-25</f>
        <v>3.4966276634297007</v>
      </c>
    </row>
    <row r="30" spans="1:18" x14ac:dyDescent="0.25">
      <c r="D30">
        <v>60</v>
      </c>
      <c r="E30">
        <f t="shared" si="6"/>
        <v>0.39007566800000004</v>
      </c>
      <c r="F30">
        <f t="shared" si="4"/>
        <v>3.8178088200000004E-3</v>
      </c>
      <c r="H30">
        <v>0.60929999999999995</v>
      </c>
      <c r="I30">
        <f>(1/$L$23)*R12/($K$23*$I$23*H30*Table4[[#This Row],[Energy]])</f>
        <v>4.5985787343404505E-31</v>
      </c>
      <c r="J30">
        <f t="shared" si="5"/>
        <v>4.5985787343404514</v>
      </c>
      <c r="K30">
        <f>1000*SQRT(((I30*Table4[[#This Row],[Energy]])*M12)^2 / (Table4[[#This Row],[Energy]]^4))/1E-25</f>
        <v>3.0112490023668461</v>
      </c>
    </row>
    <row r="31" spans="1:18" x14ac:dyDescent="0.25">
      <c r="D31">
        <v>70</v>
      </c>
      <c r="E31">
        <f t="shared" si="6"/>
        <v>0.341972738</v>
      </c>
      <c r="F31">
        <f t="shared" si="4"/>
        <v>3.0841914599999999E-3</v>
      </c>
      <c r="H31">
        <v>0.66239999999999999</v>
      </c>
      <c r="I31">
        <f>(1/$L$23)*R13/($K$23*$I$23*H31*Table4[[#This Row],[Energy]])</f>
        <v>3.4815172498278647E-31</v>
      </c>
      <c r="J31">
        <f t="shared" si="5"/>
        <v>3.4815172498278648</v>
      </c>
      <c r="K31">
        <f>1000*SQRT(((I31*Table4[[#This Row],[Energy]])*M13)^2 / (Table4[[#This Row],[Energy]]^4))/1E-25</f>
        <v>2.1533170094719414</v>
      </c>
    </row>
    <row r="32" spans="1:18" x14ac:dyDescent="0.25">
      <c r="D32">
        <v>80</v>
      </c>
      <c r="E32">
        <f t="shared" si="6"/>
        <v>0.30590996599999998</v>
      </c>
      <c r="F32">
        <f t="shared" si="4"/>
        <v>1.2339132600000002E-3</v>
      </c>
      <c r="H32">
        <v>0.73260000000000003</v>
      </c>
      <c r="I32">
        <f>(1/$L$23)*R14/($K$23*$I$23*H32*Table4[[#This Row],[Energy]])</f>
        <v>3.9183468599842185E-31</v>
      </c>
      <c r="J32">
        <f t="shared" si="5"/>
        <v>3.9183468599842191</v>
      </c>
      <c r="K32">
        <f>1000*SQRT(((I32*Table4[[#This Row],[Energy]])*M14)^2 / (Table4[[#This Row],[Energy]]^4))/1E-25</f>
        <v>2.3467046124862398</v>
      </c>
    </row>
    <row r="33" spans="4:11" x14ac:dyDescent="0.25">
      <c r="D33">
        <v>90</v>
      </c>
      <c r="E33">
        <f t="shared" si="6"/>
        <v>0.27188339000000006</v>
      </c>
      <c r="F33">
        <f t="shared" si="4"/>
        <v>1.3937086800000001E-3</v>
      </c>
      <c r="H33">
        <v>0.76590000000000003</v>
      </c>
      <c r="I33">
        <f>(1/$L$23)*R15/($K$23*$I$23*H33*Table4[[#This Row],[Energy]])</f>
        <v>2.9556034951330276E-31</v>
      </c>
      <c r="J33">
        <f t="shared" si="5"/>
        <v>2.9556034951330274</v>
      </c>
      <c r="K33">
        <f>1000*SQRT(((I33*Table4[[#This Row],[Energy]])*M15)^2 / (Table4[[#This Row],[Energy]]^4))/1E-25</f>
        <v>1.6979180298760712</v>
      </c>
    </row>
    <row r="34" spans="4:11" x14ac:dyDescent="0.25">
      <c r="D34">
        <v>-10</v>
      </c>
      <c r="E34">
        <f t="shared" si="6"/>
        <v>0.62802893599999998</v>
      </c>
      <c r="F34">
        <f t="shared" si="4"/>
        <v>2.4671517000000001E-3</v>
      </c>
      <c r="H34">
        <v>0.42120000000000002</v>
      </c>
      <c r="I34">
        <f>(1/$L$23)*R16/($K$23*$I$23*H34*Table4[[#This Row],[Energy]])</f>
        <v>5.8984545283692428E-31</v>
      </c>
      <c r="J34">
        <f t="shared" si="5"/>
        <v>5.8984545283692427</v>
      </c>
      <c r="K34">
        <f>1000*SQRT(((I34*Table4[[#This Row],[Energy]])*M16)^2 / (Table4[[#This Row],[Energy]]^4))/1E-25</f>
        <v>2.2556792257075888</v>
      </c>
    </row>
    <row r="35" spans="4:11" x14ac:dyDescent="0.25">
      <c r="D35">
        <v>-20</v>
      </c>
      <c r="E35">
        <f t="shared" si="6"/>
        <v>0.59241506600000005</v>
      </c>
      <c r="F35">
        <f t="shared" si="4"/>
        <v>1.7717350200000001E-3</v>
      </c>
      <c r="H35">
        <v>0.43380000000000002</v>
      </c>
      <c r="I35">
        <f>(1/$L$23)*R17/($K$23*$I$23*H35*Table4[[#This Row],[Energy]])</f>
        <v>8.4641849857139268E-31</v>
      </c>
      <c r="J35">
        <f t="shared" si="5"/>
        <v>8.4641849857139277</v>
      </c>
      <c r="K35">
        <f>1000*SQRT(((I35*Table4[[#This Row],[Energy]])*M17)^2 / (Table4[[#This Row],[Energy]]^4))/1E-25</f>
        <v>3.14112718583225</v>
      </c>
    </row>
    <row r="36" spans="4:11" x14ac:dyDescent="0.25">
      <c r="D36">
        <v>-30</v>
      </c>
      <c r="E36">
        <f t="shared" si="6"/>
        <v>0.54427008199999993</v>
      </c>
      <c r="F36">
        <f t="shared" si="4"/>
        <v>2.6491477199999999E-3</v>
      </c>
      <c r="H36">
        <v>0.46079999999999999</v>
      </c>
      <c r="I36">
        <f>(1/$L$23)*R18/($K$23*$I$23*H36*Table4[[#This Row],[Energy]])</f>
        <v>7.3774606491882665E-31</v>
      </c>
      <c r="J36">
        <f t="shared" si="5"/>
        <v>7.3774606491882659</v>
      </c>
      <c r="K36">
        <f>1000*SQRT(((I36*Table4[[#This Row],[Energy]])*M18)^2 / (Table4[[#This Row],[Energy]]^4))/1E-25</f>
        <v>3.7691773819009606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adv lab user</dc:creator>
  <cp:lastModifiedBy>adv lab user</cp:lastModifiedBy>
  <dcterms:created xsi:type="dcterms:W3CDTF">2023-11-30T20:14:41Z</dcterms:created>
  <dcterms:modified xsi:type="dcterms:W3CDTF">2023-12-07T22:47:45Z</dcterms:modified>
</cp:coreProperties>
</file>