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tlgo\Documents\Github\phy417s-mw\AlexTorda\"/>
    </mc:Choice>
  </mc:AlternateContent>
  <xr:revisionPtr revIDLastSave="0" documentId="13_ncr:1_{B6ECB44B-547E-40FE-8219-5D628173D3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S28" i="1"/>
  <c r="S29" i="1"/>
  <c r="S30" i="1"/>
  <c r="S31" i="1"/>
  <c r="S32" i="1"/>
  <c r="S33" i="1"/>
  <c r="S34" i="1"/>
  <c r="S35" i="1"/>
  <c r="S36" i="1"/>
  <c r="S37" i="1"/>
  <c r="S26" i="1"/>
  <c r="R27" i="1"/>
  <c r="R28" i="1"/>
  <c r="R29" i="1"/>
  <c r="R30" i="1"/>
  <c r="R31" i="1"/>
  <c r="R32" i="1"/>
  <c r="R33" i="1"/>
  <c r="R34" i="1"/>
  <c r="R35" i="1"/>
  <c r="R36" i="1"/>
  <c r="R37" i="1"/>
  <c r="R26" i="1"/>
  <c r="Q37" i="1"/>
  <c r="L26" i="1"/>
  <c r="L27" i="1"/>
  <c r="L28" i="1"/>
  <c r="L29" i="1"/>
  <c r="L30" i="1"/>
  <c r="L31" i="1"/>
  <c r="L32" i="1"/>
  <c r="L33" i="1"/>
  <c r="L34" i="1"/>
  <c r="L35" i="1"/>
  <c r="L36" i="1"/>
  <c r="Q27" i="1"/>
  <c r="Q28" i="1"/>
  <c r="Q29" i="1"/>
  <c r="Q30" i="1"/>
  <c r="Q31" i="1"/>
  <c r="Q32" i="1"/>
  <c r="Q33" i="1"/>
  <c r="Q34" i="1"/>
  <c r="Q35" i="1"/>
  <c r="Q36" i="1"/>
  <c r="Q26" i="1"/>
  <c r="L25" i="1"/>
  <c r="L23" i="1"/>
  <c r="R7" i="1"/>
  <c r="K23" i="1"/>
  <c r="E26" i="1"/>
  <c r="F25" i="1"/>
  <c r="R8" i="1"/>
  <c r="R9" i="1"/>
  <c r="R10" i="1"/>
  <c r="R11" i="1"/>
  <c r="R12" i="1"/>
  <c r="R13" i="1"/>
  <c r="R14" i="1"/>
  <c r="R15" i="1"/>
  <c r="R16" i="1"/>
  <c r="R17" i="1"/>
  <c r="R18" i="1"/>
  <c r="E25" i="1"/>
  <c r="B8" i="1"/>
  <c r="B9" i="1"/>
  <c r="B10" i="1"/>
  <c r="B11" i="1"/>
  <c r="B12" i="1"/>
  <c r="B13" i="1"/>
  <c r="B14" i="1"/>
  <c r="B15" i="1"/>
  <c r="B16" i="1"/>
  <c r="B17" i="1"/>
  <c r="B18" i="1"/>
  <c r="B7" i="1"/>
  <c r="I25" i="1" l="1"/>
  <c r="J25" i="1" s="1"/>
  <c r="I27" i="1"/>
  <c r="J27" i="1" s="1"/>
  <c r="I28" i="1"/>
  <c r="J28" i="1" s="1"/>
  <c r="I30" i="1"/>
  <c r="J30" i="1" s="1"/>
  <c r="I26" i="1"/>
  <c r="J26" i="1" s="1"/>
  <c r="I33" i="1"/>
  <c r="J33" i="1" s="1"/>
  <c r="F26" i="1"/>
  <c r="F27" i="1"/>
  <c r="F28" i="1"/>
  <c r="F29" i="1"/>
  <c r="F30" i="1"/>
  <c r="F31" i="1"/>
  <c r="F32" i="1"/>
  <c r="F33" i="1"/>
  <c r="F34" i="1"/>
  <c r="F35" i="1"/>
  <c r="F36" i="1"/>
  <c r="G7" i="1"/>
  <c r="G8" i="1"/>
  <c r="E27" i="1"/>
  <c r="G9" i="1" s="1"/>
  <c r="E28" i="1"/>
  <c r="E29" i="1"/>
  <c r="G11" i="1" s="1"/>
  <c r="E30" i="1"/>
  <c r="G12" i="1" s="1"/>
  <c r="E31" i="1"/>
  <c r="G13" i="1" s="1"/>
  <c r="E32" i="1"/>
  <c r="I32" i="1" s="1"/>
  <c r="J32" i="1" s="1"/>
  <c r="E33" i="1"/>
  <c r="G15" i="1" s="1"/>
  <c r="E34" i="1"/>
  <c r="G16" i="1" s="1"/>
  <c r="E35" i="1"/>
  <c r="G17" i="1" s="1"/>
  <c r="E36" i="1"/>
  <c r="I36" i="1" s="1"/>
  <c r="J36" i="1" s="1"/>
  <c r="K25" i="1" l="1"/>
  <c r="K36" i="1"/>
  <c r="K30" i="1"/>
  <c r="K26" i="1"/>
  <c r="K28" i="1"/>
  <c r="K27" i="1"/>
  <c r="K33" i="1"/>
  <c r="K32" i="1"/>
  <c r="I31" i="1"/>
  <c r="J31" i="1" s="1"/>
  <c r="I34" i="1"/>
  <c r="J34" i="1" s="1"/>
  <c r="I35" i="1"/>
  <c r="J35" i="1" s="1"/>
  <c r="I29" i="1"/>
  <c r="J29" i="1" s="1"/>
  <c r="F16" i="1"/>
  <c r="H16" i="1" s="1"/>
  <c r="F11" i="1"/>
  <c r="H11" i="1" s="1"/>
  <c r="F12" i="1"/>
  <c r="H12" i="1" s="1"/>
  <c r="F9" i="1"/>
  <c r="H9" i="1" s="1"/>
  <c r="F7" i="1"/>
  <c r="H7" i="1" s="1"/>
  <c r="F15" i="1"/>
  <c r="H15" i="1" s="1"/>
  <c r="F13" i="1"/>
  <c r="H13" i="1" s="1"/>
  <c r="F18" i="1"/>
  <c r="G18" i="1"/>
  <c r="G14" i="1"/>
  <c r="F14" i="1"/>
  <c r="G10" i="1"/>
  <c r="F10" i="1"/>
  <c r="F8" i="1"/>
  <c r="H8" i="1" s="1"/>
  <c r="F17" i="1"/>
  <c r="H17" i="1" s="1"/>
  <c r="K34" i="1" l="1"/>
  <c r="K29" i="1"/>
  <c r="K31" i="1"/>
  <c r="K35" i="1"/>
  <c r="H10" i="1"/>
  <c r="H14" i="1"/>
  <c r="H18" i="1"/>
</calcChain>
</file>

<file path=xl/sharedStrings.xml><?xml version="1.0" encoding="utf-8"?>
<sst xmlns="http://schemas.openxmlformats.org/spreadsheetml/2006/main" count="36" uniqueCount="35">
  <si>
    <t>Angle</t>
  </si>
  <si>
    <t>Amp</t>
  </si>
  <si>
    <t>AmpErr</t>
  </si>
  <si>
    <t>Channel</t>
  </si>
  <si>
    <t>Energy</t>
  </si>
  <si>
    <t>EnergyErr</t>
  </si>
  <si>
    <t>Sig</t>
  </si>
  <si>
    <t>SigErr</t>
  </si>
  <si>
    <t>Time (s)</t>
  </si>
  <si>
    <t>Distance Sample to detector: 32.5cm \pm 0.01</t>
  </si>
  <si>
    <t>Scintillator diameter: 8cm</t>
  </si>
  <si>
    <t>Measurements have error of 0.1cm from ruler markings (\pm 0.01 cm)</t>
  </si>
  <si>
    <t>Target Diameter: 1cm</t>
  </si>
  <si>
    <t>Target Height: 1cm</t>
  </si>
  <si>
    <t xml:space="preserve"> detector diametersmaller than scint diameter since the detector is inside the scint and there is a protective coat between them</t>
  </si>
  <si>
    <t>Detector diamater: 7.6cm from example writeup (ask dr.oh)</t>
  </si>
  <si>
    <t>ChErr (dE)</t>
  </si>
  <si>
    <t>dE' / dE</t>
  </si>
  <si>
    <t>dE' / dtheta</t>
  </si>
  <si>
    <t>mc^2</t>
  </si>
  <si>
    <t>total error</t>
  </si>
  <si>
    <t>Eff</t>
  </si>
  <si>
    <t>dOmega</t>
  </si>
  <si>
    <t>Luminosity</t>
  </si>
  <si>
    <t>n (electron density)</t>
  </si>
  <si>
    <t>barns</t>
  </si>
  <si>
    <t>C</t>
  </si>
  <si>
    <t>cxn error</t>
  </si>
  <si>
    <t>cxn</t>
  </si>
  <si>
    <t>new attempt for cxn error</t>
  </si>
  <si>
    <t>dC^2</t>
  </si>
  <si>
    <t>C (counts per second)</t>
  </si>
  <si>
    <t>total cxn err</t>
  </si>
  <si>
    <t>% of total error</t>
  </si>
  <si>
    <t>other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</si>
</sst>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v.</a:t>
            </a:r>
            <a:r>
              <a:rPr lang="en-US" baseline="0"/>
              <a:t>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Sheet1!$F$25:$F$36</c:f>
                <c:numCache>
                  <c:formatCode>General</c:formatCode>
                  <c:ptCount val="12"/>
                  <c:pt idx="0">
                    <c:v>8.4026336999999999E-4</c:v>
                  </c:pt>
                  <c:pt idx="1">
                    <c:v>2.1080203200000004E-3</c:v>
                  </c:pt>
                  <c:pt idx="2">
                    <c:v>3.2218547400000002E-3</c:v>
                  </c:pt>
                  <c:pt idx="3">
                    <c:v>3.3322807200000006E-3</c:v>
                  </c:pt>
                  <c:pt idx="4">
                    <c:v>3.5780814600000006E-3</c:v>
                  </c:pt>
                  <c:pt idx="5">
                    <c:v>3.8178088200000004E-3</c:v>
                  </c:pt>
                  <c:pt idx="6">
                    <c:v>3.0841914599999999E-3</c:v>
                  </c:pt>
                  <c:pt idx="7">
                    <c:v>1.2339132600000002E-3</c:v>
                  </c:pt>
                  <c:pt idx="8">
                    <c:v>1.3937086800000001E-3</c:v>
                  </c:pt>
                  <c:pt idx="9">
                    <c:v>2.4671517000000001E-3</c:v>
                  </c:pt>
                  <c:pt idx="10">
                    <c:v>1.7717350200000001E-3</c:v>
                  </c:pt>
                  <c:pt idx="11">
                    <c:v>2.6491477199999999E-3</c:v>
                  </c:pt>
                </c:numCache>
              </c:numRef>
            </c:plus>
            <c:minus>
              <c:numRef>
                <c:f>Sheet1!$F$25:$F$36</c:f>
                <c:numCache>
                  <c:formatCode>General</c:formatCode>
                  <c:ptCount val="12"/>
                  <c:pt idx="0">
                    <c:v>8.4026336999999999E-4</c:v>
                  </c:pt>
                  <c:pt idx="1">
                    <c:v>2.1080203200000004E-3</c:v>
                  </c:pt>
                  <c:pt idx="2">
                    <c:v>3.2218547400000002E-3</c:v>
                  </c:pt>
                  <c:pt idx="3">
                    <c:v>3.3322807200000006E-3</c:v>
                  </c:pt>
                  <c:pt idx="4">
                    <c:v>3.5780814600000006E-3</c:v>
                  </c:pt>
                  <c:pt idx="5">
                    <c:v>3.8178088200000004E-3</c:v>
                  </c:pt>
                  <c:pt idx="6">
                    <c:v>3.0841914599999999E-3</c:v>
                  </c:pt>
                  <c:pt idx="7">
                    <c:v>1.2339132600000002E-3</c:v>
                  </c:pt>
                  <c:pt idx="8">
                    <c:v>1.3937086800000001E-3</c:v>
                  </c:pt>
                  <c:pt idx="9">
                    <c:v>2.4671517000000001E-3</c:v>
                  </c:pt>
                  <c:pt idx="10">
                    <c:v>1.7717350200000001E-3</c:v>
                  </c:pt>
                  <c:pt idx="11">
                    <c:v>2.6491477199999999E-3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0.62674482200000003</c:v>
                </c:pt>
                <c:pt idx="1">
                  <c:v>0.59436813200000005</c:v>
                </c:pt>
                <c:pt idx="2">
                  <c:v>0.53855073800000008</c:v>
                </c:pt>
                <c:pt idx="3">
                  <c:v>0.47844285800000003</c:v>
                </c:pt>
                <c:pt idx="4">
                  <c:v>0.43234678399999998</c:v>
                </c:pt>
                <c:pt idx="5">
                  <c:v>0.39007566800000004</c:v>
                </c:pt>
                <c:pt idx="6">
                  <c:v>0.341972738</c:v>
                </c:pt>
                <c:pt idx="7">
                  <c:v>0.30590996599999998</c:v>
                </c:pt>
                <c:pt idx="8">
                  <c:v>0.27188339000000006</c:v>
                </c:pt>
                <c:pt idx="9">
                  <c:v>0.62802893599999998</c:v>
                </c:pt>
                <c:pt idx="10">
                  <c:v>0.59241506600000005</c:v>
                </c:pt>
                <c:pt idx="11">
                  <c:v>0.54427008199999993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8-4139-BC6E-EE1983D4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67040"/>
        <c:axId val="1643471616"/>
      </c:scatterChart>
      <c:valAx>
        <c:axId val="1643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71616"/>
        <c:crosses val="autoZero"/>
        <c:crossBetween val="midCat"/>
      </c:valAx>
      <c:valAx>
        <c:axId val="16434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Sheet1!$L$25:$L$36</c:f>
                <c:numCache>
                  <c:formatCode>General</c:formatCode>
                  <c:ptCount val="12"/>
                  <c:pt idx="0">
                    <c:v>0.13864361043291312</c:v>
                  </c:pt>
                  <c:pt idx="1">
                    <c:v>0.22296588944999363</c:v>
                  </c:pt>
                  <c:pt idx="2">
                    <c:v>0.19706271721777735</c:v>
                  </c:pt>
                  <c:pt idx="3">
                    <c:v>0.19225556943928462</c:v>
                  </c:pt>
                  <c:pt idx="4">
                    <c:v>0.1886249881086236</c:v>
                  </c:pt>
                  <c:pt idx="5">
                    <c:v>0.23177695429664308</c:v>
                  </c:pt>
                  <c:pt idx="6">
                    <c:v>0.17772508403410603</c:v>
                  </c:pt>
                  <c:pt idx="7">
                    <c:v>0.12986303721844897</c:v>
                  </c:pt>
                  <c:pt idx="8">
                    <c:v>0.13507038428660223</c:v>
                  </c:pt>
                  <c:pt idx="9">
                    <c:v>0.17658449624656516</c:v>
                  </c:pt>
                  <c:pt idx="10">
                    <c:v>0.21784691183748625</c:v>
                  </c:pt>
                  <c:pt idx="11">
                    <c:v>0.23009019627604299</c:v>
                  </c:pt>
                </c:numCache>
              </c:numRef>
            </c:plus>
            <c:minus>
              <c:numRef>
                <c:f>Sheet1!$L$25:$L$36</c:f>
                <c:numCache>
                  <c:formatCode>General</c:formatCode>
                  <c:ptCount val="12"/>
                  <c:pt idx="0">
                    <c:v>0.13864361043291312</c:v>
                  </c:pt>
                  <c:pt idx="1">
                    <c:v>0.22296588944999363</c:v>
                  </c:pt>
                  <c:pt idx="2">
                    <c:v>0.19706271721777735</c:v>
                  </c:pt>
                  <c:pt idx="3">
                    <c:v>0.19225556943928462</c:v>
                  </c:pt>
                  <c:pt idx="4">
                    <c:v>0.1886249881086236</c:v>
                  </c:pt>
                  <c:pt idx="5">
                    <c:v>0.23177695429664308</c:v>
                  </c:pt>
                  <c:pt idx="6">
                    <c:v>0.17772508403410603</c:v>
                  </c:pt>
                  <c:pt idx="7">
                    <c:v>0.12986303721844897</c:v>
                  </c:pt>
                  <c:pt idx="8">
                    <c:v>0.13507038428660223</c:v>
                  </c:pt>
                  <c:pt idx="9">
                    <c:v>0.17658449624656516</c:v>
                  </c:pt>
                  <c:pt idx="10">
                    <c:v>0.21784691183748625</c:v>
                  </c:pt>
                  <c:pt idx="11">
                    <c:v>0.23009019627604299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xVal>
          <c:yVal>
            <c:numRef>
              <c:f>Sheet1!$J$25:$J$36</c:f>
              <c:numCache>
                <c:formatCode>General</c:formatCode>
                <c:ptCount val="12"/>
                <c:pt idx="0">
                  <c:v>1.4904080857349506</c:v>
                </c:pt>
                <c:pt idx="1">
                  <c:v>1.4629681321542212</c:v>
                </c:pt>
                <c:pt idx="2">
                  <c:v>1.2591806800389616</c:v>
                </c:pt>
                <c:pt idx="3">
                  <c:v>0.81987434812620341</c:v>
                </c:pt>
                <c:pt idx="4">
                  <c:v>0.88869534221060509</c:v>
                </c:pt>
                <c:pt idx="5">
                  <c:v>0.77471289884626338</c:v>
                </c:pt>
                <c:pt idx="6">
                  <c:v>0.58652389723283871</c:v>
                </c:pt>
                <c:pt idx="7">
                  <c:v>0.66011566398001587</c:v>
                </c:pt>
                <c:pt idx="8">
                  <c:v>0.49792431180001562</c:v>
                </c:pt>
                <c:pt idx="9">
                  <c:v>0.99370024313418637</c:v>
                </c:pt>
                <c:pt idx="10">
                  <c:v>1.4259434632891927</c:v>
                </c:pt>
                <c:pt idx="11">
                  <c:v>1.2428652972659406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9C7-AE28-91C5602A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95136"/>
        <c:axId val="1457198048"/>
      </c:scatterChart>
      <c:valAx>
        <c:axId val="1457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8048"/>
        <c:crosses val="autoZero"/>
        <c:crossBetween val="midCat"/>
      </c:valAx>
      <c:valAx>
        <c:axId val="14571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Section in Barns^-2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Contributions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Counting Rate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cat>
          <c:val>
            <c:numRef>
              <c:f>Sheet1!$R$26:$R$37</c:f>
              <c:numCache>
                <c:formatCode>General</c:formatCode>
                <c:ptCount val="12"/>
                <c:pt idx="0">
                  <c:v>39.383410159699096</c:v>
                </c:pt>
                <c:pt idx="1">
                  <c:v>39.376395751965006</c:v>
                </c:pt>
                <c:pt idx="2">
                  <c:v>39.357670839589197</c:v>
                </c:pt>
                <c:pt idx="3">
                  <c:v>39.369923294033882</c:v>
                </c:pt>
                <c:pt idx="4">
                  <c:v>39.357259652027373</c:v>
                </c:pt>
                <c:pt idx="5">
                  <c:v>39.366435210210497</c:v>
                </c:pt>
                <c:pt idx="6">
                  <c:v>39.370226996614868</c:v>
                </c:pt>
                <c:pt idx="7">
                  <c:v>39.379525623080269</c:v>
                </c:pt>
                <c:pt idx="8">
                  <c:v>39.380794645334262</c:v>
                </c:pt>
                <c:pt idx="9">
                  <c:v>39.377381749086815</c:v>
                </c:pt>
                <c:pt idx="10">
                  <c:v>39.379752422023998</c:v>
                </c:pt>
                <c:pt idx="11">
                  <c:v>39.373487612387983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272-B686-B609482C07F9}"/>
            </c:ext>
          </c:extLst>
        </c:ser>
        <c:ser>
          <c:idx val="1"/>
          <c:order val="1"/>
          <c:tx>
            <c:v>Other Errors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cat>
          <c:val>
            <c:numRef>
              <c:f>Sheet1!$S$26:$S$37</c:f>
              <c:numCache>
                <c:formatCode>General</c:formatCode>
                <c:ptCount val="12"/>
                <c:pt idx="0">
                  <c:v>60.616589840300904</c:v>
                </c:pt>
                <c:pt idx="1">
                  <c:v>60.623604248034994</c:v>
                </c:pt>
                <c:pt idx="2">
                  <c:v>60.642329160410803</c:v>
                </c:pt>
                <c:pt idx="3">
                  <c:v>60.630076705966118</c:v>
                </c:pt>
                <c:pt idx="4">
                  <c:v>60.642740347972627</c:v>
                </c:pt>
                <c:pt idx="5">
                  <c:v>60.633564789789503</c:v>
                </c:pt>
                <c:pt idx="6">
                  <c:v>60.629773003385132</c:v>
                </c:pt>
                <c:pt idx="7">
                  <c:v>60.620474376919731</c:v>
                </c:pt>
                <c:pt idx="8">
                  <c:v>60.619205354665738</c:v>
                </c:pt>
                <c:pt idx="9">
                  <c:v>60.622618250913185</c:v>
                </c:pt>
                <c:pt idx="10">
                  <c:v>60.620247577976002</c:v>
                </c:pt>
                <c:pt idx="11">
                  <c:v>60.626512387612017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272-B686-B609482C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826736"/>
        <c:axId val="1182766528"/>
      </c:barChart>
      <c:catAx>
        <c:axId val="115582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6528"/>
        <c:crosses val="autoZero"/>
        <c:auto val="1"/>
        <c:lblAlgn val="ctr"/>
        <c:lblOffset val="100"/>
        <c:noMultiLvlLbl val="0"/>
      </c:catAx>
      <c:valAx>
        <c:axId val="1182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21</xdr:row>
      <xdr:rowOff>114300</xdr:rowOff>
    </xdr:from>
    <xdr:to>
      <xdr:col>33</xdr:col>
      <xdr:colOff>228601</xdr:colOff>
      <xdr:row>40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38</xdr:row>
      <xdr:rowOff>61911</xdr:rowOff>
    </xdr:from>
    <xdr:to>
      <xdr:col>12</xdr:col>
      <xdr:colOff>276225</xdr:colOff>
      <xdr:row>59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252412</xdr:colOff>
      <xdr:row>41</xdr:row>
      <xdr:rowOff>61912</xdr:rowOff>
    </xdr:from>
    <xdr:to>
      <xdr:col>19</xdr:col>
      <xdr:colOff>23812</xdr:colOff>
      <xdr:row>55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8D0AF-BA95-C8AC-2934-E15FDE30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D24:F36" totalsRowShown="0">
  <autoFilter ref="D24:F36" xr:uid="{00000000-0009-0000-0100-000004000000}"/>
  <tableColumns count="3">
    <tableColumn id="1" xr3:uid="{00000000-0010-0000-0000-000001000000}" name="Angle"/>
    <tableColumn id="2" xr3:uid="{00000000-0010-0000-0000-000002000000}" name="Energy">
      <calculatedColumnFormula>0.0000978*(D7)-0.0247</calculatedColumnFormula>
    </tableColumn>
    <tableColumn id="3" xr3:uid="{00000000-0010-0000-0000-000003000000}" name="EnergyErr">
      <calculatedColumnFormula>0.0000978*(E7)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7"/>
  <sheetViews>
    <sheetView tabSelected="1" workbookViewId="0">
      <selection activeCell="O39" sqref="O39"/>
    </sheetView>
  </sheetViews>
  <sheetFormatPr defaultRowHeight="15" x14ac:dyDescent="0.25"/>
  <cols>
    <col min="6" max="9" width="11.5703125" customWidth="1"/>
    <col min="10" max="12" width="12" bestFit="1" customWidth="1"/>
    <col min="15" max="15" width="12" bestFit="1" customWidth="1"/>
    <col min="18" max="18" width="20.5703125" bestFit="1" customWidth="1"/>
    <col min="19" max="19" width="12" bestFit="1" customWidth="1"/>
  </cols>
  <sheetData>
    <row r="3" spans="1:20" x14ac:dyDescent="0.25">
      <c r="C3" t="s">
        <v>19</v>
      </c>
      <c r="T3" t="s">
        <v>11</v>
      </c>
    </row>
    <row r="4" spans="1:20" x14ac:dyDescent="0.25">
      <c r="C4">
        <v>0.51100000000000001</v>
      </c>
      <c r="T4" t="s">
        <v>12</v>
      </c>
    </row>
    <row r="5" spans="1:20" x14ac:dyDescent="0.25">
      <c r="T5" t="s">
        <v>13</v>
      </c>
    </row>
    <row r="6" spans="1:20" x14ac:dyDescent="0.25">
      <c r="B6" t="s">
        <v>0</v>
      </c>
      <c r="D6" t="s">
        <v>3</v>
      </c>
      <c r="E6" t="s">
        <v>16</v>
      </c>
      <c r="F6" t="s">
        <v>17</v>
      </c>
      <c r="G6" t="s">
        <v>18</v>
      </c>
      <c r="H6" t="s">
        <v>20</v>
      </c>
      <c r="J6" t="s">
        <v>1</v>
      </c>
      <c r="K6" t="s">
        <v>2</v>
      </c>
      <c r="M6" t="s">
        <v>6</v>
      </c>
      <c r="N6" t="s">
        <v>7</v>
      </c>
      <c r="P6" t="s">
        <v>8</v>
      </c>
      <c r="Q6" t="s">
        <v>26</v>
      </c>
      <c r="R6" t="s">
        <v>31</v>
      </c>
    </row>
    <row r="7" spans="1:20" x14ac:dyDescent="0.25">
      <c r="A7">
        <v>10</v>
      </c>
      <c r="B7">
        <f>PI()*A7/180</f>
        <v>0.17453292519943295</v>
      </c>
      <c r="D7">
        <v>6660.99</v>
      </c>
      <c r="E7">
        <v>8.5916499999999996</v>
      </c>
      <c r="F7">
        <f>-E25*(1+COS(B7)/$C$4)^-2 +(1+E25*(1+COS(B7))/$C$4)^-1</f>
        <v>0.2180290179233127</v>
      </c>
      <c r="G7">
        <f>-E25*(-E25*SIN(B7)/$C$4)</f>
        <v>0.13348450001396303</v>
      </c>
      <c r="H7">
        <f t="shared" ref="H7:H18" si="0">SQRT((E7*F7)^2 +(G7*B7)^2)</f>
        <v>1.8733738819372556</v>
      </c>
      <c r="J7">
        <v>1517.97</v>
      </c>
      <c r="K7">
        <v>44.42</v>
      </c>
      <c r="M7">
        <v>215.42</v>
      </c>
      <c r="N7">
        <v>6.87</v>
      </c>
      <c r="P7">
        <v>2000</v>
      </c>
      <c r="R7">
        <f>J7*M7*SQRT(2*PI())/(P7*(16384/200))</f>
        <v>5.0028698521618988</v>
      </c>
      <c r="T7" t="s">
        <v>10</v>
      </c>
    </row>
    <row r="8" spans="1:20" x14ac:dyDescent="0.25">
      <c r="A8">
        <v>20</v>
      </c>
      <c r="B8">
        <f t="shared" ref="B8:B18" si="1">PI()*A8/180</f>
        <v>0.3490658503988659</v>
      </c>
      <c r="D8">
        <v>6329.94</v>
      </c>
      <c r="E8">
        <v>21.554400000000001</v>
      </c>
      <c r="F8">
        <f t="shared" ref="F8:F18" si="2">-E26*(1+COS(B8)/$C$4)^-2 +(1+E26*(1+COS(B8))/$C$4)^-1</f>
        <v>0.23336400907564081</v>
      </c>
      <c r="G8">
        <f t="shared" ref="G8:G18" si="3">-E26*(-E26*SIN(B8)/$C$4)</f>
        <v>0.2364513600978394</v>
      </c>
      <c r="H8">
        <f t="shared" si="0"/>
        <v>5.0306983229516389</v>
      </c>
      <c r="J8">
        <v>1260.1199999999999</v>
      </c>
      <c r="K8">
        <v>95.36</v>
      </c>
      <c r="M8">
        <v>248.79</v>
      </c>
      <c r="N8">
        <v>20.32</v>
      </c>
      <c r="P8">
        <v>2000</v>
      </c>
      <c r="R8">
        <f t="shared" ref="R8:R18" si="4">J8*M8*SQRT(2*PI())/(P8*(16384/200))</f>
        <v>4.796393651898657</v>
      </c>
      <c r="T8" t="s">
        <v>15</v>
      </c>
    </row>
    <row r="9" spans="1:20" x14ac:dyDescent="0.25">
      <c r="A9">
        <v>30</v>
      </c>
      <c r="B9">
        <f t="shared" si="1"/>
        <v>0.52359877559829882</v>
      </c>
      <c r="D9">
        <v>5759.21</v>
      </c>
      <c r="E9">
        <v>32.943300000000001</v>
      </c>
      <c r="F9">
        <f t="shared" si="2"/>
        <v>0.26291997301747122</v>
      </c>
      <c r="G9">
        <f t="shared" si="3"/>
        <v>0.28379344168331178</v>
      </c>
      <c r="H9">
        <f t="shared" si="0"/>
        <v>8.6627260749472228</v>
      </c>
      <c r="J9">
        <v>1098.1300000000001</v>
      </c>
      <c r="K9">
        <v>78.58</v>
      </c>
      <c r="M9">
        <v>325.47000000000003</v>
      </c>
      <c r="N9">
        <v>24.05</v>
      </c>
      <c r="P9">
        <v>2600</v>
      </c>
      <c r="R9">
        <f t="shared" si="4"/>
        <v>4.2062139826334768</v>
      </c>
      <c r="T9" t="s">
        <v>14</v>
      </c>
    </row>
    <row r="10" spans="1:20" x14ac:dyDescent="0.25">
      <c r="A10">
        <v>40</v>
      </c>
      <c r="B10">
        <f t="shared" si="1"/>
        <v>0.69813170079773179</v>
      </c>
      <c r="D10">
        <v>5144.6099999999997</v>
      </c>
      <c r="E10">
        <v>34.072400000000002</v>
      </c>
      <c r="F10">
        <f t="shared" si="2"/>
        <v>0.30025169572630073</v>
      </c>
      <c r="G10">
        <f t="shared" si="3"/>
        <v>0.28794314816533656</v>
      </c>
      <c r="H10">
        <f t="shared" si="0"/>
        <v>10.232270700159976</v>
      </c>
      <c r="J10">
        <v>1034.25</v>
      </c>
      <c r="K10">
        <v>99.81</v>
      </c>
      <c r="M10">
        <v>251.5</v>
      </c>
      <c r="N10">
        <v>27.47</v>
      </c>
      <c r="P10">
        <v>3000</v>
      </c>
      <c r="R10">
        <f t="shared" si="4"/>
        <v>2.653030573318822</v>
      </c>
    </row>
    <row r="11" spans="1:20" x14ac:dyDescent="0.25">
      <c r="A11">
        <v>50</v>
      </c>
      <c r="B11">
        <f t="shared" si="1"/>
        <v>0.87266462599716477</v>
      </c>
      <c r="D11">
        <v>4673.28</v>
      </c>
      <c r="E11">
        <v>36.585700000000003</v>
      </c>
      <c r="F11">
        <f t="shared" si="2"/>
        <v>0.333617233650981</v>
      </c>
      <c r="G11">
        <f t="shared" si="3"/>
        <v>0.28021896979766842</v>
      </c>
      <c r="H11">
        <f t="shared" si="0"/>
        <v>12.208069406454195</v>
      </c>
      <c r="J11">
        <v>1144.28</v>
      </c>
      <c r="K11">
        <v>103.66</v>
      </c>
      <c r="M11">
        <v>286.58</v>
      </c>
      <c r="N11">
        <v>26.3</v>
      </c>
      <c r="P11">
        <v>3500</v>
      </c>
      <c r="R11">
        <f t="shared" si="4"/>
        <v>2.8668840725038938</v>
      </c>
      <c r="T11" t="s">
        <v>9</v>
      </c>
    </row>
    <row r="12" spans="1:20" x14ac:dyDescent="0.25">
      <c r="A12">
        <v>60</v>
      </c>
      <c r="B12">
        <f t="shared" si="1"/>
        <v>1.0471975511965976</v>
      </c>
      <c r="D12">
        <v>4241.0600000000004</v>
      </c>
      <c r="E12">
        <v>39.036900000000003</v>
      </c>
      <c r="F12">
        <f t="shared" si="2"/>
        <v>0.36654006212307016</v>
      </c>
      <c r="G12">
        <f t="shared" si="3"/>
        <v>0.25787393854044227</v>
      </c>
      <c r="H12">
        <f t="shared" si="0"/>
        <v>14.311135793831324</v>
      </c>
      <c r="J12">
        <v>1198.24</v>
      </c>
      <c r="K12">
        <v>154.22</v>
      </c>
      <c r="M12">
        <v>255.43</v>
      </c>
      <c r="N12">
        <v>42.17</v>
      </c>
      <c r="P12">
        <v>4000</v>
      </c>
      <c r="R12">
        <f t="shared" si="4"/>
        <v>2.3412927259547827</v>
      </c>
    </row>
    <row r="13" spans="1:20" x14ac:dyDescent="0.25">
      <c r="A13">
        <v>70</v>
      </c>
      <c r="B13">
        <f t="shared" si="1"/>
        <v>1.2217304763960306</v>
      </c>
      <c r="D13">
        <v>3749.21</v>
      </c>
      <c r="E13">
        <v>31.535699999999999</v>
      </c>
      <c r="F13">
        <f t="shared" si="2"/>
        <v>0.40411998528880649</v>
      </c>
      <c r="G13">
        <f t="shared" si="3"/>
        <v>0.21505417955429024</v>
      </c>
      <c r="H13">
        <f t="shared" si="0"/>
        <v>12.746914676132539</v>
      </c>
      <c r="J13">
        <v>1566.22</v>
      </c>
      <c r="K13">
        <v>166.75</v>
      </c>
      <c r="M13">
        <v>211.51</v>
      </c>
      <c r="N13">
        <v>23.82</v>
      </c>
      <c r="P13">
        <v>6000</v>
      </c>
      <c r="R13">
        <f t="shared" si="4"/>
        <v>1.6893996926660979</v>
      </c>
    </row>
    <row r="14" spans="1:20" x14ac:dyDescent="0.25">
      <c r="A14">
        <v>80</v>
      </c>
      <c r="B14">
        <f t="shared" si="1"/>
        <v>1.3962634015954636</v>
      </c>
      <c r="D14">
        <v>3380.47</v>
      </c>
      <c r="E14">
        <v>12.6167</v>
      </c>
      <c r="F14">
        <f t="shared" si="2"/>
        <v>0.41692348057297268</v>
      </c>
      <c r="G14">
        <f t="shared" si="3"/>
        <v>0.18035069088279143</v>
      </c>
      <c r="H14">
        <f t="shared" si="0"/>
        <v>5.2662225415727733</v>
      </c>
      <c r="J14">
        <v>6711.14</v>
      </c>
      <c r="K14">
        <v>324.25</v>
      </c>
      <c r="M14">
        <v>183.21</v>
      </c>
      <c r="N14">
        <v>9.9700000000000006</v>
      </c>
      <c r="P14">
        <v>20000</v>
      </c>
      <c r="R14">
        <f t="shared" si="4"/>
        <v>1.881115527372369</v>
      </c>
    </row>
    <row r="15" spans="1:20" x14ac:dyDescent="0.25">
      <c r="A15">
        <v>90</v>
      </c>
      <c r="B15">
        <f t="shared" si="1"/>
        <v>1.5707963267948966</v>
      </c>
      <c r="D15">
        <v>3032.55</v>
      </c>
      <c r="E15">
        <v>14.2506</v>
      </c>
      <c r="F15">
        <f t="shared" si="2"/>
        <v>0.38083195244710444</v>
      </c>
      <c r="G15">
        <f t="shared" si="3"/>
        <v>0.14465866488824292</v>
      </c>
      <c r="H15">
        <f t="shared" si="0"/>
        <v>5.431838727408711</v>
      </c>
      <c r="J15">
        <v>5517.34</v>
      </c>
      <c r="K15">
        <v>357.13</v>
      </c>
      <c r="M15">
        <v>156.19</v>
      </c>
      <c r="N15">
        <v>11.28</v>
      </c>
      <c r="P15">
        <v>20000</v>
      </c>
      <c r="R15">
        <f t="shared" si="4"/>
        <v>1.3184175257970636</v>
      </c>
    </row>
    <row r="16" spans="1:20" x14ac:dyDescent="0.25">
      <c r="A16">
        <v>-10</v>
      </c>
      <c r="B16">
        <f t="shared" si="1"/>
        <v>-0.17453292519943295</v>
      </c>
      <c r="D16">
        <v>6674.12</v>
      </c>
      <c r="E16">
        <v>25.226500000000001</v>
      </c>
      <c r="F16">
        <f t="shared" si="2"/>
        <v>0.21745690064627096</v>
      </c>
      <c r="G16">
        <f t="shared" si="3"/>
        <v>-0.1340320431488789</v>
      </c>
      <c r="H16">
        <f t="shared" si="0"/>
        <v>5.4857263822469653</v>
      </c>
      <c r="J16">
        <v>909.64</v>
      </c>
      <c r="K16">
        <v>61.54</v>
      </c>
      <c r="M16">
        <v>240.17</v>
      </c>
      <c r="N16">
        <v>19.440000000000001</v>
      </c>
      <c r="P16">
        <v>2000</v>
      </c>
      <c r="R16">
        <f t="shared" si="4"/>
        <v>3.3423990752253254</v>
      </c>
    </row>
    <row r="17" spans="1:19" x14ac:dyDescent="0.25">
      <c r="A17">
        <v>-20</v>
      </c>
      <c r="B17">
        <f t="shared" si="1"/>
        <v>-0.3490658503988659</v>
      </c>
      <c r="D17">
        <v>6309.97</v>
      </c>
      <c r="E17">
        <v>18.1159</v>
      </c>
      <c r="F17">
        <f t="shared" si="2"/>
        <v>0.23430716622938946</v>
      </c>
      <c r="G17">
        <f t="shared" si="3"/>
        <v>-0.23489997686514733</v>
      </c>
      <c r="H17">
        <f t="shared" si="0"/>
        <v>4.2454770823753014</v>
      </c>
      <c r="J17">
        <v>1385.34</v>
      </c>
      <c r="K17">
        <v>100.92</v>
      </c>
      <c r="M17">
        <v>219.85</v>
      </c>
      <c r="N17">
        <v>17.739999999999998</v>
      </c>
      <c r="P17">
        <v>2000</v>
      </c>
      <c r="R17">
        <f t="shared" si="4"/>
        <v>4.6596450879694302</v>
      </c>
    </row>
    <row r="18" spans="1:19" x14ac:dyDescent="0.25">
      <c r="A18">
        <v>-30</v>
      </c>
      <c r="B18">
        <f t="shared" si="1"/>
        <v>-0.52359877559829882</v>
      </c>
      <c r="D18">
        <v>5817.69</v>
      </c>
      <c r="E18">
        <v>27.087399999999999</v>
      </c>
      <c r="F18">
        <f t="shared" si="2"/>
        <v>0.2597758700818914</v>
      </c>
      <c r="G18">
        <f t="shared" si="3"/>
        <v>-0.28985315279871482</v>
      </c>
      <c r="H18">
        <f t="shared" si="0"/>
        <v>7.0382893680995604</v>
      </c>
      <c r="J18">
        <v>1211.17</v>
      </c>
      <c r="K18">
        <v>105.08</v>
      </c>
      <c r="M18">
        <v>278.07</v>
      </c>
      <c r="N18">
        <v>29.03</v>
      </c>
      <c r="P18">
        <v>2600</v>
      </c>
      <c r="R18">
        <f t="shared" si="4"/>
        <v>3.9635640852271412</v>
      </c>
    </row>
    <row r="22" spans="1:19" x14ac:dyDescent="0.25">
      <c r="I22" t="s">
        <v>23</v>
      </c>
      <c r="K22" t="s">
        <v>24</v>
      </c>
      <c r="L22" t="s">
        <v>22</v>
      </c>
    </row>
    <row r="23" spans="1:19" x14ac:dyDescent="0.25">
      <c r="I23">
        <v>10469.5</v>
      </c>
      <c r="K23">
        <f>2.7*(6.022E+23)*13/27</f>
        <v>7.8286000000000012E+23</v>
      </c>
      <c r="L23">
        <f>4*PI()*(4/(36))^2</f>
        <v>0.15514037795505151</v>
      </c>
    </row>
    <row r="24" spans="1:19" x14ac:dyDescent="0.25">
      <c r="D24" t="s">
        <v>0</v>
      </c>
      <c r="E24" t="s">
        <v>4</v>
      </c>
      <c r="F24" t="s">
        <v>5</v>
      </c>
      <c r="H24" t="s">
        <v>21</v>
      </c>
      <c r="I24" t="s">
        <v>28</v>
      </c>
      <c r="J24" t="s">
        <v>25</v>
      </c>
      <c r="K24" t="s">
        <v>27</v>
      </c>
      <c r="L24" t="s">
        <v>32</v>
      </c>
      <c r="Q24" t="s">
        <v>29</v>
      </c>
    </row>
    <row r="25" spans="1:19" x14ac:dyDescent="0.25">
      <c r="D25">
        <v>10</v>
      </c>
      <c r="E25">
        <f>0.0000978*(D7)-0.0247</f>
        <v>0.62674482200000003</v>
      </c>
      <c r="F25">
        <f>0.0000978*(E7)</f>
        <v>8.4026336999999999E-4</v>
      </c>
      <c r="H25">
        <v>0.42120000000000002</v>
      </c>
      <c r="I25">
        <f>(1/$L$23)*R7/($K$23*$I$23*H25*Table4[[#This Row],[Energy]])</f>
        <v>1.4904080857349508E-26</v>
      </c>
      <c r="J25">
        <f>I25/(1E-26)</f>
        <v>1.4904080857349506</v>
      </c>
      <c r="K25">
        <f>SQRT(((I25*Table4[[#This Row],[Energy]])*M7)^2/(Table4[[#This Row],[Energy]]^4))/1E-25</f>
        <v>51.22718187036304</v>
      </c>
      <c r="L25">
        <f>SQRT((R7^2*H25^4*Table4[[#This Row],[EnergyErr]]^2+Table4[[#This Row],[Energy]]^2*(H25^4*Q26+R7^2*Table4[[#This Row],[EnergyErr]]^2*H25^2*0.2^2))/($L$23^2*Table4[[#This Row],[Energy]]^4*H25^4*$I$23^2*$K$23^2*H25^2))/1E-26</f>
        <v>0.13864361043291312</v>
      </c>
      <c r="Q25" t="s">
        <v>30</v>
      </c>
      <c r="R25" t="s">
        <v>33</v>
      </c>
      <c r="S25" t="s">
        <v>34</v>
      </c>
    </row>
    <row r="26" spans="1:19" x14ac:dyDescent="0.25">
      <c r="D26">
        <v>20</v>
      </c>
      <c r="E26">
        <f>0.0000978*(D8)-0.0247</f>
        <v>0.59436813200000005</v>
      </c>
      <c r="F26">
        <f t="shared" ref="F26:F36" si="5">0.0000978*(E8)</f>
        <v>2.1080203200000004E-3</v>
      </c>
      <c r="H26">
        <v>0.43380000000000002</v>
      </c>
      <c r="I26">
        <f>(1/$L$23)*R8/($K$23*$I$23*H26*Table4[[#This Row],[Energy]])</f>
        <v>1.4629681321542212E-26</v>
      </c>
      <c r="J26">
        <f t="shared" ref="J26:J36" si="6">I26/(1E-26)</f>
        <v>1.4629681321542212</v>
      </c>
      <c r="K26">
        <f>SQRT(((I26*Table4[[#This Row],[Energy]])*M8)^2/(Table4[[#This Row],[Energy]]^4))/1E-25</f>
        <v>61.236769268553026</v>
      </c>
      <c r="L26">
        <f>SQRT((R8^2*H26^4*Table4[[#This Row],[EnergyErr]]^2+Table4[[#This Row],[Energy]]^2*(H26^4*Q27+R8^2*Table4[[#This Row],[EnergyErr]]^2*H26^2*0.2^2))/($L$23^2*Table4[[#This Row],[Energy]]^4*H26^4*$I$23^2*$K$23^2*H26^2))/1E-26</f>
        <v>0.22296588944999363</v>
      </c>
      <c r="Q26">
        <f>25*SQRT(PI()/2)*SQRT((M7^2*K7^2+J7^2*N7^2)/P7^2)/1024</f>
        <v>0.21653570808358094</v>
      </c>
      <c r="R26">
        <f>100*(SQRT(Q26/($L$23*E25^2*$I$23^2*$K$23^2*H25^2))/1E-26)/L25</f>
        <v>39.383410159699096</v>
      </c>
      <c r="S26">
        <f>100-R26</f>
        <v>60.616589840300904</v>
      </c>
    </row>
    <row r="27" spans="1:19" x14ac:dyDescent="0.25">
      <c r="D27">
        <v>30</v>
      </c>
      <c r="E27">
        <f t="shared" ref="E27:E36" si="7">0.0000978*(D9)-0.0247</f>
        <v>0.53855073800000008</v>
      </c>
      <c r="F27">
        <f t="shared" si="5"/>
        <v>3.2218547400000002E-3</v>
      </c>
      <c r="H27">
        <v>0.48780000000000001</v>
      </c>
      <c r="I27">
        <f>(1/$L$23)*R9/($K$23*$I$23*H27*Table4[[#This Row],[Energy]])</f>
        <v>1.2591806800389616E-26</v>
      </c>
      <c r="J27">
        <f t="shared" si="6"/>
        <v>1.2591806800389616</v>
      </c>
      <c r="K27">
        <f>SQRT(((I27*Table4[[#This Row],[Energy]])*M9)^2/(Table4[[#This Row],[Energy]]^4))/1E-25</f>
        <v>76.097850585858964</v>
      </c>
      <c r="L27">
        <f>SQRT((R9^2*H27^4*Table4[[#This Row],[EnergyErr]]^2+Table4[[#This Row],[Energy]]^2*(H27^4*Q28+R9^2*Table4[[#This Row],[EnergyErr]]^2*H27^2*0.2^2))/($L$23^2*Table4[[#This Row],[Energy]]^4*H27^4*$I$23^2*$K$23^2*H27^2))/1E-26</f>
        <v>0.19706271721777735</v>
      </c>
      <c r="Q27">
        <f t="shared" ref="Q27:Q36" si="8">25*SQRT(PI()/2)*SQRT((M8^2*K8^2+J8^2*N8^2)/P8^2)/1024</f>
        <v>0.53405236070317597</v>
      </c>
      <c r="R27">
        <f t="shared" ref="R27:R37" si="9">100*(SQRT(Q27/($L$23*E26^2*$I$23^2*$K$23^2*H26^2))/1E-26)/L26</f>
        <v>39.376395751965006</v>
      </c>
      <c r="S27">
        <f t="shared" ref="S27:S37" si="10">100-R27</f>
        <v>60.623604248034994</v>
      </c>
    </row>
    <row r="28" spans="1:19" x14ac:dyDescent="0.25">
      <c r="D28">
        <v>40</v>
      </c>
      <c r="E28">
        <f t="shared" si="7"/>
        <v>0.47844285800000003</v>
      </c>
      <c r="F28">
        <f t="shared" si="5"/>
        <v>3.3322807200000006E-3</v>
      </c>
      <c r="H28">
        <v>0.53190000000000004</v>
      </c>
      <c r="I28">
        <f>(1/$L$23)*R10/($K$23*$I$23*H28*Table4[[#This Row],[Energy]])</f>
        <v>8.1987434812620344E-27</v>
      </c>
      <c r="J28">
        <f t="shared" si="6"/>
        <v>0.81987434812620341</v>
      </c>
      <c r="K28">
        <f>SQRT(((I28*Table4[[#This Row],[Energy]])*M10)^2/(Table4[[#This Row],[Energy]]^4))/1E-25</f>
        <v>43.097810972807984</v>
      </c>
      <c r="L28">
        <f>SQRT((R10^2*H28^4*Table4[[#This Row],[EnergyErr]]^2+Table4[[#This Row],[Energy]]^2*(H28^4*Q29+R10^2*Table4[[#This Row],[EnergyErr]]^2*H28^2*0.2^2))/($L$23^2*Table4[[#This Row],[Energy]]^4*H28^4*$I$23^2*$K$23^2*H28^2))/1E-26</f>
        <v>0.19225556943928462</v>
      </c>
      <c r="Q28">
        <f t="shared" si="8"/>
        <v>0.43266273313983716</v>
      </c>
      <c r="R28">
        <f t="shared" si="9"/>
        <v>39.357670839589197</v>
      </c>
      <c r="S28">
        <f t="shared" si="10"/>
        <v>60.642329160410803</v>
      </c>
    </row>
    <row r="29" spans="1:19" x14ac:dyDescent="0.25">
      <c r="D29">
        <v>50</v>
      </c>
      <c r="E29">
        <f t="shared" si="7"/>
        <v>0.43234678399999998</v>
      </c>
      <c r="F29">
        <f t="shared" si="5"/>
        <v>3.5780814600000006E-3</v>
      </c>
      <c r="H29">
        <v>0.58679999999999999</v>
      </c>
      <c r="I29">
        <f>(1/$L$23)*R11/($K$23*$I$23*H29*Table4[[#This Row],[Energy]])</f>
        <v>8.8869534221060507E-27</v>
      </c>
      <c r="J29">
        <f t="shared" si="6"/>
        <v>0.88869534221060509</v>
      </c>
      <c r="K29">
        <f>SQRT(((I29*Table4[[#This Row],[Energy]])*M11)^2/(Table4[[#This Row],[Energy]]^4))/1E-25</f>
        <v>58.906951686892896</v>
      </c>
      <c r="L29">
        <f>SQRT((R11^2*H29^4*Table4[[#This Row],[EnergyErr]]^2+Table4[[#This Row],[Energy]]^2*(H29^4*Q30+R11^2*Table4[[#This Row],[EnergyErr]]^2*H29^2*0.2^2))/($L$23^2*Table4[[#This Row],[Energy]]^4*H29^4*$I$23^2*$K$23^2*H29^2))/1E-26</f>
        <v>0.1886249881086236</v>
      </c>
      <c r="Q29">
        <f t="shared" si="8"/>
        <v>0.38668031517233775</v>
      </c>
      <c r="R29">
        <f t="shared" si="9"/>
        <v>39.369923294033882</v>
      </c>
      <c r="S29">
        <f t="shared" si="10"/>
        <v>60.630076705966118</v>
      </c>
    </row>
    <row r="30" spans="1:19" x14ac:dyDescent="0.25">
      <c r="D30">
        <v>60</v>
      </c>
      <c r="E30">
        <f t="shared" si="7"/>
        <v>0.39007566800000004</v>
      </c>
      <c r="F30">
        <f t="shared" si="5"/>
        <v>3.8178088200000004E-3</v>
      </c>
      <c r="H30">
        <v>0.60929999999999995</v>
      </c>
      <c r="I30">
        <f>(1/$L$23)*R12/($K$23*$I$23*H30*Table4[[#This Row],[Energy]])</f>
        <v>7.747128988462634E-27</v>
      </c>
      <c r="J30">
        <f t="shared" si="6"/>
        <v>0.77471289884626338</v>
      </c>
      <c r="K30">
        <f>SQRT(((I30*Table4[[#This Row],[Energy]])*M12)^2/(Table4[[#This Row],[Energy]]^4))/1E-25</f>
        <v>50.729879350562577</v>
      </c>
      <c r="L30">
        <f>SQRT((R12^2*H30^4*Table4[[#This Row],[EnergyErr]]^2+Table4[[#This Row],[Energy]]^2*(H30^4*Q31+R12^2*Table4[[#This Row],[EnergyErr]]^2*H30^2*0.2^2))/($L$23^2*Table4[[#This Row],[Energy]]^4*H30^4*$I$23^2*$K$23^2*H30^2))/1E-26</f>
        <v>0.23177695429664308</v>
      </c>
      <c r="Q30">
        <f t="shared" si="8"/>
        <v>0.36969005290028328</v>
      </c>
      <c r="R30">
        <f t="shared" si="9"/>
        <v>39.357259652027373</v>
      </c>
      <c r="S30">
        <f t="shared" si="10"/>
        <v>60.642740347972627</v>
      </c>
    </row>
    <row r="31" spans="1:19" x14ac:dyDescent="0.25">
      <c r="D31">
        <v>70</v>
      </c>
      <c r="E31">
        <f t="shared" si="7"/>
        <v>0.341972738</v>
      </c>
      <c r="F31">
        <f t="shared" si="5"/>
        <v>3.0841914599999999E-3</v>
      </c>
      <c r="H31">
        <v>0.66239999999999999</v>
      </c>
      <c r="I31">
        <f>(1/$L$23)*R13/($K$23*$I$23*H31*Table4[[#This Row],[Energy]])</f>
        <v>5.8652389723283869E-27</v>
      </c>
      <c r="J31">
        <f t="shared" si="6"/>
        <v>0.58652389723283871</v>
      </c>
      <c r="K31">
        <f>SQRT(((I31*Table4[[#This Row],[Energy]])*M13)^2/(Table4[[#This Row],[Energy]]^4))/1E-25</f>
        <v>36.276479297515728</v>
      </c>
      <c r="L31">
        <f>SQRT((R13^2*H31^4*Table4[[#This Row],[EnergyErr]]^2+Table4[[#This Row],[Energy]]^2*(H31^4*Q32+R13^2*Table4[[#This Row],[EnergyErr]]^2*H31^2*0.2^2))/($L$23^2*Table4[[#This Row],[Energy]]^4*H31^4*$I$23^2*$K$23^2*H31^2))/1E-26</f>
        <v>0.17772508403410603</v>
      </c>
      <c r="Q31">
        <f t="shared" si="8"/>
        <v>0.49011466198983411</v>
      </c>
      <c r="R31">
        <f t="shared" si="9"/>
        <v>39.366435210210497</v>
      </c>
      <c r="S31">
        <f t="shared" si="10"/>
        <v>60.633564789789503</v>
      </c>
    </row>
    <row r="32" spans="1:19" x14ac:dyDescent="0.25">
      <c r="D32">
        <v>80</v>
      </c>
      <c r="E32">
        <f t="shared" si="7"/>
        <v>0.30590996599999998</v>
      </c>
      <c r="F32">
        <f t="shared" si="5"/>
        <v>1.2339132600000002E-3</v>
      </c>
      <c r="H32">
        <v>0.73260000000000003</v>
      </c>
      <c r="I32">
        <f>(1/$L$23)*R14/($K$23*$I$23*H32*Table4[[#This Row],[Energy]])</f>
        <v>6.6011566398001589E-27</v>
      </c>
      <c r="J32">
        <f t="shared" si="6"/>
        <v>0.66011566398001587</v>
      </c>
      <c r="K32">
        <f>SQRT(((I32*Table4[[#This Row],[Energy]])*M14)^2/(Table4[[#This Row],[Energy]]^4))/1E-25</f>
        <v>39.534439619328623</v>
      </c>
      <c r="L32">
        <f>SQRT((R14^2*H32^4*Table4[[#This Row],[EnergyErr]]^2+Table4[[#This Row],[Energy]]^2*(H32^4*Q33+R14^2*Table4[[#This Row],[EnergyErr]]^2*H32^2*0.2^2))/($L$23^2*Table4[[#This Row],[Energy]]^4*H32^4*$I$23^2*$K$23^2*H32^2))/1E-26</f>
        <v>0.12986303721844897</v>
      </c>
      <c r="Q32">
        <f t="shared" si="8"/>
        <v>0.26181941453164514</v>
      </c>
      <c r="R32">
        <f t="shared" si="9"/>
        <v>39.370226996614868</v>
      </c>
      <c r="S32">
        <f t="shared" si="10"/>
        <v>60.629773003385132</v>
      </c>
    </row>
    <row r="33" spans="4:19" x14ac:dyDescent="0.25">
      <c r="D33">
        <v>90</v>
      </c>
      <c r="E33">
        <f t="shared" si="7"/>
        <v>0.27188339000000006</v>
      </c>
      <c r="F33">
        <f t="shared" si="5"/>
        <v>1.3937086800000001E-3</v>
      </c>
      <c r="H33">
        <v>0.76590000000000003</v>
      </c>
      <c r="I33">
        <f>(1/$L$23)*R15/($K$23*$I$23*H33*Table4[[#This Row],[Energy]])</f>
        <v>4.9792431180001565E-27</v>
      </c>
      <c r="J33">
        <f t="shared" si="6"/>
        <v>0.49792431180001562</v>
      </c>
      <c r="K33">
        <f>SQRT(((I33*Table4[[#This Row],[Energy]])*M15)^2/(Table4[[#This Row],[Energy]]^4))/1E-25</f>
        <v>28.604468356836524</v>
      </c>
      <c r="L33">
        <f>SQRT((R15^2*H33^4*Table4[[#This Row],[EnergyErr]]^2+Table4[[#This Row],[Energy]]^2*(H33^4*Q34+R15^2*Table4[[#This Row],[EnergyErr]]^2*H33^2*0.2^2))/($L$23^2*Table4[[#This Row],[Energy]]^4*H33^4*$I$23^2*$K$23^2*H33^2))/1E-26</f>
        <v>0.13507038428660223</v>
      </c>
      <c r="Q33">
        <f t="shared" si="8"/>
        <v>0.13689200576453134</v>
      </c>
      <c r="R33">
        <f t="shared" si="9"/>
        <v>39.379525623080269</v>
      </c>
      <c r="S33">
        <f t="shared" si="10"/>
        <v>60.620474376919731</v>
      </c>
    </row>
    <row r="34" spans="4:19" x14ac:dyDescent="0.25">
      <c r="D34">
        <v>-10</v>
      </c>
      <c r="E34">
        <f t="shared" si="7"/>
        <v>0.62802893599999998</v>
      </c>
      <c r="F34">
        <f t="shared" si="5"/>
        <v>2.4671517000000001E-3</v>
      </c>
      <c r="H34">
        <v>0.42120000000000002</v>
      </c>
      <c r="I34">
        <f>(1/$L$23)*R16/($K$23*$I$23*H34*Table4[[#This Row],[Energy]])</f>
        <v>9.9370024313418643E-27</v>
      </c>
      <c r="J34">
        <f t="shared" si="6"/>
        <v>0.99370024313418637</v>
      </c>
      <c r="K34">
        <f>SQRT(((I34*Table4[[#This Row],[Energy]])*M16)^2/(Table4[[#This Row],[Energy]]^4))/1E-25</f>
        <v>38.000954050553098</v>
      </c>
      <c r="L34">
        <f>SQRT((R16^2*H34^4*Table4[[#This Row],[EnergyErr]]^2+Table4[[#This Row],[Energy]]^2*(H34^4*Q35+R16^2*Table4[[#This Row],[EnergyErr]]^2*H34^2*0.2^2))/($L$23^2*Table4[[#This Row],[Energy]]^4*H34^4*$I$23^2*$K$23^2*H34^2))/1E-26</f>
        <v>0.17658449624656516</v>
      </c>
      <c r="Q34">
        <f t="shared" si="8"/>
        <v>0.12786263431138362</v>
      </c>
      <c r="R34">
        <f t="shared" si="9"/>
        <v>39.380794645334262</v>
      </c>
      <c r="S34">
        <f t="shared" si="10"/>
        <v>60.619205354665738</v>
      </c>
    </row>
    <row r="35" spans="4:19" x14ac:dyDescent="0.25">
      <c r="D35">
        <v>-20</v>
      </c>
      <c r="E35">
        <f t="shared" si="7"/>
        <v>0.59241506600000005</v>
      </c>
      <c r="F35">
        <f t="shared" si="5"/>
        <v>1.7717350200000001E-3</v>
      </c>
      <c r="H35">
        <v>0.43380000000000002</v>
      </c>
      <c r="I35">
        <f>(1/$L$23)*R17/($K$23*$I$23*H35*Table4[[#This Row],[Energy]])</f>
        <v>1.4259434632891927E-26</v>
      </c>
      <c r="J35">
        <f t="shared" si="6"/>
        <v>1.4259434632891927</v>
      </c>
      <c r="K35">
        <f>SQRT(((I35*Table4[[#This Row],[Energy]])*M17)^2/(Table4[[#This Row],[Energy]]^4))/1E-25</f>
        <v>52.917909823064647</v>
      </c>
      <c r="L35">
        <f>SQRT((R17^2*H35^4*Table4[[#This Row],[EnergyErr]]^2+Table4[[#This Row],[Energy]]^2*(H35^4*Q36+R17^2*Table4[[#This Row],[EnergyErr]]^2*H35^2*0.2^2))/($L$23^2*Table4[[#This Row],[Energy]]^4*H35^4*$I$23^2*$K$23^2*H35^2))/1E-26</f>
        <v>0.21784691183748625</v>
      </c>
      <c r="Q35">
        <f t="shared" si="8"/>
        <v>0.35259794849095966</v>
      </c>
      <c r="R35">
        <f t="shared" si="9"/>
        <v>39.377381749086815</v>
      </c>
      <c r="S35">
        <f t="shared" si="10"/>
        <v>60.622618250913185</v>
      </c>
    </row>
    <row r="36" spans="4:19" x14ac:dyDescent="0.25">
      <c r="D36">
        <v>-30</v>
      </c>
      <c r="E36">
        <f t="shared" si="7"/>
        <v>0.54427008199999993</v>
      </c>
      <c r="F36">
        <f t="shared" si="5"/>
        <v>2.6491477199999999E-3</v>
      </c>
      <c r="H36">
        <v>0.46079999999999999</v>
      </c>
      <c r="I36">
        <f>(1/$L$23)*R18/($K$23*$I$23*H36*Table4[[#This Row],[Energy]])</f>
        <v>1.2428652972659407E-26</v>
      </c>
      <c r="J36">
        <f t="shared" si="6"/>
        <v>1.2428652972659406</v>
      </c>
      <c r="K36">
        <f>SQRT(((I36*Table4[[#This Row],[Energy]])*M18)^2/(Table4[[#This Row],[Energy]]^4))/1E-25</f>
        <v>63.498539537717996</v>
      </c>
      <c r="L36">
        <f>SQRT((R18^2*H36^4*Table4[[#This Row],[EnergyErr]]^2+Table4[[#This Row],[Energy]]^2*(H36^4*Q37+R18^2*Table4[[#This Row],[EnergyErr]]^2*H36^2*0.2^2))/($L$23^2*Table4[[#This Row],[Energy]]^4*H36^4*$I$23^2*$K$23^2*H36^2))/1E-26</f>
        <v>0.23009019627604299</v>
      </c>
      <c r="Q36">
        <f t="shared" si="8"/>
        <v>0.50655312385973605</v>
      </c>
      <c r="R36">
        <f t="shared" si="9"/>
        <v>39.379752422023998</v>
      </c>
      <c r="S36">
        <f t="shared" si="10"/>
        <v>60.620247577976002</v>
      </c>
    </row>
    <row r="37" spans="4:19" x14ac:dyDescent="0.25">
      <c r="Q37">
        <f t="shared" ref="Q37" si="11">25*SQRT(PI()/2)*SQRT((M18^2*K18^2+J18^2*N18^2)/P18^2)/1024</f>
        <v>0.53802542544405896</v>
      </c>
      <c r="R37">
        <f t="shared" si="9"/>
        <v>39.373487612387983</v>
      </c>
      <c r="S37">
        <f t="shared" si="10"/>
        <v>60.626512387612017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 lab user</dc:creator>
  <cp:lastModifiedBy>Alex Migala</cp:lastModifiedBy>
  <dcterms:created xsi:type="dcterms:W3CDTF">2023-11-30T20:14:41Z</dcterms:created>
  <dcterms:modified xsi:type="dcterms:W3CDTF">2023-12-15T22:32:38Z</dcterms:modified>
</cp:coreProperties>
</file>