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5480" windowHeight="11640"/>
  </bookViews>
  <sheets>
    <sheet name="Gruppenphase" sheetId="1" r:id="rId1"/>
    <sheet name="KO-Phase" sheetId="2" r:id="rId2"/>
    <sheet name="Berechnungen" sheetId="3" r:id="rId3"/>
    <sheet name="Text" sheetId="4" r:id="rId4"/>
  </sheets>
  <calcPr calcId="125725"/>
</workbook>
</file>

<file path=xl/calcChain.xml><?xml version="1.0" encoding="utf-8"?>
<calcChain xmlns="http://schemas.openxmlformats.org/spreadsheetml/2006/main">
  <c r="E36" i="2"/>
  <c r="I25" l="1"/>
  <c r="L76" i="1"/>
  <c r="K75"/>
  <c r="K74"/>
  <c r="K73"/>
  <c r="K72"/>
  <c r="K65"/>
  <c r="K64"/>
  <c r="K56"/>
  <c r="K55"/>
  <c r="K48"/>
  <c r="K47"/>
  <c r="K46"/>
  <c r="K45"/>
  <c r="K39"/>
  <c r="K38"/>
  <c r="K37"/>
  <c r="K36"/>
  <c r="K30"/>
  <c r="K29"/>
  <c r="K28"/>
  <c r="K27"/>
  <c r="R61" i="3"/>
  <c r="Q61"/>
  <c r="P61"/>
  <c r="N63"/>
  <c r="N64"/>
  <c r="N65"/>
  <c r="N62"/>
  <c r="O61"/>
  <c r="K61"/>
  <c r="J61"/>
  <c r="I61"/>
  <c r="H61"/>
  <c r="G63"/>
  <c r="G64"/>
  <c r="G65"/>
  <c r="G62"/>
  <c r="H65"/>
  <c r="I64"/>
  <c r="P64" s="1"/>
  <c r="J63"/>
  <c r="Q63" s="1"/>
  <c r="K62"/>
  <c r="D64"/>
  <c r="C64"/>
  <c r="K63" s="1"/>
  <c r="R63" s="1"/>
  <c r="B64"/>
  <c r="I65" s="1"/>
  <c r="D63"/>
  <c r="C63"/>
  <c r="H64" s="1"/>
  <c r="B63"/>
  <c r="J62" s="1"/>
  <c r="A63"/>
  <c r="C62"/>
  <c r="J65" s="1"/>
  <c r="Q65" s="1"/>
  <c r="B62"/>
  <c r="K64" s="1"/>
  <c r="A62"/>
  <c r="D61"/>
  <c r="C61"/>
  <c r="H63" s="1"/>
  <c r="B61"/>
  <c r="I62" s="1"/>
  <c r="A61"/>
  <c r="L75" i="1"/>
  <c r="L48"/>
  <c r="L39"/>
  <c r="L71"/>
  <c r="L44"/>
  <c r="L49" s="1"/>
  <c r="L35"/>
  <c r="L40" s="1"/>
  <c r="L26"/>
  <c r="L31" s="1"/>
  <c r="B22"/>
  <c r="C22"/>
  <c r="D22"/>
  <c r="E22"/>
  <c r="G22"/>
  <c r="B26"/>
  <c r="C26"/>
  <c r="D26"/>
  <c r="E26"/>
  <c r="G26"/>
  <c r="B27"/>
  <c r="C27"/>
  <c r="D27"/>
  <c r="E27"/>
  <c r="G27"/>
  <c r="B28"/>
  <c r="C28"/>
  <c r="D28"/>
  <c r="E28"/>
  <c r="G28"/>
  <c r="B29"/>
  <c r="C29"/>
  <c r="D29"/>
  <c r="E29"/>
  <c r="G29"/>
  <c r="R53" i="3"/>
  <c r="Q53"/>
  <c r="P53"/>
  <c r="O53"/>
  <c r="N55"/>
  <c r="N56"/>
  <c r="N57"/>
  <c r="N54"/>
  <c r="K53"/>
  <c r="J53"/>
  <c r="I53"/>
  <c r="H53"/>
  <c r="G57"/>
  <c r="G56"/>
  <c r="G55"/>
  <c r="G54"/>
  <c r="I56"/>
  <c r="P56" s="1"/>
  <c r="J55"/>
  <c r="Q55" s="1"/>
  <c r="D57"/>
  <c r="C57"/>
  <c r="K54" s="1"/>
  <c r="B57"/>
  <c r="H57" s="1"/>
  <c r="A57"/>
  <c r="D56"/>
  <c r="C56"/>
  <c r="K55" s="1"/>
  <c r="B56"/>
  <c r="I57" s="1"/>
  <c r="A56"/>
  <c r="D55"/>
  <c r="C55"/>
  <c r="H56" s="1"/>
  <c r="B55"/>
  <c r="J54" s="1"/>
  <c r="A55"/>
  <c r="D54"/>
  <c r="C54"/>
  <c r="J57" s="1"/>
  <c r="B54"/>
  <c r="K56" s="1"/>
  <c r="A54"/>
  <c r="D53"/>
  <c r="C53"/>
  <c r="H55" s="1"/>
  <c r="B53"/>
  <c r="I54" s="1"/>
  <c r="A53"/>
  <c r="R56" l="1"/>
  <c r="P57"/>
  <c r="Z55"/>
  <c r="Q57"/>
  <c r="R55"/>
  <c r="O64"/>
  <c r="Y64"/>
  <c r="AT64" s="1"/>
  <c r="W65"/>
  <c r="W62"/>
  <c r="O63"/>
  <c r="X63" s="1"/>
  <c r="Z62"/>
  <c r="Y63"/>
  <c r="W56"/>
  <c r="Q54"/>
  <c r="Y54"/>
  <c r="AT54" s="1"/>
  <c r="Z56"/>
  <c r="W57"/>
  <c r="O57"/>
  <c r="Y57"/>
  <c r="AT57" s="1"/>
  <c r="W54"/>
  <c r="Z54"/>
  <c r="O55"/>
  <c r="Y55"/>
  <c r="AT55" s="1"/>
  <c r="Y56"/>
  <c r="AT56" s="1"/>
  <c r="O56"/>
  <c r="X56" s="1"/>
  <c r="Z57"/>
  <c r="R54"/>
  <c r="R64"/>
  <c r="W64"/>
  <c r="Z64"/>
  <c r="Q62"/>
  <c r="P65"/>
  <c r="W63"/>
  <c r="Y65"/>
  <c r="W55"/>
  <c r="P62"/>
  <c r="O65"/>
  <c r="Y62"/>
  <c r="R62"/>
  <c r="Z63"/>
  <c r="Z65"/>
  <c r="P54"/>
  <c r="AA56"/>
  <c r="R45"/>
  <c r="Q45"/>
  <c r="P45"/>
  <c r="O45"/>
  <c r="N47"/>
  <c r="N48"/>
  <c r="N49"/>
  <c r="N46"/>
  <c r="K45"/>
  <c r="J45"/>
  <c r="I45"/>
  <c r="H45"/>
  <c r="G47"/>
  <c r="G48"/>
  <c r="G49"/>
  <c r="G46"/>
  <c r="B46"/>
  <c r="K48" s="1"/>
  <c r="B47"/>
  <c r="J46" s="1"/>
  <c r="B48"/>
  <c r="I49" s="1"/>
  <c r="B49"/>
  <c r="H49" s="1"/>
  <c r="B50"/>
  <c r="J47" s="1"/>
  <c r="C46"/>
  <c r="J49" s="1"/>
  <c r="C47"/>
  <c r="H48" s="1"/>
  <c r="C48"/>
  <c r="K47" s="1"/>
  <c r="C49"/>
  <c r="K46" s="1"/>
  <c r="C50"/>
  <c r="I48" s="1"/>
  <c r="D46"/>
  <c r="D47"/>
  <c r="D48"/>
  <c r="D49"/>
  <c r="D50"/>
  <c r="D45"/>
  <c r="C45"/>
  <c r="H47" s="1"/>
  <c r="B45"/>
  <c r="I46" s="1"/>
  <c r="A46"/>
  <c r="A47"/>
  <c r="A48"/>
  <c r="A49"/>
  <c r="A50"/>
  <c r="A45"/>
  <c r="R37"/>
  <c r="Q37"/>
  <c r="P37"/>
  <c r="O37"/>
  <c r="N39"/>
  <c r="N40"/>
  <c r="N41"/>
  <c r="N38"/>
  <c r="O29"/>
  <c r="P29"/>
  <c r="Q29"/>
  <c r="R29"/>
  <c r="N30"/>
  <c r="N31"/>
  <c r="N32"/>
  <c r="N33"/>
  <c r="G41"/>
  <c r="G40"/>
  <c r="G39"/>
  <c r="G38"/>
  <c r="K37"/>
  <c r="J37"/>
  <c r="I37"/>
  <c r="H37"/>
  <c r="B39"/>
  <c r="J38" s="1"/>
  <c r="C39"/>
  <c r="H40" s="1"/>
  <c r="B40"/>
  <c r="I41" s="1"/>
  <c r="C40"/>
  <c r="K39" s="1"/>
  <c r="B41"/>
  <c r="H41" s="1"/>
  <c r="C41"/>
  <c r="K38" s="1"/>
  <c r="B42"/>
  <c r="J39" s="1"/>
  <c r="C42"/>
  <c r="I40" s="1"/>
  <c r="B38"/>
  <c r="K40" s="1"/>
  <c r="C38"/>
  <c r="J41" s="1"/>
  <c r="C37"/>
  <c r="H39" s="1"/>
  <c r="B37"/>
  <c r="I38" s="1"/>
  <c r="A42"/>
  <c r="D42"/>
  <c r="D41"/>
  <c r="A41"/>
  <c r="D40"/>
  <c r="A40"/>
  <c r="D39"/>
  <c r="A39"/>
  <c r="D38"/>
  <c r="A38"/>
  <c r="D37"/>
  <c r="A37"/>
  <c r="X65" l="1"/>
  <c r="AG56"/>
  <c r="X57"/>
  <c r="P40"/>
  <c r="Z40"/>
  <c r="X55"/>
  <c r="R40"/>
  <c r="Q39"/>
  <c r="R47"/>
  <c r="AA64"/>
  <c r="AA54"/>
  <c r="P48"/>
  <c r="Q49"/>
  <c r="AA55"/>
  <c r="X62"/>
  <c r="Z38"/>
  <c r="O39"/>
  <c r="Y39"/>
  <c r="W38"/>
  <c r="Y41"/>
  <c r="AT41" s="1"/>
  <c r="O41"/>
  <c r="O49"/>
  <c r="Y49"/>
  <c r="W47"/>
  <c r="P49"/>
  <c r="Z39"/>
  <c r="Y38"/>
  <c r="W39"/>
  <c r="P38"/>
  <c r="R39"/>
  <c r="P41"/>
  <c r="Q47"/>
  <c r="Q46"/>
  <c r="W48"/>
  <c r="Z48"/>
  <c r="Y48"/>
  <c r="Q41"/>
  <c r="R38"/>
  <c r="W41"/>
  <c r="Z41"/>
  <c r="AA41" s="1"/>
  <c r="Y40"/>
  <c r="O40"/>
  <c r="X40" s="1"/>
  <c r="W46"/>
  <c r="Z46"/>
  <c r="O47"/>
  <c r="X47" s="1"/>
  <c r="Y47"/>
  <c r="W49"/>
  <c r="Z49"/>
  <c r="R46"/>
  <c r="R48"/>
  <c r="W40"/>
  <c r="O48"/>
  <c r="Y46"/>
  <c r="W58"/>
  <c r="W66"/>
  <c r="Q38"/>
  <c r="Z47"/>
  <c r="AA63"/>
  <c r="AT63"/>
  <c r="P46"/>
  <c r="AA57"/>
  <c r="AG57" s="1"/>
  <c r="AA62"/>
  <c r="AG62" s="1"/>
  <c r="AT62"/>
  <c r="AA65"/>
  <c r="AG65" s="1"/>
  <c r="AT65"/>
  <c r="X54"/>
  <c r="AG54" s="1"/>
  <c r="AG63"/>
  <c r="X64"/>
  <c r="K20" i="1"/>
  <c r="K19"/>
  <c r="L30"/>
  <c r="AG55" i="3" l="1"/>
  <c r="AH56"/>
  <c r="AI56" s="1"/>
  <c r="AL56" s="1"/>
  <c r="AM56" s="1"/>
  <c r="AN56" s="1"/>
  <c r="AH54"/>
  <c r="AH57"/>
  <c r="AI57" s="1"/>
  <c r="AL57" s="1"/>
  <c r="AM57" s="1"/>
  <c r="AN57" s="1"/>
  <c r="X39"/>
  <c r="AH55"/>
  <c r="AI55" s="1"/>
  <c r="AL55" s="1"/>
  <c r="AM55" s="1"/>
  <c r="AN55" s="1"/>
  <c r="W50"/>
  <c r="AA38"/>
  <c r="AT38"/>
  <c r="AT49"/>
  <c r="AA49"/>
  <c r="W42"/>
  <c r="X46"/>
  <c r="AA47"/>
  <c r="AG47" s="1"/>
  <c r="AT47"/>
  <c r="X49"/>
  <c r="AA39"/>
  <c r="AG39" s="1"/>
  <c r="AT39"/>
  <c r="AA46"/>
  <c r="AT46"/>
  <c r="AT40"/>
  <c r="AA40"/>
  <c r="AG40" s="1"/>
  <c r="X38"/>
  <c r="X41"/>
  <c r="AG41" s="1"/>
  <c r="AG64"/>
  <c r="X48"/>
  <c r="AA48"/>
  <c r="AT48"/>
  <c r="K10" i="1"/>
  <c r="K11"/>
  <c r="R21" i="3"/>
  <c r="Q21"/>
  <c r="P21"/>
  <c r="O21"/>
  <c r="N25"/>
  <c r="N24"/>
  <c r="N23"/>
  <c r="N22"/>
  <c r="K29"/>
  <c r="J29"/>
  <c r="I29"/>
  <c r="H29"/>
  <c r="G33"/>
  <c r="G32"/>
  <c r="G31"/>
  <c r="G30"/>
  <c r="A34"/>
  <c r="A33"/>
  <c r="A32"/>
  <c r="A31"/>
  <c r="A30"/>
  <c r="A29"/>
  <c r="D34"/>
  <c r="D33"/>
  <c r="D32"/>
  <c r="D31"/>
  <c r="D30"/>
  <c r="D29"/>
  <c r="C34"/>
  <c r="I32" s="1"/>
  <c r="B34"/>
  <c r="J31" s="1"/>
  <c r="C33"/>
  <c r="K30" s="1"/>
  <c r="B33"/>
  <c r="H33" s="1"/>
  <c r="C32"/>
  <c r="K31" s="1"/>
  <c r="B32"/>
  <c r="I33" s="1"/>
  <c r="C31"/>
  <c r="H32" s="1"/>
  <c r="B31"/>
  <c r="J30" s="1"/>
  <c r="C30"/>
  <c r="J33" s="1"/>
  <c r="B30"/>
  <c r="K32" s="1"/>
  <c r="R32" s="1"/>
  <c r="C29"/>
  <c r="H31" s="1"/>
  <c r="B29"/>
  <c r="I30" s="1"/>
  <c r="AG49" l="1"/>
  <c r="P33"/>
  <c r="Q33"/>
  <c r="R31"/>
  <c r="P32"/>
  <c r="AG48"/>
  <c r="AG38"/>
  <c r="AH58"/>
  <c r="AH40"/>
  <c r="AI40" s="1"/>
  <c r="AL40" s="1"/>
  <c r="AM40" s="1"/>
  <c r="AN40" s="1"/>
  <c r="AI54"/>
  <c r="AL54" s="1"/>
  <c r="AM54" s="1"/>
  <c r="AN54" s="1"/>
  <c r="AQ53"/>
  <c r="Q31"/>
  <c r="Y30"/>
  <c r="P30"/>
  <c r="Z31"/>
  <c r="W31"/>
  <c r="W32"/>
  <c r="Q30"/>
  <c r="Z32"/>
  <c r="O33"/>
  <c r="X33" s="1"/>
  <c r="Y33"/>
  <c r="Y32"/>
  <c r="AT32" s="1"/>
  <c r="O32"/>
  <c r="X32" s="1"/>
  <c r="AH64"/>
  <c r="AI64" s="1"/>
  <c r="AL64" s="1"/>
  <c r="AM64" s="1"/>
  <c r="AN64" s="1"/>
  <c r="AH65"/>
  <c r="AI65" s="1"/>
  <c r="AL65" s="1"/>
  <c r="AM65" s="1"/>
  <c r="AN65" s="1"/>
  <c r="Z33"/>
  <c r="R30"/>
  <c r="W33"/>
  <c r="AH39"/>
  <c r="AI39" s="1"/>
  <c r="AL39" s="1"/>
  <c r="AM39" s="1"/>
  <c r="AN39" s="1"/>
  <c r="AG46"/>
  <c r="W30"/>
  <c r="O31"/>
  <c r="Y31"/>
  <c r="Z30"/>
  <c r="AH41"/>
  <c r="AI41" s="1"/>
  <c r="AL41" s="1"/>
  <c r="AM41" s="1"/>
  <c r="AN41" s="1"/>
  <c r="AH63"/>
  <c r="AI63" s="1"/>
  <c r="AL63" s="1"/>
  <c r="AM63" s="1"/>
  <c r="AN63" s="1"/>
  <c r="AH38"/>
  <c r="AH62"/>
  <c r="AH49" l="1"/>
  <c r="AI49" s="1"/>
  <c r="AL49" s="1"/>
  <c r="AM49" s="1"/>
  <c r="AN49" s="1"/>
  <c r="X31"/>
  <c r="AR54"/>
  <c r="AR56"/>
  <c r="AR57"/>
  <c r="AS56"/>
  <c r="AS55"/>
  <c r="AS57"/>
  <c r="AS54"/>
  <c r="AR55"/>
  <c r="W34"/>
  <c r="AQ37"/>
  <c r="AI38"/>
  <c r="AL38" s="1"/>
  <c r="AM38" s="1"/>
  <c r="AN38" s="1"/>
  <c r="AH42"/>
  <c r="AH48"/>
  <c r="AI48" s="1"/>
  <c r="AL48" s="1"/>
  <c r="AM48" s="1"/>
  <c r="AN48" s="1"/>
  <c r="AH46"/>
  <c r="AA32"/>
  <c r="AT31"/>
  <c r="AA31"/>
  <c r="X30"/>
  <c r="AQ61"/>
  <c r="AI62"/>
  <c r="AL62" s="1"/>
  <c r="AM62" s="1"/>
  <c r="AN62" s="1"/>
  <c r="AH66"/>
  <c r="AH47"/>
  <c r="AI47" s="1"/>
  <c r="AL47" s="1"/>
  <c r="AM47" s="1"/>
  <c r="AN47" s="1"/>
  <c r="AG31"/>
  <c r="AA33"/>
  <c r="AG33" s="1"/>
  <c r="AT33"/>
  <c r="AA30"/>
  <c r="AT30"/>
  <c r="G25"/>
  <c r="G24"/>
  <c r="G23"/>
  <c r="G22"/>
  <c r="H21"/>
  <c r="K21"/>
  <c r="J21"/>
  <c r="I21"/>
  <c r="D22"/>
  <c r="D23"/>
  <c r="D24"/>
  <c r="D25"/>
  <c r="D21"/>
  <c r="C22"/>
  <c r="J25" s="1"/>
  <c r="C23"/>
  <c r="H24" s="1"/>
  <c r="C24"/>
  <c r="K23" s="1"/>
  <c r="C25"/>
  <c r="K22" s="1"/>
  <c r="C26"/>
  <c r="I24" s="1"/>
  <c r="C21"/>
  <c r="H23" s="1"/>
  <c r="B22"/>
  <c r="K24" s="1"/>
  <c r="B23"/>
  <c r="J22" s="1"/>
  <c r="B24"/>
  <c r="I25" s="1"/>
  <c r="B25"/>
  <c r="H25" s="1"/>
  <c r="B26"/>
  <c r="J23" s="1"/>
  <c r="B21"/>
  <c r="I22" s="1"/>
  <c r="A26"/>
  <c r="A22"/>
  <c r="A23"/>
  <c r="A24"/>
  <c r="A25"/>
  <c r="A21"/>
  <c r="O25" l="1"/>
  <c r="P24"/>
  <c r="AG30"/>
  <c r="AS63"/>
  <c r="AS64"/>
  <c r="AR62"/>
  <c r="AR63"/>
  <c r="AR65"/>
  <c r="AR64"/>
  <c r="AS62"/>
  <c r="AS65"/>
  <c r="AI46"/>
  <c r="AL46" s="1"/>
  <c r="AM46" s="1"/>
  <c r="AN46" s="1"/>
  <c r="AQ45"/>
  <c r="AH50"/>
  <c r="AR41"/>
  <c r="AS40"/>
  <c r="AS38"/>
  <c r="AR39"/>
  <c r="AS41"/>
  <c r="AS39"/>
  <c r="AR40"/>
  <c r="AR38"/>
  <c r="AG32"/>
  <c r="AH31" s="1"/>
  <c r="AI31" s="1"/>
  <c r="AL31" s="1"/>
  <c r="AM31" s="1"/>
  <c r="AN31" s="1"/>
  <c r="Z22"/>
  <c r="Y25"/>
  <c r="AT25" s="1"/>
  <c r="Z23"/>
  <c r="W23"/>
  <c r="Y23"/>
  <c r="Z24"/>
  <c r="W22"/>
  <c r="Y22"/>
  <c r="Q25"/>
  <c r="W25"/>
  <c r="Z25"/>
  <c r="Y24"/>
  <c r="W24"/>
  <c r="R24"/>
  <c r="O23"/>
  <c r="Q22"/>
  <c r="P22"/>
  <c r="R22"/>
  <c r="O24"/>
  <c r="Q23"/>
  <c r="R23"/>
  <c r="P25"/>
  <c r="C14"/>
  <c r="J17" s="1"/>
  <c r="C15"/>
  <c r="H16" s="1"/>
  <c r="C16"/>
  <c r="K15" s="1"/>
  <c r="C17"/>
  <c r="K14" s="1"/>
  <c r="C18"/>
  <c r="I16" s="1"/>
  <c r="C13"/>
  <c r="H15" s="1"/>
  <c r="B14"/>
  <c r="K16" s="1"/>
  <c r="B15"/>
  <c r="J14" s="1"/>
  <c r="B16"/>
  <c r="I17" s="1"/>
  <c r="B17"/>
  <c r="H17" s="1"/>
  <c r="B18"/>
  <c r="J15" s="1"/>
  <c r="B13"/>
  <c r="I14" s="1"/>
  <c r="K13"/>
  <c r="C6"/>
  <c r="J9" s="1"/>
  <c r="C7"/>
  <c r="H8" s="1"/>
  <c r="C8"/>
  <c r="K7" s="1"/>
  <c r="C9"/>
  <c r="K6" s="1"/>
  <c r="C10"/>
  <c r="I8" s="1"/>
  <c r="C5"/>
  <c r="H7" s="1"/>
  <c r="B6"/>
  <c r="K8" s="1"/>
  <c r="B7"/>
  <c r="J6" s="1"/>
  <c r="B8"/>
  <c r="I9" s="1"/>
  <c r="B9"/>
  <c r="H9" s="1"/>
  <c r="B10"/>
  <c r="J7" s="1"/>
  <c r="B5"/>
  <c r="I6" s="1"/>
  <c r="J13"/>
  <c r="I13"/>
  <c r="H13"/>
  <c r="G15"/>
  <c r="G16"/>
  <c r="G17"/>
  <c r="G14"/>
  <c r="D14"/>
  <c r="D15"/>
  <c r="D16"/>
  <c r="D17"/>
  <c r="D18"/>
  <c r="D13"/>
  <c r="A14"/>
  <c r="A15"/>
  <c r="A16"/>
  <c r="A17"/>
  <c r="A18"/>
  <c r="A13"/>
  <c r="K5"/>
  <c r="G7"/>
  <c r="G8"/>
  <c r="G9"/>
  <c r="G6"/>
  <c r="J5"/>
  <c r="I5"/>
  <c r="H5"/>
  <c r="D5"/>
  <c r="D6"/>
  <c r="D7"/>
  <c r="D8"/>
  <c r="D9"/>
  <c r="D10"/>
  <c r="A6"/>
  <c r="A7"/>
  <c r="A8"/>
  <c r="A9"/>
  <c r="A10"/>
  <c r="A5"/>
  <c r="AA25" l="1"/>
  <c r="P17"/>
  <c r="W26"/>
  <c r="AH32"/>
  <c r="AI32" s="1"/>
  <c r="AL32" s="1"/>
  <c r="AM32" s="1"/>
  <c r="AN32" s="1"/>
  <c r="AH30"/>
  <c r="AR49"/>
  <c r="AS48"/>
  <c r="AS46"/>
  <c r="AS49"/>
  <c r="AS47"/>
  <c r="AR48"/>
  <c r="AR46"/>
  <c r="AR47"/>
  <c r="AH33"/>
  <c r="AI33" s="1"/>
  <c r="AL33" s="1"/>
  <c r="AM33" s="1"/>
  <c r="AN33" s="1"/>
  <c r="X23"/>
  <c r="X22"/>
  <c r="X25"/>
  <c r="AG25" s="1"/>
  <c r="AA23"/>
  <c r="AT23"/>
  <c r="AA22"/>
  <c r="AT22"/>
  <c r="X24"/>
  <c r="AA24"/>
  <c r="AT24"/>
  <c r="O17"/>
  <c r="P16"/>
  <c r="Q17"/>
  <c r="Q7"/>
  <c r="R8"/>
  <c r="R7"/>
  <c r="W15"/>
  <c r="P14"/>
  <c r="Z15"/>
  <c r="Y14"/>
  <c r="AT14" s="1"/>
  <c r="R15"/>
  <c r="Q14"/>
  <c r="W16"/>
  <c r="Z16"/>
  <c r="W17"/>
  <c r="Z17"/>
  <c r="R14"/>
  <c r="Q15"/>
  <c r="R16"/>
  <c r="W14"/>
  <c r="Z14"/>
  <c r="O15"/>
  <c r="Y15"/>
  <c r="Y16"/>
  <c r="AT16" s="1"/>
  <c r="O16"/>
  <c r="Y17"/>
  <c r="AT17" s="1"/>
  <c r="P6"/>
  <c r="W7"/>
  <c r="Z7"/>
  <c r="Y6"/>
  <c r="AT6" s="1"/>
  <c r="Q6"/>
  <c r="W8"/>
  <c r="Z8"/>
  <c r="W9"/>
  <c r="Z9"/>
  <c r="R6"/>
  <c r="Y9"/>
  <c r="AT9" s="1"/>
  <c r="O9"/>
  <c r="Y7"/>
  <c r="AT7" s="1"/>
  <c r="O7"/>
  <c r="W6"/>
  <c r="Z6"/>
  <c r="Y8"/>
  <c r="AT8" s="1"/>
  <c r="O8"/>
  <c r="P9"/>
  <c r="P8"/>
  <c r="Q9"/>
  <c r="B21" i="2"/>
  <c r="C21"/>
  <c r="D21"/>
  <c r="B22"/>
  <c r="C22"/>
  <c r="D22"/>
  <c r="B23"/>
  <c r="C23"/>
  <c r="D23"/>
  <c r="B24"/>
  <c r="C24"/>
  <c r="D24"/>
  <c r="B30"/>
  <c r="C30"/>
  <c r="D30"/>
  <c r="B31"/>
  <c r="C31"/>
  <c r="D31"/>
  <c r="B36"/>
  <c r="C36"/>
  <c r="D36"/>
  <c r="B40"/>
  <c r="C40"/>
  <c r="D40"/>
  <c r="D10"/>
  <c r="D11"/>
  <c r="D12"/>
  <c r="D13"/>
  <c r="D14"/>
  <c r="D15"/>
  <c r="D16"/>
  <c r="D9"/>
  <c r="C9"/>
  <c r="C10"/>
  <c r="C11"/>
  <c r="C12"/>
  <c r="C13"/>
  <c r="C14"/>
  <c r="C15"/>
  <c r="C16"/>
  <c r="B10"/>
  <c r="B11"/>
  <c r="B12"/>
  <c r="B13"/>
  <c r="B14"/>
  <c r="B15"/>
  <c r="B16"/>
  <c r="B9"/>
  <c r="B47" i="1"/>
  <c r="B46"/>
  <c r="B38"/>
  <c r="W10" i="3" l="1"/>
  <c r="W18"/>
  <c r="AI30"/>
  <c r="AL30" s="1"/>
  <c r="AM30" s="1"/>
  <c r="AN30" s="1"/>
  <c r="AH34"/>
  <c r="AQ29"/>
  <c r="AA15"/>
  <c r="AT15"/>
  <c r="AG23"/>
  <c r="AG22"/>
  <c r="AG24"/>
  <c r="X17"/>
  <c r="X7"/>
  <c r="AA16"/>
  <c r="X16"/>
  <c r="X14"/>
  <c r="AA17"/>
  <c r="X15"/>
  <c r="AA14"/>
  <c r="AA9"/>
  <c r="X8"/>
  <c r="X9"/>
  <c r="AA6"/>
  <c r="AA8"/>
  <c r="AA7"/>
  <c r="X6"/>
  <c r="G76" i="1"/>
  <c r="E76"/>
  <c r="G75"/>
  <c r="G74"/>
  <c r="E75"/>
  <c r="A65" i="3" s="1"/>
  <c r="E74" i="1"/>
  <c r="A64" i="3" s="1"/>
  <c r="G73" i="1"/>
  <c r="E73"/>
  <c r="G72"/>
  <c r="D62" i="3" s="1"/>
  <c r="E72" i="1"/>
  <c r="G71"/>
  <c r="E71"/>
  <c r="C71"/>
  <c r="D71"/>
  <c r="C72"/>
  <c r="D72"/>
  <c r="C73"/>
  <c r="D73"/>
  <c r="C74"/>
  <c r="D74"/>
  <c r="C75"/>
  <c r="D75"/>
  <c r="C76"/>
  <c r="D76"/>
  <c r="B71"/>
  <c r="B72"/>
  <c r="B73"/>
  <c r="B74"/>
  <c r="B75"/>
  <c r="B76"/>
  <c r="B62"/>
  <c r="G67"/>
  <c r="E67"/>
  <c r="G66"/>
  <c r="E66"/>
  <c r="G65"/>
  <c r="E65"/>
  <c r="G64"/>
  <c r="E64"/>
  <c r="G63"/>
  <c r="E63"/>
  <c r="G62"/>
  <c r="E62"/>
  <c r="C62"/>
  <c r="D62"/>
  <c r="C63"/>
  <c r="D63"/>
  <c r="C64"/>
  <c r="D64"/>
  <c r="C65"/>
  <c r="D65"/>
  <c r="C66"/>
  <c r="D66"/>
  <c r="C67"/>
  <c r="D67"/>
  <c r="B63"/>
  <c r="B64"/>
  <c r="B65"/>
  <c r="B66"/>
  <c r="B67"/>
  <c r="D58"/>
  <c r="D57"/>
  <c r="D56"/>
  <c r="D55"/>
  <c r="D54"/>
  <c r="D53"/>
  <c r="C58"/>
  <c r="C57"/>
  <c r="C56"/>
  <c r="C55"/>
  <c r="C54"/>
  <c r="C53"/>
  <c r="B53"/>
  <c r="B54"/>
  <c r="B55"/>
  <c r="B56"/>
  <c r="B57"/>
  <c r="B58"/>
  <c r="G58"/>
  <c r="E58"/>
  <c r="G57"/>
  <c r="E57"/>
  <c r="G56"/>
  <c r="E56"/>
  <c r="G55"/>
  <c r="E55"/>
  <c r="G54"/>
  <c r="E54"/>
  <c r="G53"/>
  <c r="E53"/>
  <c r="AG16" i="3" l="1"/>
  <c r="AH23"/>
  <c r="AI23" s="1"/>
  <c r="AL23" s="1"/>
  <c r="AM23" s="1"/>
  <c r="AN23" s="1"/>
  <c r="AG15"/>
  <c r="AH24"/>
  <c r="AI24" s="1"/>
  <c r="AH25"/>
  <c r="AI25" s="1"/>
  <c r="AL25" s="1"/>
  <c r="AM25" s="1"/>
  <c r="AN25" s="1"/>
  <c r="AH22"/>
  <c r="AR33"/>
  <c r="AR32"/>
  <c r="AR31"/>
  <c r="AR30"/>
  <c r="AS30"/>
  <c r="AS33"/>
  <c r="AS32"/>
  <c r="AS31"/>
  <c r="AG8"/>
  <c r="AG7"/>
  <c r="AG14"/>
  <c r="AH14" s="1"/>
  <c r="AQ13" s="1"/>
  <c r="AS17" s="1"/>
  <c r="AG17"/>
  <c r="AG6"/>
  <c r="AH6" s="1"/>
  <c r="AG9"/>
  <c r="G49" i="1"/>
  <c r="E49"/>
  <c r="G48"/>
  <c r="E48"/>
  <c r="G47"/>
  <c r="E47"/>
  <c r="G46"/>
  <c r="E46"/>
  <c r="G45"/>
  <c r="E45"/>
  <c r="G44"/>
  <c r="E44"/>
  <c r="D44"/>
  <c r="D45"/>
  <c r="D46"/>
  <c r="D47"/>
  <c r="D48"/>
  <c r="D49"/>
  <c r="C44"/>
  <c r="C45"/>
  <c r="C46"/>
  <c r="C47"/>
  <c r="C48"/>
  <c r="C49"/>
  <c r="B44"/>
  <c r="B45"/>
  <c r="B48"/>
  <c r="B49"/>
  <c r="G40"/>
  <c r="E40"/>
  <c r="G39"/>
  <c r="E39"/>
  <c r="G38"/>
  <c r="E38"/>
  <c r="G37"/>
  <c r="E37"/>
  <c r="G36"/>
  <c r="E36"/>
  <c r="G35"/>
  <c r="E35"/>
  <c r="D35"/>
  <c r="D36"/>
  <c r="D37"/>
  <c r="D38"/>
  <c r="D39"/>
  <c r="D40"/>
  <c r="C35"/>
  <c r="C36"/>
  <c r="C37"/>
  <c r="C38"/>
  <c r="C39"/>
  <c r="C40"/>
  <c r="B35"/>
  <c r="B36"/>
  <c r="B37"/>
  <c r="B39"/>
  <c r="B40"/>
  <c r="C30"/>
  <c r="C31"/>
  <c r="B30"/>
  <c r="B31"/>
  <c r="G31"/>
  <c r="D26" i="3" s="1"/>
  <c r="E31" i="1"/>
  <c r="G30"/>
  <c r="E30"/>
  <c r="D30"/>
  <c r="D31"/>
  <c r="G21"/>
  <c r="E21"/>
  <c r="G20"/>
  <c r="G17"/>
  <c r="G18"/>
  <c r="E20"/>
  <c r="G19"/>
  <c r="E19"/>
  <c r="E18"/>
  <c r="E17"/>
  <c r="D17"/>
  <c r="D18"/>
  <c r="D19"/>
  <c r="D20"/>
  <c r="D21"/>
  <c r="C17"/>
  <c r="C18"/>
  <c r="C19"/>
  <c r="C20"/>
  <c r="C21"/>
  <c r="B17"/>
  <c r="B18"/>
  <c r="B19"/>
  <c r="B20"/>
  <c r="B21"/>
  <c r="G13"/>
  <c r="E13"/>
  <c r="G12"/>
  <c r="E12"/>
  <c r="G11"/>
  <c r="E11"/>
  <c r="G10"/>
  <c r="E10"/>
  <c r="G9"/>
  <c r="E9"/>
  <c r="G8"/>
  <c r="E8"/>
  <c r="D9"/>
  <c r="D10"/>
  <c r="D11"/>
  <c r="D12"/>
  <c r="D13"/>
  <c r="D8"/>
  <c r="C8"/>
  <c r="C9"/>
  <c r="C10"/>
  <c r="C11"/>
  <c r="C12"/>
  <c r="C13"/>
  <c r="B9"/>
  <c r="B10"/>
  <c r="B11"/>
  <c r="B12"/>
  <c r="B13"/>
  <c r="B8"/>
  <c r="AR16" i="3" l="1"/>
  <c r="AH9"/>
  <c r="AI9" s="1"/>
  <c r="AH7"/>
  <c r="AI7" s="1"/>
  <c r="AH26"/>
  <c r="AS15"/>
  <c r="AS16"/>
  <c r="AH16"/>
  <c r="AI16" s="1"/>
  <c r="AH8"/>
  <c r="AI8" s="1"/>
  <c r="AR15"/>
  <c r="AR14"/>
  <c r="AS14"/>
  <c r="AH17"/>
  <c r="AI17" s="1"/>
  <c r="AH15"/>
  <c r="AI15" s="1"/>
  <c r="AR17"/>
  <c r="AQ21"/>
  <c r="AI22"/>
  <c r="AL24"/>
  <c r="AM24" s="1"/>
  <c r="AN24" s="1"/>
  <c r="AL22" l="1"/>
  <c r="AM22" s="1"/>
  <c r="AN22" s="1"/>
  <c r="AR23"/>
  <c r="AS23"/>
  <c r="AS25"/>
  <c r="AR24"/>
  <c r="AR22"/>
  <c r="AR25"/>
  <c r="AS24"/>
  <c r="AS22"/>
  <c r="AL16"/>
  <c r="AM16" s="1"/>
  <c r="AN16" s="1"/>
  <c r="AL15"/>
  <c r="AM15" s="1"/>
  <c r="AN15" s="1"/>
  <c r="AL17"/>
  <c r="AM17" s="1"/>
  <c r="AN17" s="1"/>
  <c r="AL7"/>
  <c r="AM7" s="1"/>
  <c r="AI6"/>
  <c r="AL6" s="1"/>
  <c r="AM6" s="1"/>
  <c r="AQ5"/>
  <c r="AL8"/>
  <c r="AM8" s="1"/>
  <c r="AL9"/>
  <c r="AM9" s="1"/>
  <c r="AH18"/>
  <c r="AI18" s="1"/>
  <c r="AI14"/>
  <c r="AH10"/>
  <c r="AU65" l="1"/>
  <c r="AX65" s="1"/>
  <c r="AU63"/>
  <c r="AX63" s="1"/>
  <c r="AU64"/>
  <c r="AX64" s="1"/>
  <c r="AU62"/>
  <c r="AX62" s="1"/>
  <c r="AU57"/>
  <c r="AX57" s="1"/>
  <c r="AU39"/>
  <c r="AX39" s="1"/>
  <c r="AU46"/>
  <c r="AX46" s="1"/>
  <c r="AU32"/>
  <c r="AX32" s="1"/>
  <c r="AU48"/>
  <c r="AX48" s="1"/>
  <c r="AU30"/>
  <c r="AX30" s="1"/>
  <c r="AU31"/>
  <c r="AX31" s="1"/>
  <c r="AU55"/>
  <c r="AX55" s="1"/>
  <c r="AU33"/>
  <c r="AX33" s="1"/>
  <c r="AU49"/>
  <c r="AX49" s="1"/>
  <c r="AU38"/>
  <c r="AX38" s="1"/>
  <c r="AU41"/>
  <c r="AX41" s="1"/>
  <c r="AU54"/>
  <c r="AX54" s="1"/>
  <c r="AU40"/>
  <c r="AX40" s="1"/>
  <c r="AU56"/>
  <c r="AX56" s="1"/>
  <c r="AU47"/>
  <c r="AX47" s="1"/>
  <c r="AU15"/>
  <c r="AX15" s="1"/>
  <c r="AU23"/>
  <c r="AX23" s="1"/>
  <c r="AU25"/>
  <c r="AX25" s="1"/>
  <c r="AU24"/>
  <c r="AX24" s="1"/>
  <c r="AU22"/>
  <c r="AX22" s="1"/>
  <c r="AU9"/>
  <c r="AN9"/>
  <c r="AU6"/>
  <c r="AN6"/>
  <c r="AU7"/>
  <c r="AN7"/>
  <c r="AN8"/>
  <c r="AU8"/>
  <c r="AU17"/>
  <c r="AX17" s="1"/>
  <c r="AU16"/>
  <c r="AX16" s="1"/>
  <c r="AL14"/>
  <c r="AM14" s="1"/>
  <c r="AN14" s="1"/>
  <c r="AU14"/>
  <c r="AS9"/>
  <c r="AS8"/>
  <c r="AR8"/>
  <c r="AR9"/>
  <c r="AS6"/>
  <c r="AR6"/>
  <c r="AS7"/>
  <c r="AR7"/>
  <c r="BC55" l="1"/>
  <c r="BD55" s="1"/>
  <c r="BC56"/>
  <c r="BD56" s="1"/>
  <c r="AY38"/>
  <c r="BC38"/>
  <c r="BD38" s="1"/>
  <c r="AY31"/>
  <c r="BC31"/>
  <c r="BD31" s="1"/>
  <c r="AY46"/>
  <c r="BC46"/>
  <c r="BD46" s="1"/>
  <c r="BC64"/>
  <c r="BD64" s="1"/>
  <c r="AY64"/>
  <c r="AY41"/>
  <c r="BC41"/>
  <c r="BD41" s="1"/>
  <c r="BC32"/>
  <c r="BD32" s="1"/>
  <c r="AY32"/>
  <c r="AY40"/>
  <c r="AZ40" s="1"/>
  <c r="BC40"/>
  <c r="BD40" s="1"/>
  <c r="AY49"/>
  <c r="BC49"/>
  <c r="BD49" s="1"/>
  <c r="AY30"/>
  <c r="BC30"/>
  <c r="BD30" s="1"/>
  <c r="AY39"/>
  <c r="AZ39" s="1"/>
  <c r="BA39" s="1"/>
  <c r="BC39"/>
  <c r="BD39" s="1"/>
  <c r="BC63"/>
  <c r="BD63" s="1"/>
  <c r="AY63"/>
  <c r="BC47"/>
  <c r="BD47" s="1"/>
  <c r="AY47"/>
  <c r="BC62"/>
  <c r="BD62" s="1"/>
  <c r="AY62"/>
  <c r="AZ62" s="1"/>
  <c r="AY55"/>
  <c r="BC54"/>
  <c r="BD54" s="1"/>
  <c r="AY54"/>
  <c r="BC33"/>
  <c r="BD33" s="1"/>
  <c r="AY33"/>
  <c r="AZ33" s="1"/>
  <c r="AY48"/>
  <c r="AZ48" s="1"/>
  <c r="BC48"/>
  <c r="BD48" s="1"/>
  <c r="AY56"/>
  <c r="AY57"/>
  <c r="AZ57" s="1"/>
  <c r="BC57"/>
  <c r="BD57" s="1"/>
  <c r="BC65"/>
  <c r="BD65" s="1"/>
  <c r="AY65"/>
  <c r="AX14"/>
  <c r="BC14" s="1"/>
  <c r="BD14" s="1"/>
  <c r="AX7"/>
  <c r="AX9"/>
  <c r="AY16"/>
  <c r="BC25"/>
  <c r="BD25" s="1"/>
  <c r="AY25"/>
  <c r="BC23"/>
  <c r="BD23" s="1"/>
  <c r="AY23"/>
  <c r="BC24"/>
  <c r="BD24" s="1"/>
  <c r="AY24"/>
  <c r="AY17"/>
  <c r="AX8"/>
  <c r="AY9" s="1"/>
  <c r="BC22"/>
  <c r="BD22" s="1"/>
  <c r="AY22"/>
  <c r="AX6"/>
  <c r="AZ65" l="1"/>
  <c r="BA65" s="1"/>
  <c r="AZ56"/>
  <c r="AZ32"/>
  <c r="AZ49"/>
  <c r="AZ55"/>
  <c r="AZ31"/>
  <c r="BA31" s="1"/>
  <c r="BC17"/>
  <c r="BD17" s="1"/>
  <c r="BC16"/>
  <c r="BD16" s="1"/>
  <c r="AZ63"/>
  <c r="BD34"/>
  <c r="BF34" s="1"/>
  <c r="AD34" s="1"/>
  <c r="BD50"/>
  <c r="BF50" s="1"/>
  <c r="AD50" s="1"/>
  <c r="BD42"/>
  <c r="AY15"/>
  <c r="BC15"/>
  <c r="BD15" s="1"/>
  <c r="BD18" s="1"/>
  <c r="BF18" s="1"/>
  <c r="AY14"/>
  <c r="AZ16" s="1"/>
  <c r="AZ54"/>
  <c r="BA54" s="1"/>
  <c r="BD66"/>
  <c r="BF66" s="1"/>
  <c r="AD66" s="1"/>
  <c r="AZ30"/>
  <c r="BA30" s="1"/>
  <c r="BA40"/>
  <c r="AZ41"/>
  <c r="AZ46"/>
  <c r="AZ38"/>
  <c r="BD58"/>
  <c r="BF58" s="1"/>
  <c r="AD58" s="1"/>
  <c r="AZ47"/>
  <c r="BA47" s="1"/>
  <c r="BA32"/>
  <c r="AZ64"/>
  <c r="AZ22"/>
  <c r="AY7"/>
  <c r="AZ9" s="1"/>
  <c r="BD26"/>
  <c r="BF26" s="1"/>
  <c r="AD26" s="1"/>
  <c r="BC7"/>
  <c r="BD7" s="1"/>
  <c r="AZ25"/>
  <c r="AZ17"/>
  <c r="BC9"/>
  <c r="BD9" s="1"/>
  <c r="AZ24"/>
  <c r="AZ14"/>
  <c r="AZ23"/>
  <c r="AY6"/>
  <c r="BC6"/>
  <c r="BD6" s="1"/>
  <c r="AZ15"/>
  <c r="AY8"/>
  <c r="BC8"/>
  <c r="BD8" s="1"/>
  <c r="BA64" l="1"/>
  <c r="BA62"/>
  <c r="BA55"/>
  <c r="BA56"/>
  <c r="BA38"/>
  <c r="BB40" s="1"/>
  <c r="BA48"/>
  <c r="BA33"/>
  <c r="BA49"/>
  <c r="BA46"/>
  <c r="BB49" s="1"/>
  <c r="BB38"/>
  <c r="BB41"/>
  <c r="BB31"/>
  <c r="BB32"/>
  <c r="BB30"/>
  <c r="BB57"/>
  <c r="BB55"/>
  <c r="BB33"/>
  <c r="AZ8"/>
  <c r="BA17"/>
  <c r="BA41"/>
  <c r="BB39" s="1"/>
  <c r="BA63"/>
  <c r="BB64" s="1"/>
  <c r="BA57"/>
  <c r="BB56" s="1"/>
  <c r="BA14"/>
  <c r="BB16" s="1"/>
  <c r="AZ7"/>
  <c r="BA8" s="1"/>
  <c r="BA15"/>
  <c r="BD10"/>
  <c r="BF10" s="1"/>
  <c r="AD10" s="1"/>
  <c r="L8" i="1" s="1"/>
  <c r="L13" s="1"/>
  <c r="BA24" i="3"/>
  <c r="BA25"/>
  <c r="BA16"/>
  <c r="BB14" s="1"/>
  <c r="BE14" s="1"/>
  <c r="BA22"/>
  <c r="BB23" s="1"/>
  <c r="BE23" s="1"/>
  <c r="AZ6"/>
  <c r="BA23"/>
  <c r="BB63" l="1"/>
  <c r="AD63" s="1"/>
  <c r="L62" i="1" s="1"/>
  <c r="BB54" i="3"/>
  <c r="BE54" s="1"/>
  <c r="L57" i="1" s="1"/>
  <c r="K57" s="1"/>
  <c r="BB15" i="3"/>
  <c r="BE15" s="1"/>
  <c r="BB65"/>
  <c r="BE65" s="1"/>
  <c r="AD56"/>
  <c r="BE56"/>
  <c r="AD64"/>
  <c r="BE64"/>
  <c r="AD49"/>
  <c r="BE49"/>
  <c r="AD39"/>
  <c r="BE39"/>
  <c r="AD31"/>
  <c r="BE31"/>
  <c r="AD38"/>
  <c r="BE38"/>
  <c r="BB62"/>
  <c r="AD33"/>
  <c r="BE33"/>
  <c r="AD57"/>
  <c r="BE57"/>
  <c r="AD41"/>
  <c r="BE41"/>
  <c r="BE55"/>
  <c r="AD55"/>
  <c r="AD30"/>
  <c r="BE30"/>
  <c r="AD40"/>
  <c r="BE40"/>
  <c r="BB47"/>
  <c r="BB46"/>
  <c r="BB48"/>
  <c r="AD32"/>
  <c r="BE32"/>
  <c r="K9" i="1"/>
  <c r="BA7" i="3"/>
  <c r="AD23"/>
  <c r="BB17"/>
  <c r="AD17" s="1"/>
  <c r="BB24"/>
  <c r="BE24" s="1"/>
  <c r="AD14"/>
  <c r="AD15"/>
  <c r="BB22"/>
  <c r="BB25"/>
  <c r="BA6"/>
  <c r="BA9"/>
  <c r="BE16"/>
  <c r="AD16"/>
  <c r="AD18"/>
  <c r="L17" i="1" s="1"/>
  <c r="BE63" i="3" l="1"/>
  <c r="L66" i="1" s="1"/>
  <c r="K66" s="1"/>
  <c r="R66" s="1"/>
  <c r="AD65" i="3"/>
  <c r="AD54"/>
  <c r="P19" i="1"/>
  <c r="P36"/>
  <c r="R37"/>
  <c r="O37"/>
  <c r="M36"/>
  <c r="E12" i="2" s="1"/>
  <c r="N36" i="1"/>
  <c r="R36"/>
  <c r="S38"/>
  <c r="R38"/>
  <c r="P38"/>
  <c r="O38"/>
  <c r="N38"/>
  <c r="M38"/>
  <c r="O36"/>
  <c r="S36"/>
  <c r="S39"/>
  <c r="R39"/>
  <c r="P39"/>
  <c r="O39"/>
  <c r="N39"/>
  <c r="M39"/>
  <c r="S37"/>
  <c r="P37"/>
  <c r="N37"/>
  <c r="M37"/>
  <c r="I12" i="2" s="1"/>
  <c r="S48" i="1"/>
  <c r="R47"/>
  <c r="P46"/>
  <c r="P45"/>
  <c r="O48"/>
  <c r="N47"/>
  <c r="M46"/>
  <c r="I13" i="2" s="1"/>
  <c r="S46" i="1"/>
  <c r="S45"/>
  <c r="R48"/>
  <c r="P47"/>
  <c r="O46"/>
  <c r="O45"/>
  <c r="N48"/>
  <c r="M47"/>
  <c r="S47"/>
  <c r="R46"/>
  <c r="R45"/>
  <c r="P48"/>
  <c r="O47"/>
  <c r="N46"/>
  <c r="N45"/>
  <c r="M48"/>
  <c r="M45"/>
  <c r="E13" i="2" s="1"/>
  <c r="L53" i="1"/>
  <c r="K54" s="1"/>
  <c r="S64"/>
  <c r="P65"/>
  <c r="O64"/>
  <c r="M65"/>
  <c r="S65"/>
  <c r="R64"/>
  <c r="O65"/>
  <c r="N64"/>
  <c r="R65"/>
  <c r="P64"/>
  <c r="N65"/>
  <c r="M64"/>
  <c r="I15" i="2" s="1"/>
  <c r="K63" i="1"/>
  <c r="O19"/>
  <c r="BE34" i="3"/>
  <c r="BE58"/>
  <c r="AD62"/>
  <c r="BE62"/>
  <c r="BE66" s="1"/>
  <c r="AD47"/>
  <c r="BE47"/>
  <c r="BE48"/>
  <c r="AD48"/>
  <c r="BE42"/>
  <c r="BF42" s="1"/>
  <c r="AD42" s="1"/>
  <c r="M19" i="1"/>
  <c r="I10" i="2" s="1"/>
  <c r="M20" i="1"/>
  <c r="AD46" i="3"/>
  <c r="BE46"/>
  <c r="K18" i="1"/>
  <c r="S18" s="1"/>
  <c r="L22"/>
  <c r="O20"/>
  <c r="AD24" i="3"/>
  <c r="S20" i="1"/>
  <c r="BE17" i="3"/>
  <c r="BE18" s="1"/>
  <c r="L21" i="1" s="1"/>
  <c r="K21" s="1"/>
  <c r="R19"/>
  <c r="P20"/>
  <c r="S19"/>
  <c r="N19"/>
  <c r="N20"/>
  <c r="BE22" i="3"/>
  <c r="AD22"/>
  <c r="R20" i="1"/>
  <c r="BB6" i="3"/>
  <c r="BB8"/>
  <c r="BB7"/>
  <c r="BB9"/>
  <c r="BE25"/>
  <c r="AD25"/>
  <c r="O66" i="1" l="1"/>
  <c r="P66"/>
  <c r="S66"/>
  <c r="N66"/>
  <c r="M66"/>
  <c r="L58"/>
  <c r="R18"/>
  <c r="R57"/>
  <c r="M57"/>
  <c r="R56"/>
  <c r="P55"/>
  <c r="N56"/>
  <c r="M55"/>
  <c r="I14" i="2" s="1"/>
  <c r="I22" s="1"/>
  <c r="I30" s="1"/>
  <c r="E40" s="1"/>
  <c r="S55" i="1"/>
  <c r="P56"/>
  <c r="O55"/>
  <c r="M56"/>
  <c r="S56"/>
  <c r="R55"/>
  <c r="O56"/>
  <c r="N55"/>
  <c r="S73"/>
  <c r="S72"/>
  <c r="R75"/>
  <c r="P74"/>
  <c r="O73"/>
  <c r="O72"/>
  <c r="N75"/>
  <c r="M74"/>
  <c r="S74"/>
  <c r="R73"/>
  <c r="R72"/>
  <c r="P75"/>
  <c r="O74"/>
  <c r="N73"/>
  <c r="N72"/>
  <c r="M75"/>
  <c r="S75"/>
  <c r="R74"/>
  <c r="P73"/>
  <c r="P72"/>
  <c r="O75"/>
  <c r="N74"/>
  <c r="M73"/>
  <c r="I16" i="2" s="1"/>
  <c r="M72" i="1"/>
  <c r="E16" i="2" s="1"/>
  <c r="I24" s="1"/>
  <c r="I31" s="1"/>
  <c r="P54" i="1"/>
  <c r="M54"/>
  <c r="E14" i="2" s="1"/>
  <c r="S54" i="1"/>
  <c r="O54"/>
  <c r="R54"/>
  <c r="N54"/>
  <c r="P57"/>
  <c r="O57"/>
  <c r="R29"/>
  <c r="S28"/>
  <c r="R30"/>
  <c r="S29"/>
  <c r="R28"/>
  <c r="S30"/>
  <c r="S27"/>
  <c r="S63"/>
  <c r="O63"/>
  <c r="R63"/>
  <c r="N63"/>
  <c r="P63"/>
  <c r="M63"/>
  <c r="E15" i="2" s="1"/>
  <c r="N57" i="1"/>
  <c r="S57"/>
  <c r="I23" i="2"/>
  <c r="E31" s="1"/>
  <c r="E24"/>
  <c r="R27" i="1"/>
  <c r="P27"/>
  <c r="O27"/>
  <c r="N27"/>
  <c r="M27"/>
  <c r="E11" i="2" s="1"/>
  <c r="P30" i="1"/>
  <c r="M30"/>
  <c r="P28"/>
  <c r="O28"/>
  <c r="N28"/>
  <c r="M28"/>
  <c r="I11" i="2" s="1"/>
  <c r="E23" s="1"/>
  <c r="O30" i="1"/>
  <c r="P29"/>
  <c r="O29"/>
  <c r="N29"/>
  <c r="M29"/>
  <c r="N30"/>
  <c r="M18"/>
  <c r="E10" i="2" s="1"/>
  <c r="P18" i="1"/>
  <c r="N18"/>
  <c r="O18"/>
  <c r="BE50" i="3"/>
  <c r="S21" i="1"/>
  <c r="M21"/>
  <c r="AD6" i="3"/>
  <c r="BE6"/>
  <c r="AD9"/>
  <c r="BE9"/>
  <c r="BE7"/>
  <c r="AD7"/>
  <c r="N11" i="1" s="1"/>
  <c r="AD8" i="3"/>
  <c r="BE8"/>
  <c r="BE26"/>
  <c r="O21" i="1"/>
  <c r="P21"/>
  <c r="R21"/>
  <c r="N21"/>
  <c r="I40" i="2" l="1"/>
  <c r="A44" s="1"/>
  <c r="I36"/>
  <c r="E22"/>
  <c r="I21"/>
  <c r="BE10" i="3"/>
  <c r="L12" i="1" s="1"/>
  <c r="K12" s="1"/>
  <c r="S9"/>
  <c r="P9"/>
  <c r="P11"/>
  <c r="O10"/>
  <c r="S10"/>
  <c r="R9"/>
  <c r="R11"/>
  <c r="O11"/>
  <c r="N9"/>
  <c r="M11"/>
  <c r="N10"/>
  <c r="R10"/>
  <c r="M10"/>
  <c r="I9" i="2" s="1"/>
  <c r="E21" s="1"/>
  <c r="E30" s="1"/>
  <c r="S11" i="1"/>
  <c r="O9"/>
  <c r="P10"/>
  <c r="M9"/>
  <c r="E9" i="2" s="1"/>
  <c r="S12" i="1" l="1"/>
  <c r="M12"/>
  <c r="N12"/>
  <c r="O12"/>
  <c r="R12"/>
  <c r="P12"/>
</calcChain>
</file>

<file path=xl/sharedStrings.xml><?xml version="1.0" encoding="utf-8"?>
<sst xmlns="http://schemas.openxmlformats.org/spreadsheetml/2006/main" count="699" uniqueCount="246">
  <si>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</si>
  <si>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</si>
  <si>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</si>
  <si>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</si>
  <si>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</si>
  <si>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</si>
  <si>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</si>
  <si>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</si>
  <si>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</si>
  <si>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</si>
  <si>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</si>
  <si>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</si>
  <si>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</si>
  <si>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</si>
  <si>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</si>
  <si>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</si>
  <si>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</si>
  <si>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</si>
  <si>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</si>
  <si>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</si>
  <si>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</si>
  <si>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</si>
  <si>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</si>
  <si>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</si>
  <si>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</si>
  <si>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</si>
  <si>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</si>
  <si>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</si>
  <si>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</si>
  <si>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</si>
  <si>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</si>
  <si>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</si>
  <si>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Brasilien</t>
  </si>
  <si>
    <t>Kroatien</t>
  </si>
  <si>
    <t>Mexiko</t>
  </si>
  <si>
    <t xml:space="preserve">Kamerun </t>
  </si>
  <si>
    <t xml:space="preserve">Spanien </t>
  </si>
  <si>
    <t>Niederlande</t>
  </si>
  <si>
    <t xml:space="preserve">Chile </t>
  </si>
  <si>
    <t>Australien</t>
  </si>
  <si>
    <t>Kolumbien</t>
  </si>
  <si>
    <t>Greichenland</t>
  </si>
  <si>
    <t>Japan</t>
  </si>
  <si>
    <t>Uruguay</t>
  </si>
  <si>
    <t>Costa Rica</t>
  </si>
  <si>
    <t xml:space="preserve">England </t>
  </si>
  <si>
    <t>Italien</t>
  </si>
  <si>
    <t>Schweiz</t>
  </si>
  <si>
    <t>Ecuador</t>
  </si>
  <si>
    <t>Frankreich</t>
  </si>
  <si>
    <t>Honduras</t>
  </si>
  <si>
    <t>Argentinien</t>
  </si>
  <si>
    <t>Bosnien-Herzegowina</t>
  </si>
  <si>
    <t>Iran</t>
  </si>
  <si>
    <t>Nigeria</t>
  </si>
  <si>
    <t>Deutschland</t>
  </si>
  <si>
    <t xml:space="preserve">Portugal </t>
  </si>
  <si>
    <t>Ghana</t>
  </si>
  <si>
    <t xml:space="preserve">USA </t>
  </si>
  <si>
    <t xml:space="preserve">Belgein </t>
  </si>
  <si>
    <t>Russalnd</t>
  </si>
  <si>
    <t>Algerien</t>
  </si>
  <si>
    <t>Südkorea</t>
  </si>
  <si>
    <t>MANNSCHAFTEN</t>
  </si>
  <si>
    <t>ABKÜRZUNG</t>
  </si>
  <si>
    <t>BRA</t>
  </si>
  <si>
    <t>CRO</t>
  </si>
  <si>
    <t>MEX</t>
  </si>
  <si>
    <t>CMR</t>
  </si>
  <si>
    <t>ESP</t>
  </si>
  <si>
    <t>NED</t>
  </si>
  <si>
    <t>CHI</t>
  </si>
  <si>
    <t>AUS</t>
  </si>
  <si>
    <t>COL</t>
  </si>
  <si>
    <t>GRE</t>
  </si>
  <si>
    <t>CIV</t>
  </si>
  <si>
    <t>JPN</t>
  </si>
  <si>
    <t>URU</t>
  </si>
  <si>
    <t>ENG</t>
  </si>
  <si>
    <t>ITA</t>
  </si>
  <si>
    <t>CAC</t>
  </si>
  <si>
    <t>SUI</t>
  </si>
  <si>
    <t>FRA</t>
  </si>
  <si>
    <t>ECU</t>
  </si>
  <si>
    <t>HON</t>
  </si>
  <si>
    <t>ARG</t>
  </si>
  <si>
    <t>BIH</t>
  </si>
  <si>
    <t>IRN</t>
  </si>
  <si>
    <t>NGA</t>
  </si>
  <si>
    <t>GER</t>
  </si>
  <si>
    <t>POR</t>
  </si>
  <si>
    <t>GHA</t>
  </si>
  <si>
    <t>USA</t>
  </si>
  <si>
    <t>BEL</t>
  </si>
  <si>
    <t>ALG</t>
  </si>
  <si>
    <t>RUS</t>
  </si>
  <si>
    <t>COR</t>
  </si>
  <si>
    <t>Spiel</t>
  </si>
  <si>
    <t>Ort</t>
  </si>
  <si>
    <t>:</t>
  </si>
  <si>
    <t>Gruppe A</t>
  </si>
  <si>
    <t>Mannschaft A1</t>
  </si>
  <si>
    <t>Mannschaft A 2</t>
  </si>
  <si>
    <t>Ergebnis</t>
  </si>
  <si>
    <t>Spiele</t>
  </si>
  <si>
    <t>Tore</t>
  </si>
  <si>
    <t>Differenz</t>
  </si>
  <si>
    <t>A</t>
  </si>
  <si>
    <t>Punkte</t>
  </si>
  <si>
    <t xml:space="preserve">Gruppe B </t>
  </si>
  <si>
    <t>Natal</t>
  </si>
  <si>
    <t>Fortaleza</t>
  </si>
  <si>
    <t>Manaus</t>
  </si>
  <si>
    <t>Recife</t>
  </si>
  <si>
    <t>Salvador</t>
  </si>
  <si>
    <t>Rio de Janeiro</t>
  </si>
  <si>
    <t>Porto Alegre</t>
  </si>
  <si>
    <t>Curitiba</t>
  </si>
  <si>
    <t>Gruppe C</t>
  </si>
  <si>
    <t>Belo Horizonte</t>
  </si>
  <si>
    <t>Do., 12. 06. 2014</t>
  </si>
  <si>
    <t>Fr., 13. 06. 2014</t>
  </si>
  <si>
    <t>Kamerun</t>
  </si>
  <si>
    <t>Spanien</t>
  </si>
  <si>
    <t>Sa., 14. 06. 2014</t>
  </si>
  <si>
    <t>Chile</t>
  </si>
  <si>
    <t>Griechenland</t>
  </si>
  <si>
    <t>So., 15. 06. 2014</t>
  </si>
  <si>
    <t>England</t>
  </si>
  <si>
    <t>So, 15. 06. 2014</t>
  </si>
  <si>
    <t>Mo., 16. 06. 2014</t>
  </si>
  <si>
    <t>Bosnien-H.</t>
  </si>
  <si>
    <t>Portugal</t>
  </si>
  <si>
    <t>Di., 17. 06. 2014</t>
  </si>
  <si>
    <t>Belgien</t>
  </si>
  <si>
    <t>Mi., 18. 06. 2014</t>
  </si>
  <si>
    <t>Russland</t>
  </si>
  <si>
    <t>Do., 19. 06. 2014</t>
  </si>
  <si>
    <t>Fr., 20. 06. 2014</t>
  </si>
  <si>
    <t>Sa., 21. 06. 2014</t>
  </si>
  <si>
    <t>So., 22. 06. 2014</t>
  </si>
  <si>
    <t>Mo., 23. 06. 2014</t>
  </si>
  <si>
    <t>Rio de Janiero</t>
  </si>
  <si>
    <t>Di., 24. 06. 2014</t>
  </si>
  <si>
    <t>Mi., 25. 06. 2014</t>
  </si>
  <si>
    <t>Do., 26. 06. 2014</t>
  </si>
  <si>
    <t>Sa., 28. 06. 2014</t>
  </si>
  <si>
    <t>Sieger Gruppe A</t>
  </si>
  <si>
    <t>Zweiter Gruppe B</t>
  </si>
  <si>
    <t>Sieger Gruppe C</t>
  </si>
  <si>
    <t>Zweiter Gruppe D</t>
  </si>
  <si>
    <t>So., 29. 06. 2014</t>
  </si>
  <si>
    <t>Sieger Gruppe B</t>
  </si>
  <si>
    <t>Zweiter Gruppe A</t>
  </si>
  <si>
    <t>Sieger Gruppe D</t>
  </si>
  <si>
    <t>zweiter Gruppe C</t>
  </si>
  <si>
    <t>Mo., 30. 06. 2014</t>
  </si>
  <si>
    <t>Sieger Gruppe E</t>
  </si>
  <si>
    <t>Zweiter Gruppe F</t>
  </si>
  <si>
    <t>Sieger Gruppe G</t>
  </si>
  <si>
    <t>zweiter Gruppe H</t>
  </si>
  <si>
    <t>Di., 01. 07. 2014</t>
  </si>
  <si>
    <t>Sieger Gruppe F</t>
  </si>
  <si>
    <t>Zweiter Gruppe E</t>
  </si>
  <si>
    <t>Sieger Gruppe H</t>
  </si>
  <si>
    <t>Zweiter Gruppe G</t>
  </si>
  <si>
    <t>Fr., 04. 07. 2014</t>
  </si>
  <si>
    <t>Sieger Spiel 49</t>
  </si>
  <si>
    <t>Sieger Spiel 50</t>
  </si>
  <si>
    <t>Sieger Spiel 53</t>
  </si>
  <si>
    <t>Sieger Spiel 54</t>
  </si>
  <si>
    <t>Sa., 05. 07. 2014</t>
  </si>
  <si>
    <t>Sieger Spiel 51</t>
  </si>
  <si>
    <t>Sieger Spiel 52</t>
  </si>
  <si>
    <t>Sieger Spiel 55</t>
  </si>
  <si>
    <t>Sieger Spiel 56</t>
  </si>
  <si>
    <t>Di. 08. 07. 2014</t>
  </si>
  <si>
    <t>Sieger Spiel 57</t>
  </si>
  <si>
    <t>Sieger Spiel 58</t>
  </si>
  <si>
    <t>Mi., 09. 07. 2014</t>
  </si>
  <si>
    <t>Sieger Spiel 59</t>
  </si>
  <si>
    <t>Sieger Spiel 60</t>
  </si>
  <si>
    <t>Sa., 12. 07. 2014</t>
  </si>
  <si>
    <t>Verlierer Spiel 61</t>
  </si>
  <si>
    <t>Verlierer Spiel 62</t>
  </si>
  <si>
    <t>So., 13. 07. 2014</t>
  </si>
  <si>
    <t>Sieger Spiel 61</t>
  </si>
  <si>
    <t>Sieger Spiel 62</t>
  </si>
  <si>
    <t xml:space="preserve">Datum </t>
  </si>
  <si>
    <t>Uhrzeit (MEZ)</t>
  </si>
  <si>
    <t>Gruppe D</t>
  </si>
  <si>
    <t>Gruppe E</t>
  </si>
  <si>
    <t>Gruppe F</t>
  </si>
  <si>
    <t>Gruppe G</t>
  </si>
  <si>
    <t>Gruppe H</t>
  </si>
  <si>
    <t>KO-Phase</t>
  </si>
  <si>
    <t>Gruppen-Phase</t>
  </si>
  <si>
    <t>Achtelfinale</t>
  </si>
  <si>
    <t>Viertelfinale</t>
  </si>
  <si>
    <t>Halbfinale</t>
  </si>
  <si>
    <t>Spiel um Platz 3</t>
  </si>
  <si>
    <t>Finale</t>
  </si>
  <si>
    <t>GRUPPE A</t>
  </si>
  <si>
    <t>GRUPPE B</t>
  </si>
  <si>
    <t>T.</t>
  </si>
  <si>
    <t>Dff.</t>
  </si>
  <si>
    <t>GT.</t>
  </si>
  <si>
    <t>Pkte.</t>
  </si>
  <si>
    <t>Sp.</t>
  </si>
  <si>
    <t>Mexico</t>
  </si>
  <si>
    <t>GRUPPE C</t>
  </si>
  <si>
    <r>
      <t xml:space="preserve">Punkteverteilungsszenarien
</t>
    </r>
    <r>
      <rPr>
        <sz val="11"/>
        <color theme="1"/>
        <rFont val="Arial"/>
        <family val="2"/>
      </rPr>
      <t>1: kein Gleichstand, jedes Team hat eine 
andere GPZ
2: zwei Teams haben die gleiche GPZ
3: drei Teams haben die gleiche GPZ
4: je zwei Teams haben die gleiceh GPZ
5: alle Teams haben die gleiche GPZ</t>
    </r>
  </si>
  <si>
    <t xml:space="preserve">Tabelle der 
Endergebnisse
</t>
  </si>
  <si>
    <t>Punkteverteilung Szenario 
2 und 4</t>
  </si>
  <si>
    <t>Teams mit
gleicher 
Punktzahl</t>
  </si>
  <si>
    <t xml:space="preserve">GPZ= 
10000*Pkt.+100*TD+ET
</t>
  </si>
  <si>
    <r>
      <t xml:space="preserve">Punkteverteilungsszenarien
</t>
    </r>
    <r>
      <rPr>
        <sz val="11"/>
        <color theme="1"/>
        <rFont val="Arial"/>
        <family val="2"/>
      </rPr>
      <t>1: kein Gleichstand, jedes Team hat eine andere GPZ
2: zwei Teams haben die gleiche GPZ
3: drei Teams haben die gleiche GPZ
4: je zwei Teams haben die gleiche GPZ
5: alle Teams haben die gleiche GPZ</t>
    </r>
  </si>
  <si>
    <t>Gleichstand liegt vor</t>
  </si>
  <si>
    <t>direkter
Gegner bei
Punktegleich
stand</t>
  </si>
  <si>
    <t>Punkte
gegen
direkten
Gegner</t>
  </si>
  <si>
    <t>Punkte bei
Gleichstand</t>
  </si>
  <si>
    <t>Szenario 3</t>
  </si>
  <si>
    <t>Das Team
ohne
Punkte
gleichstand</t>
  </si>
  <si>
    <t>Punkte
bei Gleichstand</t>
  </si>
  <si>
    <t>Erzielte
Tore</t>
  </si>
  <si>
    <t>Tordifferenz</t>
  </si>
  <si>
    <t>gegen Teams mit 
Punktegleichstand</t>
  </si>
  <si>
    <t>Platzierung in den Gruppen</t>
  </si>
  <si>
    <t>Gesamtpunktzahl</t>
  </si>
  <si>
    <t>Teams sortieren</t>
  </si>
  <si>
    <t>Platzierung</t>
  </si>
  <si>
    <t>Eindeutig
oder durch
Los
entscheiden?</t>
  </si>
  <si>
    <t>Spielergebnis</t>
  </si>
  <si>
    <t>GRUPPE D</t>
  </si>
  <si>
    <t>GRUPPE  E</t>
  </si>
  <si>
    <t xml:space="preserve">Algerien </t>
  </si>
  <si>
    <t>GRUPPE G</t>
  </si>
  <si>
    <t>GRUPPE  F</t>
  </si>
  <si>
    <t>GRUPPE H</t>
  </si>
  <si>
    <t>WELTMEISTER  IST …</t>
  </si>
  <si>
    <t xml:space="preserve">Elfenbeinkueste </t>
  </si>
  <si>
    <t>Suedkorea</t>
  </si>
  <si>
    <t>Sao Paulo</t>
  </si>
  <si>
    <t>Cuiaba</t>
  </si>
  <si>
    <t>Elfenbeinkueste</t>
  </si>
  <si>
    <t>Brasilia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</si>
</sst>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h:mm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26"/>
      <color theme="0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20"/>
      <color theme="0"/>
      <name val="Showcard Gothic"/>
      <family val="5"/>
    </font>
    <font>
      <b/>
      <sz val="28"/>
      <color theme="0"/>
      <name val="Showcard Gothic"/>
      <family val="5"/>
    </font>
  </fonts>
  <fills count="5">
    <fill>
      <patternFill patternType="none"/>
    </fill>
    <fill>
      <patternFill patternType="gray125"/>
    </fill>
    <fill>
      <patternFill patternType="solid">
        <fgColor rgb="FF02943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Border="1"/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/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1" xfId="0" applyFont="1" applyBorder="1" applyAlignment="1">
      <alignment horizontal="left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4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24" xfId="0" applyFont="1" applyBorder="1" applyAlignment="1"/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textRotation="90"/>
    </xf>
    <xf numFmtId="0" fontId="2" fillId="0" borderId="27" xfId="0" applyFont="1" applyBorder="1" applyAlignment="1">
      <alignment horizontal="center"/>
    </xf>
    <xf numFmtId="0" fontId="2" fillId="0" borderId="13" xfId="0" applyFont="1" applyBorder="1" applyAlignment="1">
      <alignment horizontal="center" textRotation="90"/>
    </xf>
    <xf numFmtId="0" fontId="2" fillId="0" borderId="19" xfId="0" applyFont="1" applyBorder="1" applyAlignment="1"/>
    <xf numFmtId="0" fontId="2" fillId="0" borderId="22" xfId="0" applyFont="1" applyBorder="1" applyAlignment="1"/>
    <xf numFmtId="0" fontId="9" fillId="0" borderId="26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2" fillId="0" borderId="25" xfId="0" applyFont="1" applyBorder="1" applyAlignment="1"/>
    <xf numFmtId="0" fontId="2" fillId="0" borderId="0" xfId="0" applyFont="1" applyBorder="1" applyAlignment="1">
      <alignment wrapText="1"/>
    </xf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9" fillId="0" borderId="13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6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0" borderId="0" xfId="0" applyFont="1" applyBorder="1" applyAlignment="1">
      <alignment horizontal="right" vertical="top" wrapText="1"/>
    </xf>
    <xf numFmtId="0" fontId="9" fillId="3" borderId="0" xfId="0" applyFont="1" applyFill="1" applyBorder="1" applyAlignment="1">
      <alignment vertical="top" wrapText="1"/>
    </xf>
    <xf numFmtId="0" fontId="10" fillId="0" borderId="26" xfId="0" applyFont="1" applyFill="1" applyBorder="1" applyAlignment="1">
      <alignment vertical="top" wrapText="1"/>
    </xf>
    <xf numFmtId="0" fontId="9" fillId="0" borderId="24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/>
    </xf>
    <xf numFmtId="0" fontId="2" fillId="0" borderId="8" xfId="0" applyFont="1" applyBorder="1"/>
    <xf numFmtId="0" fontId="2" fillId="0" borderId="10" xfId="0" applyFont="1" applyBorder="1"/>
    <xf numFmtId="0" fontId="9" fillId="0" borderId="1" xfId="0" applyFont="1" applyBorder="1" applyAlignment="1">
      <alignment horizontal="center"/>
    </xf>
    <xf numFmtId="0" fontId="9" fillId="3" borderId="28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2" fillId="0" borderId="14" xfId="0" applyFont="1" applyBorder="1" applyAlignment="1">
      <alignment textRotation="90"/>
    </xf>
    <xf numFmtId="0" fontId="2" fillId="0" borderId="15" xfId="0" applyFont="1" applyBorder="1" applyAlignment="1">
      <alignment textRotation="90"/>
    </xf>
    <xf numFmtId="0" fontId="11" fillId="0" borderId="0" xfId="0" applyFont="1"/>
    <xf numFmtId="0" fontId="3" fillId="0" borderId="5" xfId="0" applyFont="1" applyBorder="1" applyAlignment="1">
      <alignment horizontal="center" vertical="center"/>
    </xf>
    <xf numFmtId="0" fontId="9" fillId="0" borderId="1" xfId="0" applyFont="1" applyBorder="1"/>
    <xf numFmtId="0" fontId="9" fillId="0" borderId="2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3" xfId="0" applyFont="1" applyBorder="1" applyAlignment="1"/>
    <xf numFmtId="0" fontId="9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165" fontId="2" fillId="0" borderId="0" xfId="1" applyNumberFormat="1" applyFont="1" applyAlignment="1">
      <alignment horizontal="center"/>
    </xf>
    <xf numFmtId="0" fontId="2" fillId="0" borderId="0" xfId="0" applyFont="1" applyFill="1" applyAlignment="1"/>
    <xf numFmtId="0" fontId="2" fillId="0" borderId="21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9" fillId="0" borderId="24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/>
    <xf numFmtId="0" fontId="2" fillId="0" borderId="1" xfId="1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8" xfId="0" applyNumberFormat="1" applyFont="1" applyBorder="1"/>
    <xf numFmtId="0" fontId="2" fillId="0" borderId="10" xfId="0" applyNumberFormat="1" applyFont="1" applyBorder="1"/>
    <xf numFmtId="0" fontId="2" fillId="0" borderId="11" xfId="0" applyNumberFormat="1" applyFont="1" applyBorder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29431"/>
      <color rgb="FFFFFF66"/>
      <color rgb="FF029495"/>
      <color rgb="FF3CBA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53511</xdr:colOff>
      <xdr:row>0</xdr:row>
      <xdr:rowOff>42809</xdr:rowOff>
    </xdr:from>
    <xdr:to>
      <xdr:col>18</xdr:col>
      <xdr:colOff>648901</xdr:colOff>
      <xdr:row>1</xdr:row>
      <xdr:rowOff>1201964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511" y="42809"/>
          <a:ext cx="14698900" cy="27920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4</xdr:col>
      <xdr:colOff>975178</xdr:colOff>
      <xdr:row>1</xdr:row>
      <xdr:rowOff>68036</xdr:rowOff>
    </xdr:from>
    <xdr:ext cx="4436963" cy="264560"/>
    <xdr:sp macro="" textlink="">
      <xdr:nvSpPr>
        <xdr:cNvPr id="4" name="Textfeld 3"/>
        <xdr:cNvSpPr txBox="1"/>
      </xdr:nvSpPr>
      <xdr:spPr>
        <a:xfrm>
          <a:off x="5284107" y="1700893"/>
          <a:ext cx="44369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635001</xdr:colOff>
      <xdr:row>1</xdr:row>
      <xdr:rowOff>226785</xdr:rowOff>
    </xdr:from>
    <xdr:ext cx="7778749" cy="667490"/>
    <xdr:sp macro="" textlink="">
      <xdr:nvSpPr>
        <xdr:cNvPr id="5" name="Textfeld 4"/>
        <xdr:cNvSpPr txBox="1"/>
      </xdr:nvSpPr>
      <xdr:spPr>
        <a:xfrm>
          <a:off x="3900715" y="1859642"/>
          <a:ext cx="7778749" cy="6674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2800" b="1">
              <a:solidFill>
                <a:srgbClr val="029431"/>
              </a:solidFill>
              <a:latin typeface="Arial" panose="020B0604020202020204" pitchFamily="34" charset="0"/>
              <a:cs typeface="Arial" panose="020B0604020202020204" pitchFamily="34" charset="0"/>
            </a:rPr>
            <a:t>Fussball</a:t>
          </a:r>
          <a:r>
            <a:rPr lang="de-DE" sz="2800" b="1" baseline="0">
              <a:solidFill>
                <a:srgbClr val="029431"/>
              </a:solidFill>
              <a:latin typeface="Arial" panose="020B0604020202020204" pitchFamily="34" charset="0"/>
              <a:cs typeface="Arial" panose="020B0604020202020204" pitchFamily="34" charset="0"/>
            </a:rPr>
            <a:t> WM 2014 in Brasilien - Spielplan</a:t>
          </a:r>
        </a:p>
        <a:p>
          <a:endParaRPr lang="de-DE" sz="1100" b="1">
            <a:solidFill>
              <a:srgbClr val="02943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47624</xdr:rowOff>
    </xdr:from>
    <xdr:to>
      <xdr:col>9</xdr:col>
      <xdr:colOff>0</xdr:colOff>
      <xdr:row>1</xdr:row>
      <xdr:rowOff>979630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47624"/>
          <a:ext cx="8634639" cy="25648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</xdr:col>
      <xdr:colOff>1219200</xdr:colOff>
      <xdr:row>1</xdr:row>
      <xdr:rowOff>138338</xdr:rowOff>
    </xdr:from>
    <xdr:ext cx="4960711" cy="520014"/>
    <xdr:sp macro="" textlink="">
      <xdr:nvSpPr>
        <xdr:cNvPr id="4" name="Textfeld 3"/>
        <xdr:cNvSpPr txBox="1"/>
      </xdr:nvSpPr>
      <xdr:spPr>
        <a:xfrm>
          <a:off x="1978932" y="1771195"/>
          <a:ext cx="4960711" cy="5200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800" b="1">
              <a:solidFill>
                <a:srgbClr val="029431"/>
              </a:solidFill>
              <a:latin typeface="Arial" panose="020B0604020202020204" pitchFamily="34" charset="0"/>
              <a:cs typeface="Arial" panose="020B0604020202020204" pitchFamily="34" charset="0"/>
            </a:rPr>
            <a:t>Fussball</a:t>
          </a:r>
          <a:r>
            <a:rPr lang="de-DE" sz="1800" b="1" baseline="0">
              <a:solidFill>
                <a:srgbClr val="029431"/>
              </a:solidFill>
              <a:latin typeface="Arial" panose="020B0604020202020204" pitchFamily="34" charset="0"/>
              <a:cs typeface="Arial" panose="020B0604020202020204" pitchFamily="34" charset="0"/>
            </a:rPr>
            <a:t> WM 2014 in Brasilien - Spielplan</a:t>
          </a:r>
        </a:p>
        <a:p>
          <a:endParaRPr lang="de-DE" sz="1100" b="1">
            <a:solidFill>
              <a:srgbClr val="02943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A1:S77"/>
  <sheetViews>
    <sheetView tabSelected="1" topLeftCell="A51" zoomScale="93" zoomScaleNormal="93" workbookViewId="0">
      <selection activeCell="Q66" sqref="Q66"/>
    </sheetView>
  </sheetViews>
  <sheetFormatPr defaultColWidth="11.42578125" defaultRowHeight="14.25"/>
  <cols>
    <col min="1" max="1" width="11.42578125" style="2"/>
    <col min="2" max="2" width="17.85546875" style="2" customWidth="1"/>
    <col min="3" max="3" width="19.7109375" style="2" customWidth="1"/>
    <col min="4" max="4" width="15.5703125" style="2" customWidth="1"/>
    <col min="5" max="5" width="23.140625" style="3" customWidth="1"/>
    <col min="6" max="6" width="4.5703125" style="2" customWidth="1"/>
    <col min="7" max="7" width="23.140625" style="26" customWidth="1"/>
    <col min="8" max="10" width="5.140625" style="2" customWidth="1"/>
    <col min="11" max="11" width="3" style="2" customWidth="1"/>
    <col min="12" max="12" width="4.7109375" style="2" customWidth="1"/>
    <col min="13" max="13" width="23" style="2" customWidth="1"/>
    <col min="14" max="16" width="11.42578125" style="2"/>
    <col min="17" max="17" width="4.42578125" style="2" customWidth="1"/>
    <col min="18" max="18" width="11.42578125" style="26"/>
    <col min="19" max="19" width="13.7109375" style="2" customWidth="1"/>
    <col min="20" max="20" width="4.140625" style="2" customWidth="1"/>
    <col min="21" max="16384" width="11.42578125" style="2"/>
  </cols>
  <sheetData>
    <row r="1" spans="1:19" ht="128.25" customHeight="1"/>
    <row r="2" spans="1:19" ht="96" customHeight="1"/>
    <row r="3" spans="1:19" ht="40.5" customHeight="1">
      <c r="A3" s="160" t="s">
        <v>196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</row>
    <row r="4" spans="1:19" ht="20.25" customHeight="1"/>
    <row r="5" spans="1:19" s="11" customFormat="1" ht="24" customHeight="1">
      <c r="A5" s="126" t="s">
        <v>97</v>
      </c>
      <c r="B5" s="126" t="s">
        <v>188</v>
      </c>
      <c r="C5" s="126" t="s">
        <v>189</v>
      </c>
      <c r="D5" s="126" t="s">
        <v>98</v>
      </c>
      <c r="E5" s="123" t="s">
        <v>101</v>
      </c>
      <c r="F5" s="10"/>
      <c r="G5" s="121" t="s">
        <v>102</v>
      </c>
      <c r="H5" s="167" t="s">
        <v>103</v>
      </c>
      <c r="I5" s="167"/>
      <c r="J5" s="167"/>
      <c r="P5" s="10"/>
      <c r="Q5" s="10"/>
      <c r="R5" s="121"/>
    </row>
    <row r="6" spans="1:19" s="4" customFormat="1" ht="21.75" customHeight="1">
      <c r="A6" s="163" t="s">
        <v>100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</row>
    <row r="8" spans="1:19" ht="18">
      <c r="A8" s="128">
        <v>1</v>
      </c>
      <c r="B8" s="128" t="str">
        <f>VLOOKUP($A8,Text!$A$44:$F$107,2,FALSE)</f>
        <v>Do., 12. 06. 2014</v>
      </c>
      <c r="C8" s="6">
        <f>VLOOKUP($A8,Text!$A$44:$F$107,3,FALSE)</f>
        <v>0.91666666666666663</v>
      </c>
      <c r="D8" s="5" t="str">
        <f>VLOOKUP($A8,Text!$A$44:$F$107,6,FALSE)</f>
        <v>Sao Paulo</v>
      </c>
      <c r="E8" s="124" t="str">
        <f>Text!$B$3</f>
        <v>Brasilien</v>
      </c>
      <c r="F8" s="5" t="s">
        <v>99</v>
      </c>
      <c r="G8" s="122" t="str">
        <f>Text!$B$4</f>
        <v>Kroatien</v>
      </c>
      <c r="H8" s="21">
        <v>1</v>
      </c>
      <c r="I8" s="157" t="s">
        <v>99</v>
      </c>
      <c r="J8" s="21">
        <v>0</v>
      </c>
      <c r="L8" s="114" t="b">
        <f>(Berechnungen!AD10="Auswahl durch Losverfahren")</f>
        <v>0</v>
      </c>
      <c r="M8" s="115" t="s">
        <v>107</v>
      </c>
      <c r="N8" s="18" t="s">
        <v>104</v>
      </c>
      <c r="O8" s="18" t="s">
        <v>108</v>
      </c>
      <c r="P8" s="161" t="s">
        <v>105</v>
      </c>
      <c r="Q8" s="161"/>
      <c r="R8" s="161"/>
      <c r="S8" s="18" t="s">
        <v>106</v>
      </c>
    </row>
    <row r="9" spans="1:19">
      <c r="A9" s="128">
        <v>2</v>
      </c>
      <c r="B9" s="128" t="str">
        <f>VLOOKUP($A9,Text!$A$44:$F$107,2,FALSE)</f>
        <v>Fr., 13. 06. 2014</v>
      </c>
      <c r="C9" s="6">
        <f>VLOOKUP($A9,Text!$A$44:$F$107,3,FALSE)</f>
        <v>0.75</v>
      </c>
      <c r="D9" s="5" t="str">
        <f>VLOOKUP($A9,Text!$A$44:$F$107,6,FALSE)</f>
        <v>Natal</v>
      </c>
      <c r="E9" s="124" t="str">
        <f>Text!$B$5</f>
        <v>Mexiko</v>
      </c>
      <c r="F9" s="5" t="s">
        <v>99</v>
      </c>
      <c r="G9" s="122" t="str">
        <f>Text!$B$6</f>
        <v xml:space="preserve">Kamerun </v>
      </c>
      <c r="H9" s="21">
        <v>3</v>
      </c>
      <c r="I9" s="157" t="s">
        <v>99</v>
      </c>
      <c r="J9" s="21">
        <v>1</v>
      </c>
      <c r="K9" s="114">
        <f>IF(L8,L9,1)</f>
        <v>1</v>
      </c>
      <c r="L9" s="101">
        <v>1</v>
      </c>
      <c r="M9" s="15" t="str">
        <f>INDEX(Berechnungen!$V$6:$AA$9,MATCH($K9,Berechnungen!$AD$6:$AD$9,0),1)</f>
        <v>Brasilien</v>
      </c>
      <c r="N9" s="15">
        <f>INDEX(Berechnungen!$V$6:$AA$9,MATCH($K9,Berechnungen!$AD$6:$AD$9,0),2)</f>
        <v>3</v>
      </c>
      <c r="O9" s="15">
        <f>INDEX(Berechnungen!$V$6:$AA$9,MATCH($K9,Berechnungen!$AD$6:$AD$9,0),3)</f>
        <v>7</v>
      </c>
      <c r="P9" s="15">
        <f>INDEX(Berechnungen!$V$6:$AA$9,MATCH($K9,Berechnungen!$AD$6:$AD$9,0),4)</f>
        <v>5</v>
      </c>
      <c r="Q9" s="19" t="s">
        <v>99</v>
      </c>
      <c r="R9" s="29">
        <f>INDEX(Berechnungen!$V$6:$AA$9,MATCH($K9,Berechnungen!$AD$6:$AD$9,0),5)</f>
        <v>2</v>
      </c>
      <c r="S9" s="15">
        <f>INDEX(Berechnungen!$V$6:$AA$9,MATCH($K9,Berechnungen!$AD$6:$AD$9,0),6)</f>
        <v>3</v>
      </c>
    </row>
    <row r="10" spans="1:19">
      <c r="A10" s="128">
        <v>17</v>
      </c>
      <c r="B10" s="128" t="str">
        <f>VLOOKUP($A10,Text!$A$44:$F$107,2,FALSE)</f>
        <v>Di., 17. 06. 2014</v>
      </c>
      <c r="C10" s="6">
        <f>VLOOKUP($A10,Text!$A$44:$F$107,3,FALSE)</f>
        <v>0.875</v>
      </c>
      <c r="D10" s="5" t="str">
        <f>VLOOKUP($A10,Text!$A$44:$F$107,6,FALSE)</f>
        <v>Fortaleza</v>
      </c>
      <c r="E10" s="124" t="str">
        <f>Text!$B$3</f>
        <v>Brasilien</v>
      </c>
      <c r="F10" s="5" t="s">
        <v>99</v>
      </c>
      <c r="G10" s="122" t="str">
        <f>Text!$B$5</f>
        <v>Mexiko</v>
      </c>
      <c r="H10" s="21">
        <v>2</v>
      </c>
      <c r="I10" s="157" t="s">
        <v>99</v>
      </c>
      <c r="J10" s="21">
        <v>2</v>
      </c>
      <c r="K10" s="114">
        <f t="shared" ref="K10:K12" si="0">IF(L9,L10,1)</f>
        <v>2</v>
      </c>
      <c r="L10" s="102">
        <v>2</v>
      </c>
      <c r="M10" s="16" t="str">
        <f>INDEX(Berechnungen!$V$6:$AA$9,MATCH(K10,Berechnungen!$AD$6:$AD$9,0),1)</f>
        <v>Mexico</v>
      </c>
      <c r="N10" s="13">
        <f>INDEX(Berechnungen!$V$6:$AA$9,MATCH($K10,Berechnungen!$AD$6:$AD$9,0),2)</f>
        <v>3</v>
      </c>
      <c r="O10" s="16">
        <f>INDEX(Berechnungen!$V$6:$AA$9,MATCH($K10,Berechnungen!$AD$6:$AD$9,0),3)</f>
        <v>5</v>
      </c>
      <c r="P10" s="16">
        <f>INDEX(Berechnungen!$V$6:$AA$9,MATCH($K10,Berechnungen!$AD$6:$AD$9,0),4)</f>
        <v>6</v>
      </c>
      <c r="Q10" s="19" t="s">
        <v>99</v>
      </c>
      <c r="R10" s="30">
        <f>INDEX(Berechnungen!$V$6:$AA$9,MATCH($K10,Berechnungen!$AD$6:$AD$9,0),5)</f>
        <v>4</v>
      </c>
      <c r="S10" s="16">
        <f>INDEX(Berechnungen!$V$6:$AA$9,MATCH($K10,Berechnungen!$AD$6:$AD$9,0),6)</f>
        <v>2</v>
      </c>
    </row>
    <row r="11" spans="1:19">
      <c r="A11" s="128">
        <v>18</v>
      </c>
      <c r="B11" s="128" t="str">
        <f>VLOOKUP($A11,Text!$A$44:$F$107,2,FALSE)</f>
        <v>Do., 19. 06. 2014</v>
      </c>
      <c r="C11" s="6">
        <f>VLOOKUP($A11,Text!$A$44:$F$107,3,FALSE)</f>
        <v>0</v>
      </c>
      <c r="D11" s="5" t="str">
        <f>VLOOKUP($A11,Text!$A$44:$F$107,6,FALSE)</f>
        <v>Manaus</v>
      </c>
      <c r="E11" s="124" t="str">
        <f>Text!$B$6</f>
        <v xml:space="preserve">Kamerun </v>
      </c>
      <c r="F11" s="5" t="s">
        <v>99</v>
      </c>
      <c r="G11" s="122" t="str">
        <f>Text!$B$4</f>
        <v>Kroatien</v>
      </c>
      <c r="H11" s="21">
        <v>0</v>
      </c>
      <c r="I11" s="157" t="s">
        <v>99</v>
      </c>
      <c r="J11" s="21">
        <v>1</v>
      </c>
      <c r="K11" s="114">
        <f t="shared" si="0"/>
        <v>3</v>
      </c>
      <c r="L11" s="102">
        <v>3</v>
      </c>
      <c r="M11" s="16" t="str">
        <f>INDEX(Berechnungen!$V$6:$AA$9,MATCH(K11,Berechnungen!$AD$6:$AD$9,0),1)</f>
        <v>Kroatien</v>
      </c>
      <c r="N11" s="13">
        <f>INDEX(Berechnungen!$V$6:$AA$9,MATCH($K11,Berechnungen!$AD$6:$AD$9,0),2)</f>
        <v>3</v>
      </c>
      <c r="O11" s="16">
        <f>INDEX(Berechnungen!$V$6:$AA$9,MATCH($K11,Berechnungen!$AD$6:$AD$9,0),3)</f>
        <v>4</v>
      </c>
      <c r="P11" s="16">
        <f>INDEX(Berechnungen!$V$6:$AA$9,MATCH($K11,Berechnungen!$AD$6:$AD$9,0),4)</f>
        <v>2</v>
      </c>
      <c r="Q11" s="19" t="s">
        <v>99</v>
      </c>
      <c r="R11" s="30">
        <f>INDEX(Berechnungen!$V$6:$AA$9,MATCH($K11,Berechnungen!$AD$6:$AD$9,0),5)</f>
        <v>2</v>
      </c>
      <c r="S11" s="16">
        <f>INDEX(Berechnungen!$V$6:$AA$9,MATCH($K11,Berechnungen!$AD$6:$AD$9,0),6)</f>
        <v>0</v>
      </c>
    </row>
    <row r="12" spans="1:19">
      <c r="A12" s="128">
        <v>33</v>
      </c>
      <c r="B12" s="128" t="str">
        <f>VLOOKUP($A12,Text!$A$44:$F$107,2,FALSE)</f>
        <v>Mo., 23. 06. 2014</v>
      </c>
      <c r="C12" s="6">
        <f>VLOOKUP($A12,Text!$A$44:$F$107,3,FALSE)</f>
        <v>0.91666666666666663</v>
      </c>
      <c r="D12" s="5" t="str">
        <f>VLOOKUP($A12,Text!$A$44:$F$107,6,FALSE)</f>
        <v>Brasilia</v>
      </c>
      <c r="E12" s="124" t="str">
        <f>Text!$B$6</f>
        <v xml:space="preserve">Kamerun </v>
      </c>
      <c r="F12" s="5" t="s">
        <v>99</v>
      </c>
      <c r="G12" s="122" t="str">
        <f>Text!$B$3</f>
        <v>Brasilien</v>
      </c>
      <c r="H12" s="21">
        <v>0</v>
      </c>
      <c r="I12" s="157" t="s">
        <v>99</v>
      </c>
      <c r="J12" s="21">
        <v>2</v>
      </c>
      <c r="K12" s="114">
        <f t="shared" si="0"/>
        <v>4</v>
      </c>
      <c r="L12" s="53">
        <f>IF(AND(Berechnungen!W10,Berechnungen!BD10=2,Berechnungen!BE10=3),3,4)</f>
        <v>4</v>
      </c>
      <c r="M12" s="17" t="str">
        <f>INDEX(Berechnungen!$V$6:$AA$9,MATCH(K12,Berechnungen!$AD$6:$AD$9,0),1)</f>
        <v xml:space="preserve">Kamerun </v>
      </c>
      <c r="N12" s="14">
        <f>INDEX(Berechnungen!$V$6:$AA$9,MATCH($K12,Berechnungen!$AD$6:$AD$9,0),2)</f>
        <v>3</v>
      </c>
      <c r="O12" s="17">
        <f>INDEX(Berechnungen!$V$6:$AA$9,MATCH($K12,Berechnungen!$AD$6:$AD$9,0),3)</f>
        <v>0</v>
      </c>
      <c r="P12" s="17">
        <f>INDEX(Berechnungen!$V$6:$AA$9,MATCH($K12,Berechnungen!$AD$6:$AD$9,0),4)</f>
        <v>1</v>
      </c>
      <c r="Q12" s="19" t="s">
        <v>99</v>
      </c>
      <c r="R12" s="31">
        <f>INDEX(Berechnungen!$V$6:$AA$9,MATCH($K12,Berechnungen!$AD$6:$AD$9,0),5)</f>
        <v>6</v>
      </c>
      <c r="S12" s="17">
        <f>INDEX(Berechnungen!$V$6:$AA$9,MATCH($K12,Berechnungen!$AD$6:$AD$9,0),6)</f>
        <v>-5</v>
      </c>
    </row>
    <row r="13" spans="1:19">
      <c r="A13" s="128">
        <v>34</v>
      </c>
      <c r="B13" s="128" t="str">
        <f>VLOOKUP($A13,Text!$A$44:$F$107,2,FALSE)</f>
        <v>Mo., 23. 06. 2014</v>
      </c>
      <c r="C13" s="6">
        <f>VLOOKUP($A13,Text!$A$44:$F$107,3,FALSE)</f>
        <v>0.91666666666666663</v>
      </c>
      <c r="D13" s="5" t="str">
        <f>VLOOKUP($A13,Text!$A$44:$F$107,6,FALSE)</f>
        <v>Recife</v>
      </c>
      <c r="E13" s="124" t="str">
        <f>Text!$B$4</f>
        <v>Kroatien</v>
      </c>
      <c r="F13" s="5" t="s">
        <v>99</v>
      </c>
      <c r="G13" s="122" t="str">
        <f>Text!$B$5</f>
        <v>Mexiko</v>
      </c>
      <c r="H13" s="21">
        <v>1</v>
      </c>
      <c r="I13" s="157" t="s">
        <v>99</v>
      </c>
      <c r="J13" s="21">
        <v>1</v>
      </c>
      <c r="L13" s="164" t="str">
        <f>IF(L8,"Losverfahren wegen Gleichstand. Geben Sie die errechneten Platzierungen (rot) in der richtigen Reihenfolge ein.","")</f>
        <v/>
      </c>
      <c r="M13" s="168"/>
      <c r="N13" s="164"/>
      <c r="O13" s="164"/>
      <c r="P13" s="164"/>
      <c r="Q13" s="164"/>
      <c r="R13" s="164"/>
      <c r="S13" s="164"/>
    </row>
    <row r="14" spans="1:19">
      <c r="A14" s="128"/>
      <c r="B14" s="128"/>
      <c r="C14" s="6"/>
      <c r="D14" s="5"/>
      <c r="E14" s="124"/>
      <c r="G14" s="122"/>
      <c r="L14" s="165"/>
      <c r="M14" s="165"/>
      <c r="N14" s="165"/>
      <c r="O14" s="165"/>
      <c r="P14" s="165"/>
      <c r="Q14" s="165"/>
      <c r="R14" s="165"/>
      <c r="S14" s="165"/>
    </row>
    <row r="15" spans="1:19" s="4" customFormat="1" ht="21.75" customHeight="1">
      <c r="A15" s="163" t="s">
        <v>109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</row>
    <row r="16" spans="1:19">
      <c r="B16" s="128"/>
      <c r="C16" s="6"/>
      <c r="D16" s="5"/>
      <c r="E16" s="124"/>
      <c r="G16" s="122"/>
    </row>
    <row r="17" spans="1:19" ht="18">
      <c r="A17" s="128">
        <v>3</v>
      </c>
      <c r="B17" s="128" t="str">
        <f>VLOOKUP($A17,Text!$A$44:$F$107,2,FALSE)</f>
        <v>Fr., 13. 06. 2014</v>
      </c>
      <c r="C17" s="6">
        <f>VLOOKUP($A17,Text!$A$44:$F$107,3,FALSE)</f>
        <v>0.875</v>
      </c>
      <c r="D17" s="5" t="str">
        <f>VLOOKUP($A17,Text!$A$44:$F$107,6,FALSE)</f>
        <v>Salvador</v>
      </c>
      <c r="E17" s="124" t="str">
        <f>Text!$B$8</f>
        <v xml:space="preserve">Spanien </v>
      </c>
      <c r="F17" s="157" t="s">
        <v>99</v>
      </c>
      <c r="G17" s="122" t="str">
        <f>Text!$B$9</f>
        <v>Niederlande</v>
      </c>
      <c r="H17" s="21">
        <v>2</v>
      </c>
      <c r="I17" s="157" t="s">
        <v>99</v>
      </c>
      <c r="J17" s="21">
        <v>2</v>
      </c>
      <c r="L17" s="114" t="b">
        <f>(Berechnungen!AD18="Auswahl durch Losverfahren")</f>
        <v>0</v>
      </c>
      <c r="M17" s="18" t="s">
        <v>107</v>
      </c>
      <c r="N17" s="18" t="s">
        <v>104</v>
      </c>
      <c r="O17" s="18" t="s">
        <v>108</v>
      </c>
      <c r="P17" s="161" t="s">
        <v>105</v>
      </c>
      <c r="Q17" s="161"/>
      <c r="R17" s="161"/>
      <c r="S17" s="18" t="s">
        <v>106</v>
      </c>
    </row>
    <row r="18" spans="1:19">
      <c r="A18" s="128">
        <v>4</v>
      </c>
      <c r="B18" s="128" t="str">
        <f>VLOOKUP($A18,Text!$A$44:$F$107,2,FALSE)</f>
        <v>Sa., 14. 06. 2014</v>
      </c>
      <c r="C18" s="6">
        <f>VLOOKUP($A18,Text!$A$44:$F$107,3,FALSE)</f>
        <v>0</v>
      </c>
      <c r="D18" s="5" t="str">
        <f>VLOOKUP($A18,Text!$A$44:$F$107,6,FALSE)</f>
        <v>Cuiaba</v>
      </c>
      <c r="E18" s="124" t="str">
        <f>Text!$B$10</f>
        <v xml:space="preserve">Chile </v>
      </c>
      <c r="F18" s="157" t="s">
        <v>99</v>
      </c>
      <c r="G18" s="122" t="str">
        <f>Text!$B$11</f>
        <v>Australien</v>
      </c>
      <c r="H18" s="21">
        <v>0</v>
      </c>
      <c r="I18" s="157" t="s">
        <v>99</v>
      </c>
      <c r="J18" s="21">
        <v>1</v>
      </c>
      <c r="K18" s="114">
        <f>IF(L17,L18,1)</f>
        <v>1</v>
      </c>
      <c r="L18" s="15">
        <v>1</v>
      </c>
      <c r="M18" s="15" t="str">
        <f>INDEX(Berechnungen!V14:AA17,MATCH(K18,Berechnungen!AD14:AD17,0),1)</f>
        <v xml:space="preserve">Chile </v>
      </c>
      <c r="N18" s="15">
        <f>INDEX(Berechnungen!V14:AA17,MATCH(K18,Berechnungen!AD14:AD17,0),2)</f>
        <v>3</v>
      </c>
      <c r="O18" s="16">
        <f>INDEX(Berechnungen!V14:AA17,MATCH(K18,Berechnungen!AD14:AD17,0),3)</f>
        <v>7</v>
      </c>
      <c r="P18" s="15">
        <f>INDEX(Berechnungen!V14:AA17,MATCH(K18,Berechnungen!AD14:AD17,0),4)</f>
        <v>6</v>
      </c>
      <c r="Q18" s="19" t="s">
        <v>99</v>
      </c>
      <c r="R18" s="29">
        <f>INDEX(Berechnungen!$V$14:$AA$17,MATCH($K18,Berechnungen!$AD$14:$AD$17,0),5)</f>
        <v>2</v>
      </c>
      <c r="S18" s="15">
        <f>INDEX(Berechnungen!$V$14:$AA$17,MATCH($K18,Berechnungen!$AD$14:$AD$17,0),6)</f>
        <v>4</v>
      </c>
    </row>
    <row r="19" spans="1:19">
      <c r="A19" s="128">
        <v>19</v>
      </c>
      <c r="B19" s="128" t="str">
        <f>VLOOKUP($A19,Text!$A$44:$F$107,2,FALSE)</f>
        <v>Mi., 18. 06. 2014</v>
      </c>
      <c r="C19" s="6">
        <f>VLOOKUP($A19,Text!$A$44:$F$107,3,FALSE)</f>
        <v>0.875</v>
      </c>
      <c r="D19" s="5" t="str">
        <f>VLOOKUP($A19,Text!$A$44:$F$107,6,FALSE)</f>
        <v>Rio de Janeiro</v>
      </c>
      <c r="E19" s="124" t="str">
        <f>Text!$B$8</f>
        <v xml:space="preserve">Spanien </v>
      </c>
      <c r="F19" s="157" t="s">
        <v>99</v>
      </c>
      <c r="G19" s="122" t="str">
        <f>Text!$B$10</f>
        <v xml:space="preserve">Chile </v>
      </c>
      <c r="H19" s="21">
        <v>2</v>
      </c>
      <c r="I19" s="157" t="s">
        <v>99</v>
      </c>
      <c r="J19" s="21">
        <v>1</v>
      </c>
      <c r="K19" s="114">
        <f t="shared" ref="K19:K21" si="1">IF(L18,L19,1)</f>
        <v>2</v>
      </c>
      <c r="L19" s="16">
        <v>2</v>
      </c>
      <c r="M19" s="16" t="str">
        <f>INDEX(Berechnungen!$V$14:$AA$17,MATCH($K19,Berechnungen!$AD$14:$AD$17,0),1)</f>
        <v xml:space="preserve">Spanien </v>
      </c>
      <c r="N19" s="13">
        <f>INDEX(Berechnungen!$V$14:$AA$17,MATCH($K19,Berechnungen!$AD$14:$AD$17,0),2)</f>
        <v>3</v>
      </c>
      <c r="O19" s="16">
        <f>INDEX(Berechnungen!$V$14:$AA$17,MATCH($K19,Berechnungen!$AD$14:$AD$17,0),3)</f>
        <v>7</v>
      </c>
      <c r="P19" s="16">
        <f>INDEX(Berechnungen!$V$14:$AA$17,MATCH($K19,Berechnungen!$AD$14:$AD$17,0),4)</f>
        <v>6</v>
      </c>
      <c r="Q19" s="19" t="s">
        <v>99</v>
      </c>
      <c r="R19" s="30">
        <f>INDEX(Berechnungen!$V$14:$AA$17,MATCH($K19,Berechnungen!$AD$14:$AD$17,0),5)</f>
        <v>4</v>
      </c>
      <c r="S19" s="16">
        <f>INDEX(Berechnungen!$V$14:$AA$17,MATCH($K19,Berechnungen!$AD$14:$AD$17,0),6)</f>
        <v>2</v>
      </c>
    </row>
    <row r="20" spans="1:19">
      <c r="A20" s="128">
        <v>20</v>
      </c>
      <c r="B20" s="128" t="str">
        <f>VLOOKUP($A20,Text!$A$44:$F$107,2,FALSE)</f>
        <v>Mi., 18. 06. 2014</v>
      </c>
      <c r="C20" s="6">
        <f>VLOOKUP($A20,Text!$A$44:$F$107,3,FALSE)</f>
        <v>0.75</v>
      </c>
      <c r="D20" s="5" t="str">
        <f>VLOOKUP($A20,Text!$A$44:$F$107,6,FALSE)</f>
        <v>Porto Alegre</v>
      </c>
      <c r="E20" s="124" t="str">
        <f>Text!$B$11</f>
        <v>Australien</v>
      </c>
      <c r="F20" s="157" t="s">
        <v>99</v>
      </c>
      <c r="G20" s="122" t="str">
        <f>Text!$B$9</f>
        <v>Niederlande</v>
      </c>
      <c r="H20" s="21">
        <v>0</v>
      </c>
      <c r="I20" s="157" t="s">
        <v>99</v>
      </c>
      <c r="J20" s="21">
        <v>3</v>
      </c>
      <c r="K20" s="114">
        <f t="shared" si="1"/>
        <v>3</v>
      </c>
      <c r="L20" s="16">
        <v>3</v>
      </c>
      <c r="M20" s="16" t="str">
        <f>INDEX(Berechnungen!$V$14:$AA$17,MATCH($K20,Berechnungen!$AD$14:$AD$17,0),1)</f>
        <v>Australien</v>
      </c>
      <c r="N20" s="13">
        <f>INDEX(Berechnungen!$V$14:$AA$17,MATCH($K20,Berechnungen!$AD$14:$AD$17,0),2)</f>
        <v>3</v>
      </c>
      <c r="O20" s="16">
        <f>INDEX(Berechnungen!$V$14:$AA$17,MATCH($K20,Berechnungen!$AD$14:$AD$17,0),3)</f>
        <v>4</v>
      </c>
      <c r="P20" s="16">
        <f>INDEX(Berechnungen!$V$14:$AA$17,MATCH($K20,Berechnungen!$AD$14:$AD$17,0),4)</f>
        <v>2</v>
      </c>
      <c r="Q20" s="19" t="s">
        <v>99</v>
      </c>
      <c r="R20" s="30">
        <f>INDEX(Berechnungen!$V$14:$AA$17,MATCH($K20,Berechnungen!$AD$14:$AD$17,0),5)</f>
        <v>5</v>
      </c>
      <c r="S20" s="16">
        <f>INDEX(Berechnungen!$V$14:$AA$17,MATCH($K20,Berechnungen!$AD$14:$AD$17,0),6)</f>
        <v>-3</v>
      </c>
    </row>
    <row r="21" spans="1:19">
      <c r="A21" s="128">
        <v>35</v>
      </c>
      <c r="B21" s="128" t="str">
        <f>VLOOKUP($A21,Text!$A$44:$F$107,2,FALSE)</f>
        <v>Mo., 23. 06. 2014</v>
      </c>
      <c r="C21" s="6">
        <f>VLOOKUP($A21,Text!$A$44:$F$107,3,FALSE)</f>
        <v>0.75</v>
      </c>
      <c r="D21" s="5" t="str">
        <f>VLOOKUP($A21,Text!$A$44:$F$107,6,FALSE)</f>
        <v>Curitiba</v>
      </c>
      <c r="E21" s="124" t="str">
        <f>Text!$B$11</f>
        <v>Australien</v>
      </c>
      <c r="F21" s="157" t="s">
        <v>99</v>
      </c>
      <c r="G21" s="122" t="str">
        <f>Text!$B$8</f>
        <v xml:space="preserve">Spanien </v>
      </c>
      <c r="H21" s="21">
        <v>1</v>
      </c>
      <c r="I21" s="157" t="s">
        <v>99</v>
      </c>
      <c r="J21" s="21">
        <v>2</v>
      </c>
      <c r="K21" s="114">
        <f t="shared" si="1"/>
        <v>4</v>
      </c>
      <c r="L21" s="17">
        <f>IF(AND(Berechnungen!W18,Berechnungen!BD18=2,Berechnungen!BE18=3),3,4)</f>
        <v>4</v>
      </c>
      <c r="M21" s="17" t="str">
        <f>INDEX(Berechnungen!$V$14:$AA$17,MATCH($K21,Berechnungen!$AD$14:$AD$17,0),1)</f>
        <v>Niederlande</v>
      </c>
      <c r="N21" s="14">
        <f>INDEX(Berechnungen!$V$14:$AA$17,MATCH($K21,Berechnungen!$AD$14:$AD$17,0),2)</f>
        <v>3</v>
      </c>
      <c r="O21" s="17">
        <f>INDEX(Berechnungen!$V$14:$AA$17,MATCH($K21,Berechnungen!$AD$14:$AD$17,0),3)</f>
        <v>0</v>
      </c>
      <c r="P21" s="17">
        <f>INDEX(Berechnungen!$V$14:$AA$17,MATCH($K21,Berechnungen!$AD$14:$AD$17,0),4)</f>
        <v>1</v>
      </c>
      <c r="Q21" s="19" t="s">
        <v>99</v>
      </c>
      <c r="R21" s="31">
        <f>INDEX(Berechnungen!$V$14:$AA$17,MATCH($K21,Berechnungen!$AD$14:$AD$17,0),5)</f>
        <v>4</v>
      </c>
      <c r="S21" s="17">
        <f>INDEX(Berechnungen!$V$14:$AA$17,MATCH($K21,Berechnungen!$AD$14:$AD$17,0),6)</f>
        <v>-3</v>
      </c>
    </row>
    <row r="22" spans="1:19">
      <c r="A22" s="128">
        <v>36</v>
      </c>
      <c r="B22" s="128" t="str">
        <f>VLOOKUP($A22,Text!$A$44:$F$107,2,FALSE)</f>
        <v>Mo., 23. 06. 2014</v>
      </c>
      <c r="C22" s="6">
        <f>VLOOKUP($A22,Text!$A$44:$F$107,3,FALSE)</f>
        <v>0.75</v>
      </c>
      <c r="D22" s="5" t="str">
        <f>VLOOKUP($A22,Text!$A$44:$F$107,6,FALSE)</f>
        <v>Sao Paulo</v>
      </c>
      <c r="E22" s="124" t="str">
        <f>Text!$B$9</f>
        <v>Niederlande</v>
      </c>
      <c r="F22" s="157" t="s">
        <v>99</v>
      </c>
      <c r="G22" s="122" t="str">
        <f>Text!$B$10</f>
        <v xml:space="preserve">Chile </v>
      </c>
      <c r="H22" s="21">
        <v>1</v>
      </c>
      <c r="I22" s="157" t="s">
        <v>99</v>
      </c>
      <c r="J22" s="21">
        <v>0</v>
      </c>
      <c r="L22" s="164" t="str">
        <f>IF(L17,"Losverfahren wegen Gleichstand. Geben Sie die errechneten Platzierungen (rot) in der richtigen Reihenfolge ein.","")</f>
        <v/>
      </c>
      <c r="M22" s="164"/>
      <c r="N22" s="164"/>
      <c r="O22" s="164"/>
      <c r="P22" s="164"/>
      <c r="Q22" s="164"/>
      <c r="R22" s="164"/>
      <c r="S22" s="164"/>
    </row>
    <row r="23" spans="1:19">
      <c r="B23" s="128"/>
      <c r="C23" s="6"/>
      <c r="D23" s="5"/>
      <c r="L23" s="165"/>
      <c r="M23" s="165"/>
      <c r="N23" s="165"/>
      <c r="O23" s="165"/>
      <c r="P23" s="165"/>
      <c r="Q23" s="165"/>
      <c r="R23" s="165"/>
      <c r="S23" s="165"/>
    </row>
    <row r="24" spans="1:19" ht="21.75" customHeight="1">
      <c r="A24" s="163" t="s">
        <v>118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</row>
    <row r="25" spans="1:19">
      <c r="B25" s="128"/>
      <c r="C25" s="6"/>
      <c r="D25" s="5"/>
      <c r="M25" s="7"/>
      <c r="N25" s="7"/>
      <c r="O25" s="7"/>
      <c r="P25" s="7"/>
      <c r="Q25" s="7"/>
      <c r="R25" s="72"/>
      <c r="S25" s="7"/>
    </row>
    <row r="26" spans="1:19" ht="18">
      <c r="A26" s="128">
        <v>5</v>
      </c>
      <c r="B26" s="128" t="str">
        <f>VLOOKUP($A26,Text!$A$44:$F$107,2,FALSE)</f>
        <v>Sa., 14. 06. 2014</v>
      </c>
      <c r="C26" s="6">
        <f>VLOOKUP($A26,Text!$A$44:$F$107,3,FALSE)</f>
        <v>0.75</v>
      </c>
      <c r="D26" s="5" t="str">
        <f>VLOOKUP($A26,Text!$A$44:$F$107,6,FALSE)</f>
        <v>Belo Horizonte</v>
      </c>
      <c r="E26" s="124" t="str">
        <f>Text!$B$13</f>
        <v>Kolumbien</v>
      </c>
      <c r="F26" s="157" t="s">
        <v>99</v>
      </c>
      <c r="G26" s="122" t="str">
        <f>Text!$B$14</f>
        <v>Greichenland</v>
      </c>
      <c r="H26" s="21">
        <v>2</v>
      </c>
      <c r="I26" s="157" t="s">
        <v>99</v>
      </c>
      <c r="J26" s="21">
        <v>0</v>
      </c>
      <c r="L26" s="114" t="b">
        <f>(Berechnungen!AD27="Auswahl durch Losverfahren")</f>
        <v>0</v>
      </c>
      <c r="M26" s="18" t="s">
        <v>107</v>
      </c>
      <c r="N26" s="115" t="s">
        <v>104</v>
      </c>
      <c r="O26" s="18" t="s">
        <v>108</v>
      </c>
      <c r="P26" s="162" t="s">
        <v>105</v>
      </c>
      <c r="Q26" s="162"/>
      <c r="R26" s="161"/>
      <c r="S26" s="18" t="s">
        <v>106</v>
      </c>
    </row>
    <row r="27" spans="1:19">
      <c r="A27" s="128">
        <v>6</v>
      </c>
      <c r="B27" s="128" t="str">
        <f>VLOOKUP($A27,Text!$A$44:$F$107,2,FALSE)</f>
        <v>So., 15. 06. 2014</v>
      </c>
      <c r="C27" s="6">
        <f>VLOOKUP($A27,Text!$A$44:$F$107,3,FALSE)</f>
        <v>0.125</v>
      </c>
      <c r="D27" s="5" t="str">
        <f>VLOOKUP($A27,Text!$A$44:$F$107,6,FALSE)</f>
        <v>Recife</v>
      </c>
      <c r="E27" s="124" t="str">
        <f>Text!$B$15</f>
        <v xml:space="preserve">Elfenbeinkueste </v>
      </c>
      <c r="F27" s="157" t="s">
        <v>99</v>
      </c>
      <c r="G27" s="122" t="str">
        <f>Text!$B$16</f>
        <v>Japan</v>
      </c>
      <c r="H27" s="21">
        <v>1</v>
      </c>
      <c r="I27" s="157" t="s">
        <v>99</v>
      </c>
      <c r="J27" s="21">
        <v>2</v>
      </c>
      <c r="K27" s="114">
        <f>IF(L26,L27,1)</f>
        <v>1</v>
      </c>
      <c r="L27" s="15">
        <v>1</v>
      </c>
      <c r="M27" s="101" t="str">
        <f>INDEX(Berechnungen!$V$22:$AA$25,MATCH($K27,Berechnungen!$AD$22:$AD$25,0),1)</f>
        <v>Kolumbien</v>
      </c>
      <c r="N27" s="15">
        <f>INDEX(Berechnungen!$V$22:$AA$25,MATCH($K27,Berechnungen!$AD$22:$AD$25,0),2)</f>
        <v>3</v>
      </c>
      <c r="O27" s="7">
        <f>INDEX(Berechnungen!$V$22:$AA$25,MATCH($K27,Berechnungen!$AD$22:$AD$25,0),3)</f>
        <v>6</v>
      </c>
      <c r="P27" s="101">
        <f>INDEX(Berechnungen!$V$22:$AA$25,MATCH($K27,Berechnungen!$AD$22:$AD$25,0),4)</f>
        <v>5</v>
      </c>
      <c r="Q27" s="108" t="s">
        <v>99</v>
      </c>
      <c r="R27" s="29">
        <f>INDEX(Berechnungen!$V$22:$AA$25,MATCH($K27,Berechnungen!$AD$22:$AD$25,0),5)</f>
        <v>2</v>
      </c>
      <c r="S27" s="15">
        <f>INDEX(Berechnungen!$V$22:$AA$25,MATCH($K27,Berechnungen!$AD$22:$AD$25,0),6)</f>
        <v>3</v>
      </c>
    </row>
    <row r="28" spans="1:19">
      <c r="A28" s="128">
        <v>21</v>
      </c>
      <c r="B28" s="128" t="str">
        <f>VLOOKUP($A28,Text!$A$44:$F$107,2,FALSE)</f>
        <v>Do., 19. 06. 2014</v>
      </c>
      <c r="C28" s="6">
        <f>VLOOKUP($A28,Text!$A$44:$F$107,3,FALSE)</f>
        <v>0.75</v>
      </c>
      <c r="D28" s="5" t="str">
        <f>VLOOKUP($A28,Text!$A$44:$F$107,6,FALSE)</f>
        <v>Brasilia</v>
      </c>
      <c r="E28" s="124" t="str">
        <f>Text!$B$13</f>
        <v>Kolumbien</v>
      </c>
      <c r="F28" s="157" t="s">
        <v>99</v>
      </c>
      <c r="G28" s="122" t="str">
        <f>Text!$B$15</f>
        <v xml:space="preserve">Elfenbeinkueste </v>
      </c>
      <c r="H28" s="21">
        <v>3</v>
      </c>
      <c r="I28" s="157" t="s">
        <v>99</v>
      </c>
      <c r="J28" s="21">
        <v>0</v>
      </c>
      <c r="K28" s="114">
        <f t="shared" ref="K28:K30" si="2">IF(L27,L28,1)</f>
        <v>2</v>
      </c>
      <c r="L28" s="16">
        <v>2</v>
      </c>
      <c r="M28" s="102" t="str">
        <f>INDEX(Berechnungen!$V$22:$AA$25,MATCH($K28,Berechnungen!$AD$22:$AD$25,0),1)</f>
        <v>Japan</v>
      </c>
      <c r="N28" s="16">
        <f>INDEX(Berechnungen!$V$22:$AA$25,MATCH($K28,Berechnungen!$AD$22:$AD$25,0),2)</f>
        <v>3</v>
      </c>
      <c r="O28" s="7">
        <f>INDEX(Berechnungen!$V$22:$AA$25,MATCH($K28,Berechnungen!$AD$22:$AD$25,0),3)</f>
        <v>6</v>
      </c>
      <c r="P28" s="102">
        <f>INDEX(Berechnungen!$V$22:$AA$25,MATCH($K28,Berechnungen!$AD$22:$AD$25,0),4)</f>
        <v>4</v>
      </c>
      <c r="Q28" s="108" t="s">
        <v>99</v>
      </c>
      <c r="R28" s="52">
        <f>INDEX(Berechnungen!$V$22:$AA$25,MATCH($K28,Berechnungen!$AD$22:$AD$25,0),5)</f>
        <v>2</v>
      </c>
      <c r="S28" s="16">
        <f>INDEX(Berechnungen!$V$22:$AA$25,MATCH($K28,Berechnungen!$AD$22:$AD$25,0),6)</f>
        <v>2</v>
      </c>
    </row>
    <row r="29" spans="1:19">
      <c r="A29" s="128">
        <v>22</v>
      </c>
      <c r="B29" s="128" t="str">
        <f>VLOOKUP($A29,Text!$A$44:$F$107,2,FALSE)</f>
        <v>Fr., 20. 06. 2014</v>
      </c>
      <c r="C29" s="6">
        <f>VLOOKUP($A29,Text!$A$44:$F$107,3,FALSE)</f>
        <v>0</v>
      </c>
      <c r="D29" s="5" t="str">
        <f>VLOOKUP($A29,Text!$A$44:$F$107,6,FALSE)</f>
        <v>Natal</v>
      </c>
      <c r="E29" s="124" t="str">
        <f>Text!$B$16</f>
        <v>Japan</v>
      </c>
      <c r="F29" s="157" t="s">
        <v>99</v>
      </c>
      <c r="G29" s="122" t="str">
        <f>Text!$B$14</f>
        <v>Greichenland</v>
      </c>
      <c r="H29" s="21">
        <v>0</v>
      </c>
      <c r="I29" s="157" t="s">
        <v>99</v>
      </c>
      <c r="J29" s="21">
        <v>1</v>
      </c>
      <c r="K29" s="114">
        <f t="shared" si="2"/>
        <v>3</v>
      </c>
      <c r="L29" s="16">
        <v>3</v>
      </c>
      <c r="M29" s="102" t="str">
        <f>INDEX(Berechnungen!$V$22:$AA$25,MATCH($K29,Berechnungen!$AD$22:$AD$25,0),1)</f>
        <v>Elfenbeinkueste</v>
      </c>
      <c r="N29" s="16">
        <f>INDEX(Berechnungen!$V$22:$AA$25,MATCH($K29,Berechnungen!$AD$22:$AD$25,0),2)</f>
        <v>3</v>
      </c>
      <c r="O29" s="7">
        <f>INDEX(Berechnungen!$V$22:$AA$25,MATCH($K29,Berechnungen!$AD$22:$AD$25,0),3)</f>
        <v>4</v>
      </c>
      <c r="P29" s="102">
        <f>INDEX(Berechnungen!$V$22:$AA$25,MATCH($K29,Berechnungen!$AD$22:$AD$25,0),4)</f>
        <v>2</v>
      </c>
      <c r="Q29" s="108" t="s">
        <v>99</v>
      </c>
      <c r="R29" s="52">
        <f>INDEX(Berechnungen!$V$22:$AA$25,MATCH($K29,Berechnungen!$AD$22:$AD$25,0),5)</f>
        <v>3</v>
      </c>
      <c r="S29" s="16">
        <f>INDEX(Berechnungen!$V$22:$AA$25,MATCH($K29,Berechnungen!$AD$22:$AD$25,0),6)</f>
        <v>-1</v>
      </c>
    </row>
    <row r="30" spans="1:19">
      <c r="A30" s="128">
        <v>37</v>
      </c>
      <c r="B30" s="128" t="str">
        <f>VLOOKUP($A30,Text!$A$44:$F$107,2,FALSE)</f>
        <v>Di., 24. 06. 2014</v>
      </c>
      <c r="C30" s="6">
        <f>VLOOKUP($A30,Text!$A$44:$F$107,3,FALSE)</f>
        <v>0.91666666666666663</v>
      </c>
      <c r="D30" s="5" t="str">
        <f>VLOOKUP($A30,Text!$A$44:$F$107,6,FALSE)</f>
        <v>Cuiaba</v>
      </c>
      <c r="E30" s="124" t="str">
        <f>Text!$B$16</f>
        <v>Japan</v>
      </c>
      <c r="F30" s="157" t="s">
        <v>99</v>
      </c>
      <c r="G30" s="122" t="str">
        <f>Text!$B$13</f>
        <v>Kolumbien</v>
      </c>
      <c r="H30" s="21">
        <v>2</v>
      </c>
      <c r="I30" s="157" t="s">
        <v>99</v>
      </c>
      <c r="J30" s="21">
        <v>0</v>
      </c>
      <c r="K30" s="114">
        <f t="shared" si="2"/>
        <v>4</v>
      </c>
      <c r="L30" s="17">
        <f>IF(AND(Berechnungen!W27,Berechnungen!BD27=2,Berechnungen!BE27=3),3,4)</f>
        <v>4</v>
      </c>
      <c r="M30" s="53" t="str">
        <f>INDEX(Berechnungen!$V$22:$AA$25,MATCH($K30,Berechnungen!$AD$22:$AD$25,0),1)</f>
        <v>Griechenland</v>
      </c>
      <c r="N30" s="17">
        <f>INDEX(Berechnungen!$V$22:$AA$25,MATCH($K30,Berechnungen!$AD$22:$AD$25,0),2)</f>
        <v>3</v>
      </c>
      <c r="O30" s="7">
        <f>INDEX(Berechnungen!$V$22:$AA$25,MATCH($K30,Berechnungen!$AD$22:$AD$25,0),3)</f>
        <v>1</v>
      </c>
      <c r="P30" s="53">
        <f>INDEX(Berechnungen!$V$22:$AA$25,MATCH($K30,Berechnungen!$AD$22:$AD$25,0),4)</f>
        <v>2</v>
      </c>
      <c r="Q30" s="108" t="s">
        <v>99</v>
      </c>
      <c r="R30" s="137">
        <f>INDEX(Berechnungen!$V$22:$AA$25,MATCH($K30,Berechnungen!$AD$22:$AD$25,0),5)</f>
        <v>6</v>
      </c>
      <c r="S30" s="17">
        <f>INDEX(Berechnungen!$V$22:$AA$25,MATCH($K30,Berechnungen!$AD$22:$AD$25,0),6)</f>
        <v>-4</v>
      </c>
    </row>
    <row r="31" spans="1:19">
      <c r="A31" s="128">
        <v>38</v>
      </c>
      <c r="B31" s="128" t="str">
        <f>VLOOKUP($A31,Text!$A$44:$F$107,2,FALSE)</f>
        <v>Di., 24. 06. 2014</v>
      </c>
      <c r="C31" s="6">
        <f>VLOOKUP($A31,Text!$A$44:$F$107,3,FALSE)</f>
        <v>0.91666666666666663</v>
      </c>
      <c r="D31" s="5" t="str">
        <f>VLOOKUP($A31,Text!$A$44:$F$107,6,FALSE)</f>
        <v>Fortaleza</v>
      </c>
      <c r="E31" s="124" t="str">
        <f>Text!$B$14</f>
        <v>Greichenland</v>
      </c>
      <c r="F31" s="157" t="s">
        <v>99</v>
      </c>
      <c r="G31" s="122" t="str">
        <f>Text!$B$15</f>
        <v xml:space="preserve">Elfenbeinkueste </v>
      </c>
      <c r="H31" s="21">
        <v>1</v>
      </c>
      <c r="I31" s="157" t="s">
        <v>99</v>
      </c>
      <c r="J31" s="21">
        <v>1</v>
      </c>
      <c r="L31" s="158" t="str">
        <f>IF(L26,"Losverfahren wegen Gleichstand. Geben Sie die errechneten Platzierungen (rot) in der richtigen Reihenfolge ein.","")</f>
        <v/>
      </c>
      <c r="M31" s="158"/>
      <c r="N31" s="166"/>
      <c r="O31" s="158"/>
      <c r="P31" s="166"/>
      <c r="Q31" s="166"/>
      <c r="R31" s="158"/>
      <c r="S31" s="158"/>
    </row>
    <row r="32" spans="1:19">
      <c r="B32" s="128"/>
      <c r="C32" s="6"/>
      <c r="D32" s="5"/>
      <c r="F32" s="128"/>
      <c r="L32" s="159"/>
      <c r="M32" s="159"/>
      <c r="N32" s="159"/>
      <c r="O32" s="159"/>
      <c r="P32" s="159"/>
      <c r="Q32" s="159"/>
      <c r="R32" s="159"/>
      <c r="S32" s="159"/>
    </row>
    <row r="33" spans="1:19" ht="21.75" customHeight="1">
      <c r="A33" s="163" t="s">
        <v>190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</row>
    <row r="34" spans="1:19">
      <c r="B34" s="128"/>
      <c r="C34" s="6"/>
      <c r="D34" s="5"/>
    </row>
    <row r="35" spans="1:19" ht="18">
      <c r="A35" s="128">
        <v>7</v>
      </c>
      <c r="B35" s="128" t="str">
        <f>VLOOKUP($A35,Text!$A$44:$F$107,2,FALSE)</f>
        <v>Sa., 14. 06. 2014</v>
      </c>
      <c r="C35" s="6">
        <f>VLOOKUP($A35,Text!$A$44:$F$107,3,FALSE)</f>
        <v>0.875</v>
      </c>
      <c r="D35" s="5" t="str">
        <f>VLOOKUP($A35,Text!$A$44:$F$107,6,FALSE)</f>
        <v>Fortaleza</v>
      </c>
      <c r="E35" s="124" t="str">
        <f>Text!$B$18</f>
        <v>Uruguay</v>
      </c>
      <c r="F35" s="157" t="s">
        <v>99</v>
      </c>
      <c r="G35" s="122" t="str">
        <f>Text!$B$19</f>
        <v>Costa Rica</v>
      </c>
      <c r="H35" s="21">
        <v>1</v>
      </c>
      <c r="I35" s="157" t="s">
        <v>99</v>
      </c>
      <c r="J35" s="21">
        <v>0</v>
      </c>
      <c r="L35" s="114" t="b">
        <f>(Berechnungen!AD36="Auswahl durch Losverfahren")</f>
        <v>0</v>
      </c>
      <c r="M35" s="18" t="s">
        <v>107</v>
      </c>
      <c r="N35" s="18" t="s">
        <v>104</v>
      </c>
      <c r="O35" s="18" t="s">
        <v>108</v>
      </c>
      <c r="P35" s="161" t="s">
        <v>105</v>
      </c>
      <c r="Q35" s="161"/>
      <c r="R35" s="161"/>
      <c r="S35" s="18" t="s">
        <v>106</v>
      </c>
    </row>
    <row r="36" spans="1:19">
      <c r="A36" s="128">
        <v>8</v>
      </c>
      <c r="B36" s="128" t="str">
        <f>VLOOKUP($A36,Text!$A$44:$F$107,2,FALSE)</f>
        <v>So., 15. 06. 2014</v>
      </c>
      <c r="C36" s="6">
        <f>VLOOKUP($A36,Text!$A$44:$F$107,3,FALSE)</f>
        <v>0</v>
      </c>
      <c r="D36" s="5" t="str">
        <f>VLOOKUP($A36,Text!$A$44:$F$107,6,FALSE)</f>
        <v>Manaus</v>
      </c>
      <c r="E36" s="124" t="str">
        <f>Text!$B$20</f>
        <v xml:space="preserve">England </v>
      </c>
      <c r="F36" s="157" t="s">
        <v>99</v>
      </c>
      <c r="G36" s="122" t="str">
        <f>Text!$B$21</f>
        <v>Italien</v>
      </c>
      <c r="H36" s="21">
        <v>0</v>
      </c>
      <c r="I36" s="157" t="s">
        <v>99</v>
      </c>
      <c r="J36" s="21">
        <v>1</v>
      </c>
      <c r="K36" s="114">
        <f>IF(L35,L36,1)</f>
        <v>1</v>
      </c>
      <c r="L36" s="15">
        <v>1</v>
      </c>
      <c r="M36" s="15" t="str">
        <f>INDEX(Berechnungen!$V$30:$AA$33,MATCH($K36,Berechnungen!$AD$30:$AD$33,0),1)</f>
        <v>Italien</v>
      </c>
      <c r="N36" s="15">
        <f>INDEX(Berechnungen!$V$30:$AA$33,MATCH($K36,Berechnungen!$AD$30:$AD$33,0),2)</f>
        <v>3</v>
      </c>
      <c r="O36" s="7">
        <f>INDEX(Berechnungen!$V$30:$AA$33,MATCH($K36,Berechnungen!$AD$30:$AD$33,0),3)</f>
        <v>6</v>
      </c>
      <c r="P36" s="101">
        <f>INDEX(Berechnungen!$V$30:$AA$33,MATCH($K36,Berechnungen!$AD$30:$AD$33,0),4)</f>
        <v>6</v>
      </c>
      <c r="Q36" s="19" t="s">
        <v>99</v>
      </c>
      <c r="R36" s="29">
        <f>INDEX(Berechnungen!$V$30:$AA$33,MATCH($K36,Berechnungen!$AD$30:$AD$33,0),5)</f>
        <v>3</v>
      </c>
      <c r="S36" s="15">
        <f>INDEX(Berechnungen!$V$30:$AA$33,MATCH($K36,Berechnungen!$AD$30:$AD$33,0),6)</f>
        <v>3</v>
      </c>
    </row>
    <row r="37" spans="1:19">
      <c r="A37" s="128">
        <v>23</v>
      </c>
      <c r="B37" s="128" t="str">
        <f>VLOOKUP($A37,Text!$A$44:$F$107,2,FALSE)</f>
        <v>Do., 19. 06. 2014</v>
      </c>
      <c r="C37" s="6">
        <f>VLOOKUP($A37,Text!$A$44:$F$107,3,FALSE)</f>
        <v>0.875</v>
      </c>
      <c r="D37" s="5" t="str">
        <f>VLOOKUP($A37,Text!$A$44:$F$107,6,FALSE)</f>
        <v>Sao Paulo</v>
      </c>
      <c r="E37" s="124" t="str">
        <f>Text!$B$18</f>
        <v>Uruguay</v>
      </c>
      <c r="F37" s="157" t="s">
        <v>99</v>
      </c>
      <c r="G37" s="122" t="str">
        <f>Text!$B$20</f>
        <v xml:space="preserve">England </v>
      </c>
      <c r="H37" s="21">
        <v>3</v>
      </c>
      <c r="I37" s="157" t="s">
        <v>99</v>
      </c>
      <c r="J37" s="21">
        <v>1</v>
      </c>
      <c r="K37" s="114">
        <f t="shared" ref="K37:K39" si="3">IF(L36,L37,1)</f>
        <v>2</v>
      </c>
      <c r="L37" s="16">
        <v>2</v>
      </c>
      <c r="M37" s="16" t="str">
        <f>INDEX(Berechnungen!$V$30:$AA$33,MATCH($K37,Berechnungen!$AD$30:$AD$33,0),1)</f>
        <v>Costa Rica</v>
      </c>
      <c r="N37" s="13">
        <f>INDEX(Berechnungen!$V$30:$AA$33,MATCH($K37,Berechnungen!$AD$30:$AD$33,0),2)</f>
        <v>3</v>
      </c>
      <c r="O37" s="16">
        <f>INDEX(Berechnungen!$V$30:$AA$33,MATCH($K37,Berechnungen!$AD$30:$AD$33,0),3)</f>
        <v>6</v>
      </c>
      <c r="P37" s="16">
        <f>INDEX(Berechnungen!$V$30:$AA$33,MATCH($K37,Berechnungen!$AD$30:$AD$33,0),4)</f>
        <v>3</v>
      </c>
      <c r="Q37" s="19" t="s">
        <v>99</v>
      </c>
      <c r="R37" s="30">
        <f>INDEX(Berechnungen!$V$30:$AA$33,MATCH($K37,Berechnungen!$AD$30:$AD$33,0),5)</f>
        <v>2</v>
      </c>
      <c r="S37" s="16">
        <f>INDEX(Berechnungen!$V$30:$AA$33,MATCH($K37,Berechnungen!$AD$30:$AD$33,0),6)</f>
        <v>1</v>
      </c>
    </row>
    <row r="38" spans="1:19">
      <c r="A38" s="128">
        <v>24</v>
      </c>
      <c r="B38" s="128" t="str">
        <f>VLOOKUP($A38,Text!$A$44:$F$107,2,FALSE)</f>
        <v>Fr., 20. 06. 2014</v>
      </c>
      <c r="C38" s="6">
        <f>VLOOKUP($A38,Text!$A$44:$F$107,3,FALSE)</f>
        <v>0.75</v>
      </c>
      <c r="D38" s="5" t="str">
        <f>VLOOKUP($A38,Text!$A$44:$F$107,6,FALSE)</f>
        <v>Recife</v>
      </c>
      <c r="E38" s="124" t="str">
        <f>Text!$B$21</f>
        <v>Italien</v>
      </c>
      <c r="F38" s="157" t="s">
        <v>99</v>
      </c>
      <c r="G38" s="122" t="str">
        <f>Text!$B$19</f>
        <v>Costa Rica</v>
      </c>
      <c r="H38" s="21">
        <v>3</v>
      </c>
      <c r="I38" s="157" t="s">
        <v>99</v>
      </c>
      <c r="J38" s="21">
        <v>1</v>
      </c>
      <c r="K38" s="114">
        <f t="shared" si="3"/>
        <v>3</v>
      </c>
      <c r="L38" s="16">
        <v>3</v>
      </c>
      <c r="M38" s="16" t="str">
        <f>INDEX(Berechnungen!$V$30:$AA$33,MATCH($K38,Berechnungen!$AD$30:$AD$33,0),1)</f>
        <v>England</v>
      </c>
      <c r="N38" s="13">
        <f>INDEX(Berechnungen!$V$30:$AA$33,MATCH($K38,Berechnungen!$AD$30:$AD$33,0),2)</f>
        <v>3</v>
      </c>
      <c r="O38" s="16">
        <f>INDEX(Berechnungen!$V$30:$AA$33,MATCH($K38,Berechnungen!$AD$30:$AD$33,0),3)</f>
        <v>4</v>
      </c>
      <c r="P38" s="16">
        <f>INDEX(Berechnungen!$V$30:$AA$33,MATCH($K38,Berechnungen!$AD$30:$AD$33,0),4)</f>
        <v>3</v>
      </c>
      <c r="Q38" s="19" t="s">
        <v>99</v>
      </c>
      <c r="R38" s="30">
        <f>INDEX(Berechnungen!$V$30:$AA$33,MATCH($K38,Berechnungen!$AD$30:$AD$33,0),5)</f>
        <v>4</v>
      </c>
      <c r="S38" s="16">
        <f>INDEX(Berechnungen!$V$30:$AA$33,MATCH($K38,Berechnungen!$AD$30:$AD$33,0),6)</f>
        <v>-1</v>
      </c>
    </row>
    <row r="39" spans="1:19">
      <c r="A39" s="128">
        <v>39</v>
      </c>
      <c r="B39" s="128" t="str">
        <f>VLOOKUP($A39,Text!$A$44:$F$107,2,FALSE)</f>
        <v>Di., 24. 06. 2014</v>
      </c>
      <c r="C39" s="6">
        <f>VLOOKUP($A39,Text!$A$44:$F$107,3,FALSE)</f>
        <v>0.75</v>
      </c>
      <c r="D39" s="5" t="str">
        <f>VLOOKUP($A39,Text!$A$44:$F$107,6,FALSE)</f>
        <v>Natal</v>
      </c>
      <c r="E39" s="124" t="str">
        <f>Text!$B$21</f>
        <v>Italien</v>
      </c>
      <c r="F39" s="157" t="s">
        <v>99</v>
      </c>
      <c r="G39" s="122" t="str">
        <f>Text!$B$18</f>
        <v>Uruguay</v>
      </c>
      <c r="H39" s="21">
        <v>2</v>
      </c>
      <c r="I39" s="157" t="s">
        <v>99</v>
      </c>
      <c r="J39" s="21">
        <v>1</v>
      </c>
      <c r="K39" s="114">
        <f t="shared" si="3"/>
        <v>4</v>
      </c>
      <c r="L39" s="17">
        <f>IF(AND(Berechnungen!W36,Berechnungen!BD36=2,Berechnungen!BE36=3),3,4)</f>
        <v>4</v>
      </c>
      <c r="M39" s="17" t="str">
        <f>INDEX(Berechnungen!$V$30:$AA$33,MATCH($K39,Berechnungen!$AD$30:$AD$33,0),1)</f>
        <v>Uruguay</v>
      </c>
      <c r="N39" s="14">
        <f>INDEX(Berechnungen!$V$30:$AA$33,MATCH($K39,Berechnungen!$AD$30:$AD$33,0),2)</f>
        <v>3</v>
      </c>
      <c r="O39" s="17">
        <f>INDEX(Berechnungen!$V$30:$AA$33,MATCH($K39,Berechnungen!$AD$30:$AD$33,0),3)</f>
        <v>1</v>
      </c>
      <c r="P39" s="17">
        <f>INDEX(Berechnungen!$V$30:$AA$33,MATCH($K39,Berechnungen!$AD$30:$AD$33,0),4)</f>
        <v>1</v>
      </c>
      <c r="Q39" s="19" t="s">
        <v>99</v>
      </c>
      <c r="R39" s="31">
        <f>INDEX(Berechnungen!$V$30:$AA$33,MATCH($K39,Berechnungen!$AD$30:$AD$33,0),5)</f>
        <v>4</v>
      </c>
      <c r="S39" s="17">
        <f>INDEX(Berechnungen!$V$30:$AA$33,MATCH($K39,Berechnungen!$AD$30:$AD$33,0),6)</f>
        <v>-3</v>
      </c>
    </row>
    <row r="40" spans="1:19">
      <c r="A40" s="128">
        <v>40</v>
      </c>
      <c r="B40" s="128" t="str">
        <f>VLOOKUP($A40,Text!$A$44:$F$107,2,FALSE)</f>
        <v>Di., 24. 06. 2014</v>
      </c>
      <c r="C40" s="6">
        <f>VLOOKUP($A40,Text!$A$44:$F$107,3,FALSE)</f>
        <v>0.75</v>
      </c>
      <c r="D40" s="5" t="str">
        <f>VLOOKUP($A40,Text!$A$44:$F$107,6,FALSE)</f>
        <v>Belo Horizonte</v>
      </c>
      <c r="E40" s="124" t="str">
        <f>Text!$B$19</f>
        <v>Costa Rica</v>
      </c>
      <c r="F40" s="157" t="s">
        <v>99</v>
      </c>
      <c r="G40" s="122" t="str">
        <f>Text!$B$20</f>
        <v xml:space="preserve">England </v>
      </c>
      <c r="H40" s="21">
        <v>0</v>
      </c>
      <c r="I40" s="157" t="s">
        <v>99</v>
      </c>
      <c r="J40" s="21">
        <v>2</v>
      </c>
      <c r="L40" s="158" t="str">
        <f>IF(L35,"Losverfahren wegen Gleichstand. Geben Sie die errechneten Platzierungen (rot) in der richtigen Reihenfolge ein.","")</f>
        <v/>
      </c>
      <c r="M40" s="158"/>
      <c r="N40" s="158"/>
      <c r="O40" s="158"/>
      <c r="P40" s="158"/>
      <c r="Q40" s="158"/>
      <c r="R40" s="158"/>
      <c r="S40" s="158"/>
    </row>
    <row r="41" spans="1:19">
      <c r="B41" s="128"/>
      <c r="C41" s="6"/>
      <c r="D41" s="5"/>
      <c r="F41" s="128"/>
      <c r="L41" s="159"/>
      <c r="M41" s="159"/>
      <c r="N41" s="159"/>
      <c r="O41" s="159"/>
      <c r="P41" s="159"/>
      <c r="Q41" s="159"/>
      <c r="R41" s="159"/>
      <c r="S41" s="159"/>
    </row>
    <row r="42" spans="1:19" ht="21.75" customHeight="1">
      <c r="A42" s="169" t="s">
        <v>191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</row>
    <row r="43" spans="1:19">
      <c r="B43" s="128"/>
      <c r="C43" s="6"/>
      <c r="D43" s="5"/>
      <c r="E43" s="124"/>
      <c r="G43" s="122"/>
    </row>
    <row r="44" spans="1:19" ht="18">
      <c r="A44" s="2">
        <v>9</v>
      </c>
      <c r="B44" s="128" t="str">
        <f>VLOOKUP($A44,Text!$A$44:$F$107,2,FALSE)</f>
        <v>So, 15. 06. 2014</v>
      </c>
      <c r="C44" s="6">
        <f>VLOOKUP($A44,Text!$A$44:$F$107,3,FALSE)</f>
        <v>0.75</v>
      </c>
      <c r="D44" s="5" t="str">
        <f>VLOOKUP($A44,Text!$A$44:$F$107,6,FALSE)</f>
        <v>Brasilia</v>
      </c>
      <c r="E44" s="124" t="str">
        <f>Text!$B$23</f>
        <v>Schweiz</v>
      </c>
      <c r="F44" s="157" t="s">
        <v>99</v>
      </c>
      <c r="G44" s="122" t="str">
        <f>Text!$B$24</f>
        <v>Ecuador</v>
      </c>
      <c r="H44" s="21">
        <v>1</v>
      </c>
      <c r="I44" s="157" t="s">
        <v>99</v>
      </c>
      <c r="J44" s="21">
        <v>0</v>
      </c>
      <c r="L44" s="114" t="b">
        <f>(Berechnungen!AD45="Auswahl durch Losverfahren")</f>
        <v>0</v>
      </c>
      <c r="M44" s="18" t="s">
        <v>107</v>
      </c>
      <c r="N44" s="18" t="s">
        <v>104</v>
      </c>
      <c r="O44" s="18" t="s">
        <v>108</v>
      </c>
      <c r="P44" s="161" t="s">
        <v>105</v>
      </c>
      <c r="Q44" s="161"/>
      <c r="R44" s="161"/>
      <c r="S44" s="18" t="s">
        <v>106</v>
      </c>
    </row>
    <row r="45" spans="1:19">
      <c r="A45" s="2">
        <v>10</v>
      </c>
      <c r="B45" s="128" t="str">
        <f>VLOOKUP($A45,Text!$A$44:$F$107,2,FALSE)</f>
        <v>So., 15. 06. 2014</v>
      </c>
      <c r="C45" s="6">
        <f>VLOOKUP($A45,Text!$A$44:$F$107,3,FALSE)</f>
        <v>0.875</v>
      </c>
      <c r="D45" s="5" t="str">
        <f>VLOOKUP($A45,Text!$A$44:$F$107,6,FALSE)</f>
        <v>Porto Alegre</v>
      </c>
      <c r="E45" s="124" t="str">
        <f>Text!$B$25</f>
        <v>Frankreich</v>
      </c>
      <c r="F45" s="157" t="s">
        <v>99</v>
      </c>
      <c r="G45" s="122" t="str">
        <f>Text!$B$26</f>
        <v>Honduras</v>
      </c>
      <c r="H45" s="21">
        <v>2</v>
      </c>
      <c r="I45" s="157" t="s">
        <v>99</v>
      </c>
      <c r="J45" s="21">
        <v>1</v>
      </c>
      <c r="K45" s="114">
        <f>IF(L44,L45,1)</f>
        <v>1</v>
      </c>
      <c r="L45" s="15">
        <v>1</v>
      </c>
      <c r="M45" s="15" t="str">
        <f>INDEX(Berechnungen!$V$38:$AA$41,MATCH($K45,Berechnungen!$AD$38:$AD$41,0),1)</f>
        <v>Ecuador</v>
      </c>
      <c r="N45" s="15">
        <f>INDEX(Berechnungen!$V$38:$AA$41,MATCH($K45,Berechnungen!$AD$38:$AD$41,0),2)</f>
        <v>3</v>
      </c>
      <c r="O45" s="7">
        <f>INDEX(Berechnungen!$V$38:$AA$41,MATCH($K45,Berechnungen!$AD$38:$AD$41,0),3)</f>
        <v>9</v>
      </c>
      <c r="P45" s="101">
        <f>INDEX(Berechnungen!$V$38:$AA$41,MATCH($K45,Berechnungen!$AD$38:$AD$41,0),4)</f>
        <v>7</v>
      </c>
      <c r="Q45" s="19" t="s">
        <v>99</v>
      </c>
      <c r="R45" s="29">
        <f>INDEX(Berechnungen!$V$38:$AA$41,MATCH($K45,Berechnungen!$AD$38:$AD$41,0),5)</f>
        <v>3</v>
      </c>
      <c r="S45" s="15">
        <f>INDEX(Berechnungen!$V$38:$AA$41,MATCH($K45,Berechnungen!$AD$38:$AD$41,0),6)</f>
        <v>4</v>
      </c>
    </row>
    <row r="46" spans="1:19">
      <c r="A46" s="2">
        <v>25</v>
      </c>
      <c r="B46" s="128" t="str">
        <f>VLOOKUP($A46,Text!$A$44:$F$107,2,FALSE)</f>
        <v>Fr., 20. 06. 2014</v>
      </c>
      <c r="C46" s="6">
        <f>VLOOKUP($A46,Text!$A$44:$F$107,3,FALSE)</f>
        <v>0.875</v>
      </c>
      <c r="D46" s="5" t="str">
        <f>VLOOKUP($A46,Text!$A$44:$F$107,6,FALSE)</f>
        <v>Salvador</v>
      </c>
      <c r="E46" s="124" t="str">
        <f>Text!$B$23</f>
        <v>Schweiz</v>
      </c>
      <c r="F46" s="157" t="s">
        <v>99</v>
      </c>
      <c r="G46" s="122" t="str">
        <f>Text!$B$25</f>
        <v>Frankreich</v>
      </c>
      <c r="H46" s="21">
        <v>2</v>
      </c>
      <c r="I46" s="157" t="s">
        <v>99</v>
      </c>
      <c r="J46" s="21">
        <v>3</v>
      </c>
      <c r="K46" s="114">
        <f t="shared" ref="K46:K48" si="4">IF(L45,L46,1)</f>
        <v>2</v>
      </c>
      <c r="L46" s="16">
        <v>2</v>
      </c>
      <c r="M46" s="16" t="str">
        <f>INDEX(Berechnungen!$V$38:$AA$41,MATCH($K46,Berechnungen!$AD$38:$AD$41,0),1)</f>
        <v>Schweiz</v>
      </c>
      <c r="N46" s="13">
        <f>INDEX(Berechnungen!$V$38:$AA$41,MATCH($K46,Berechnungen!$AD$38:$AD$41,0),2)</f>
        <v>3</v>
      </c>
      <c r="O46" s="16">
        <f>INDEX(Berechnungen!$V$38:$AA$41,MATCH($K46,Berechnungen!$AD$38:$AD$41,0),3)</f>
        <v>4</v>
      </c>
      <c r="P46" s="16">
        <f>INDEX(Berechnungen!$V$38:$AA$41,MATCH($K46,Berechnungen!$AD$38:$AD$41,0),4)</f>
        <v>4</v>
      </c>
      <c r="Q46" s="19" t="s">
        <v>99</v>
      </c>
      <c r="R46" s="30">
        <f>INDEX(Berechnungen!$V$38:$AA$41,MATCH($K46,Berechnungen!$AD$38:$AD$41,0),5)</f>
        <v>4</v>
      </c>
      <c r="S46" s="16">
        <f>INDEX(Berechnungen!$V$38:$AA$41,MATCH($K46,Berechnungen!$AD$38:$AD$41,0),6)</f>
        <v>0</v>
      </c>
    </row>
    <row r="47" spans="1:19">
      <c r="A47" s="2">
        <v>26</v>
      </c>
      <c r="B47" s="128" t="str">
        <f>VLOOKUP($A47,Text!$A$44:$F$107,2,FALSE)</f>
        <v>Sa., 21. 06. 2014</v>
      </c>
      <c r="C47" s="6">
        <f>VLOOKUP($A47,Text!$A$44:$F$107,3,FALSE)</f>
        <v>0</v>
      </c>
      <c r="D47" s="5" t="str">
        <f>VLOOKUP($A47,Text!$A$44:$F$107,6,FALSE)</f>
        <v>Curitiba</v>
      </c>
      <c r="E47" s="124" t="str">
        <f>Text!$B$26</f>
        <v>Honduras</v>
      </c>
      <c r="F47" s="157" t="s">
        <v>99</v>
      </c>
      <c r="G47" s="122" t="str">
        <f>Text!$B$24</f>
        <v>Ecuador</v>
      </c>
      <c r="H47" s="21">
        <v>2</v>
      </c>
      <c r="I47" s="157" t="s">
        <v>99</v>
      </c>
      <c r="J47" s="21">
        <v>2</v>
      </c>
      <c r="K47" s="114">
        <f t="shared" si="4"/>
        <v>3</v>
      </c>
      <c r="L47" s="16">
        <v>3</v>
      </c>
      <c r="M47" s="16" t="str">
        <f>INDEX(Berechnungen!$V$38:$AA$41,MATCH($K47,Berechnungen!$AD$38:$AD$41,0),1)</f>
        <v>Honduras</v>
      </c>
      <c r="N47" s="13">
        <f>INDEX(Berechnungen!$V$38:$AA$41,MATCH($K47,Berechnungen!$AD$38:$AD$41,0),2)</f>
        <v>3</v>
      </c>
      <c r="O47" s="16">
        <f>INDEX(Berechnungen!$V$38:$AA$41,MATCH($K47,Berechnungen!$AD$38:$AD$41,0),3)</f>
        <v>4</v>
      </c>
      <c r="P47" s="16">
        <f>INDEX(Berechnungen!$V$38:$AA$41,MATCH($K47,Berechnungen!$AD$38:$AD$41,0),4)</f>
        <v>4</v>
      </c>
      <c r="Q47" s="19" t="s">
        <v>99</v>
      </c>
      <c r="R47" s="30">
        <f>INDEX(Berechnungen!$V$38:$AA$41,MATCH($K47,Berechnungen!$AD$38:$AD$41,0),5)</f>
        <v>5</v>
      </c>
      <c r="S47" s="16">
        <f>INDEX(Berechnungen!$V$38:$AA$41,MATCH($K47,Berechnungen!$AD$38:$AD$41,0),6)</f>
        <v>-1</v>
      </c>
    </row>
    <row r="48" spans="1:19">
      <c r="A48" s="2">
        <v>41</v>
      </c>
      <c r="B48" s="128" t="str">
        <f>VLOOKUP($A48,Text!$A$44:$F$107,2,FALSE)</f>
        <v>Mi., 25. 06. 2014</v>
      </c>
      <c r="C48" s="6">
        <f>VLOOKUP($A48,Text!$A$44:$F$107,3,FALSE)</f>
        <v>0.91666666666666663</v>
      </c>
      <c r="D48" s="5" t="str">
        <f>VLOOKUP($A48,Text!$A$44:$F$107,6,FALSE)</f>
        <v>Manaus</v>
      </c>
      <c r="E48" s="124" t="str">
        <f>Text!$B$26</f>
        <v>Honduras</v>
      </c>
      <c r="F48" s="157" t="s">
        <v>99</v>
      </c>
      <c r="G48" s="122" t="str">
        <f>Text!$B$23</f>
        <v>Schweiz</v>
      </c>
      <c r="H48" s="21">
        <v>1</v>
      </c>
      <c r="I48" s="157" t="s">
        <v>99</v>
      </c>
      <c r="J48" s="21">
        <v>1</v>
      </c>
      <c r="K48" s="114">
        <f t="shared" si="4"/>
        <v>4</v>
      </c>
      <c r="L48" s="17">
        <f>IF(AND(Berechnungen!W45,Berechnungen!BD45=2,Berechnungen!BE45=3),3,4)</f>
        <v>4</v>
      </c>
      <c r="M48" s="17" t="str">
        <f>INDEX(Berechnungen!$V$38:$AA$41,MATCH($K48,Berechnungen!$AD$38:$AD$41,0),1)</f>
        <v>Frankreich</v>
      </c>
      <c r="N48" s="14">
        <f>INDEX(Berechnungen!$V$38:$AA$41,MATCH($K48,Berechnungen!$AD$38:$AD$41,0),2)</f>
        <v>3</v>
      </c>
      <c r="O48" s="17">
        <f>INDEX(Berechnungen!$V$38:$AA$41,MATCH($K48,Berechnungen!$AD$38:$AD$41,0),3)</f>
        <v>1</v>
      </c>
      <c r="P48" s="17">
        <f>INDEX(Berechnungen!$V$38:$AA$41,MATCH($K48,Berechnungen!$AD$38:$AD$41,0),4)</f>
        <v>2</v>
      </c>
      <c r="Q48" s="19" t="s">
        <v>99</v>
      </c>
      <c r="R48" s="31">
        <f>INDEX(Berechnungen!$V$38:$AA$41,MATCH($K48,Berechnungen!$AD$38:$AD$41,0),5)</f>
        <v>5</v>
      </c>
      <c r="S48" s="17">
        <f>INDEX(Berechnungen!$V$38:$AA$41,MATCH($K48,Berechnungen!$AD$38:$AD$41,0),6)</f>
        <v>-3</v>
      </c>
    </row>
    <row r="49" spans="1:19">
      <c r="A49" s="2">
        <v>42</v>
      </c>
      <c r="B49" s="128" t="str">
        <f>VLOOKUP($A49,Text!$A$44:$F$107,2,FALSE)</f>
        <v>Mi., 25. 06. 2014</v>
      </c>
      <c r="C49" s="6">
        <f>VLOOKUP($A49,Text!$A$44:$F$107,3,FALSE)</f>
        <v>0.91666666666666663</v>
      </c>
      <c r="D49" s="5" t="str">
        <f>VLOOKUP($A49,Text!$A$44:$F$107,6,FALSE)</f>
        <v>Rio de Janeiro</v>
      </c>
      <c r="E49" s="124" t="str">
        <f>Text!$B$24</f>
        <v>Ecuador</v>
      </c>
      <c r="F49" s="157" t="s">
        <v>99</v>
      </c>
      <c r="G49" s="122" t="str">
        <f>Text!$B$25</f>
        <v>Frankreich</v>
      </c>
      <c r="H49" s="21">
        <v>0</v>
      </c>
      <c r="I49" s="157" t="s">
        <v>99</v>
      </c>
      <c r="J49" s="21">
        <v>2</v>
      </c>
      <c r="L49" s="158" t="str">
        <f>IF(L44,"Losverfahren wegen Gleichstand. Geben Sie die errechneten Platzierungen (rot) in der richtigen Reihenfolge ein.","")</f>
        <v/>
      </c>
      <c r="M49" s="158"/>
      <c r="N49" s="158"/>
      <c r="O49" s="158"/>
      <c r="P49" s="158"/>
      <c r="Q49" s="158"/>
      <c r="R49" s="158"/>
      <c r="S49" s="158"/>
    </row>
    <row r="50" spans="1:19">
      <c r="B50" s="128"/>
      <c r="C50" s="6"/>
      <c r="D50" s="5"/>
      <c r="L50" s="159"/>
      <c r="M50" s="159"/>
      <c r="N50" s="159"/>
      <c r="O50" s="159"/>
      <c r="P50" s="159"/>
      <c r="Q50" s="159"/>
      <c r="R50" s="159"/>
      <c r="S50" s="159"/>
    </row>
    <row r="51" spans="1:19" ht="21.75" customHeight="1">
      <c r="A51" s="169" t="s">
        <v>192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</row>
    <row r="52" spans="1:19">
      <c r="B52" s="128"/>
      <c r="C52" s="6"/>
      <c r="D52" s="5"/>
      <c r="M52" s="7"/>
      <c r="N52" s="7"/>
      <c r="O52" s="7"/>
      <c r="P52" s="7"/>
      <c r="Q52" s="7"/>
      <c r="R52" s="72"/>
      <c r="S52" s="7"/>
    </row>
    <row r="53" spans="1:19" ht="18">
      <c r="A53" s="128">
        <v>11</v>
      </c>
      <c r="B53" s="128" t="str">
        <f>VLOOKUP($A53,Text!$A$44:$F$107,2,FALSE)</f>
        <v>Mo., 16. 06. 2014</v>
      </c>
      <c r="C53" s="6">
        <f>VLOOKUP($A53,Text!$A$44:$F$107,3,FALSE)</f>
        <v>0</v>
      </c>
      <c r="D53" s="5" t="str">
        <f>VLOOKUP($A53,Text!$A$44:$F$107,6,FALSE)</f>
        <v>Rio de Janeiro</v>
      </c>
      <c r="E53" s="124" t="str">
        <f>Text!$B$28</f>
        <v>Argentinien</v>
      </c>
      <c r="F53" s="157" t="s">
        <v>99</v>
      </c>
      <c r="G53" s="122" t="str">
        <f>Text!$B$29</f>
        <v>Bosnien-Herzegowina</v>
      </c>
      <c r="H53" s="21">
        <v>2</v>
      </c>
      <c r="I53" s="157" t="s">
        <v>99</v>
      </c>
      <c r="J53" s="21">
        <v>0</v>
      </c>
      <c r="L53" s="114" t="b">
        <f>(Berechnungen!AD54="Auswahl durch Losverfahren")</f>
        <v>0</v>
      </c>
      <c r="M53" s="18" t="s">
        <v>107</v>
      </c>
      <c r="N53" s="18" t="s">
        <v>104</v>
      </c>
      <c r="O53" s="18" t="s">
        <v>108</v>
      </c>
      <c r="P53" s="161" t="s">
        <v>105</v>
      </c>
      <c r="Q53" s="161"/>
      <c r="R53" s="161"/>
      <c r="S53" s="18" t="s">
        <v>106</v>
      </c>
    </row>
    <row r="54" spans="1:19">
      <c r="A54" s="128">
        <v>12</v>
      </c>
      <c r="B54" s="128" t="str">
        <f>VLOOKUP($A54,Text!$A$44:$F$107,2,FALSE)</f>
        <v>Mo., 16. 06. 2014</v>
      </c>
      <c r="C54" s="6">
        <f>VLOOKUP($A54,Text!$A$44:$F$107,3,FALSE)</f>
        <v>0.875</v>
      </c>
      <c r="D54" s="5" t="str">
        <f>VLOOKUP($A54,Text!$A$44:$F$107,6,FALSE)</f>
        <v>Curitiba</v>
      </c>
      <c r="E54" s="124" t="str">
        <f>Text!$B$30</f>
        <v>Iran</v>
      </c>
      <c r="F54" s="157" t="s">
        <v>99</v>
      </c>
      <c r="G54" s="122" t="str">
        <f>Text!$B$31</f>
        <v>Nigeria</v>
      </c>
      <c r="H54" s="21">
        <v>0</v>
      </c>
      <c r="I54" s="157" t="s">
        <v>99</v>
      </c>
      <c r="J54" s="21">
        <v>1</v>
      </c>
      <c r="K54" s="114">
        <f>IF(L53,L54,1)</f>
        <v>1</v>
      </c>
      <c r="L54" s="15">
        <v>1</v>
      </c>
      <c r="M54" s="15" t="str">
        <f>INDEX(Berechnungen!$V$46:$AA$49,MATCH($K54,Berechnungen!$AD$46:$AD$49,0),1)</f>
        <v>Iran</v>
      </c>
      <c r="N54" s="15">
        <f>INDEX(Berechnungen!$V$46:$AA$49,MATCH($K54,Berechnungen!$AD$46:$AD$49,0),2)</f>
        <v>3</v>
      </c>
      <c r="O54" s="7">
        <f>INDEX(Berechnungen!$V$46:$AA$49,MATCH($K54,Berechnungen!$AD$46:$AD$49,0),3)</f>
        <v>6</v>
      </c>
      <c r="P54" s="101">
        <f>INDEX(Berechnungen!$V$46:$AA$49,MATCH($K54,Berechnungen!$AD$46:$AD$49,0),4)</f>
        <v>5</v>
      </c>
      <c r="Q54" s="19" t="s">
        <v>99</v>
      </c>
      <c r="R54" s="29">
        <f>INDEX(Berechnungen!$V$46:$AA$49,MATCH($K54,Berechnungen!$AD$46:$AD$49,0),5)</f>
        <v>3</v>
      </c>
      <c r="S54" s="15">
        <f>INDEX(Berechnungen!$V$46:$AA$49,MATCH($K54,Berechnungen!$AD$46:$AD$49,0),6)</f>
        <v>2</v>
      </c>
    </row>
    <row r="55" spans="1:19">
      <c r="A55" s="128">
        <v>27</v>
      </c>
      <c r="B55" s="128" t="str">
        <f>VLOOKUP($A55,Text!$A$44:$F$107,2,FALSE)</f>
        <v>Sa., 21. 06. 2014</v>
      </c>
      <c r="C55" s="6">
        <f>VLOOKUP($A55,Text!$A$44:$F$107,3,FALSE)</f>
        <v>0.75</v>
      </c>
      <c r="D55" s="5" t="str">
        <f>VLOOKUP($A55,Text!$A$44:$F$107,6,FALSE)</f>
        <v>Belo Horizonte</v>
      </c>
      <c r="E55" s="124" t="str">
        <f>Text!$B$28</f>
        <v>Argentinien</v>
      </c>
      <c r="F55" s="157" t="s">
        <v>99</v>
      </c>
      <c r="G55" s="122" t="str">
        <f>Text!$B$30</f>
        <v>Iran</v>
      </c>
      <c r="H55" s="21">
        <v>1</v>
      </c>
      <c r="I55" s="157" t="s">
        <v>99</v>
      </c>
      <c r="J55" s="21">
        <v>1</v>
      </c>
      <c r="K55" s="114">
        <f t="shared" ref="K55:K57" si="5">IF(L54,L55,1)</f>
        <v>2</v>
      </c>
      <c r="L55" s="16">
        <v>2</v>
      </c>
      <c r="M55" s="16" t="str">
        <f>INDEX(Berechnungen!$V$46:$AA$49,MATCH($K55,Berechnungen!$AD$46:$AD$49,0),1)</f>
        <v>Argentinien</v>
      </c>
      <c r="N55" s="13">
        <f>INDEX(Berechnungen!$V$46:$AA$49,MATCH($K55,Berechnungen!$AD$46:$AD$49,0),2)</f>
        <v>3</v>
      </c>
      <c r="O55" s="7">
        <f>INDEX(Berechnungen!$V$46:$AA$49,MATCH($K55,Berechnungen!$AD$46:$AD$49,0),3)</f>
        <v>5</v>
      </c>
      <c r="P55" s="16">
        <f>INDEX(Berechnungen!$V$46:$AA$49,MATCH($K55,Berechnungen!$AD$46:$AD$49,0),4)</f>
        <v>4</v>
      </c>
      <c r="Q55" s="19" t="s">
        <v>99</v>
      </c>
      <c r="R55" s="30">
        <f>INDEX(Berechnungen!$V$46:$AA$49,MATCH($K55,Berechnungen!$AD$46:$AD$49,0),5)</f>
        <v>2</v>
      </c>
      <c r="S55" s="16">
        <f>INDEX(Berechnungen!$V$46:$AA$49,MATCH($K55,Berechnungen!$AD$46:$AD$49,0),6)</f>
        <v>2</v>
      </c>
    </row>
    <row r="56" spans="1:19">
      <c r="A56" s="128">
        <v>28</v>
      </c>
      <c r="B56" s="128" t="str">
        <f>VLOOKUP($A56,Text!$A$44:$F$107,2,FALSE)</f>
        <v>So., 22. 06. 2014</v>
      </c>
      <c r="C56" s="6">
        <f>VLOOKUP($A56,Text!$A$44:$F$107,3,FALSE)</f>
        <v>0</v>
      </c>
      <c r="D56" s="5" t="str">
        <f>VLOOKUP($A56,Text!$A$44:$F$107,6,FALSE)</f>
        <v>Cuiaba</v>
      </c>
      <c r="E56" s="124" t="str">
        <f>Text!$B$31</f>
        <v>Nigeria</v>
      </c>
      <c r="F56" s="157" t="s">
        <v>99</v>
      </c>
      <c r="G56" s="122" t="str">
        <f>Text!$B$29</f>
        <v>Bosnien-Herzegowina</v>
      </c>
      <c r="H56" s="21">
        <v>1</v>
      </c>
      <c r="I56" s="157" t="s">
        <v>99</v>
      </c>
      <c r="J56" s="21">
        <v>3</v>
      </c>
      <c r="K56" s="114">
        <f t="shared" si="5"/>
        <v>3</v>
      </c>
      <c r="L56" s="16">
        <v>3</v>
      </c>
      <c r="M56" s="16" t="str">
        <f>INDEX(Berechnungen!$V$46:$AA$49,MATCH($K56,Berechnungen!$AD$46:$AD$49,0),1)</f>
        <v>Nigeria</v>
      </c>
      <c r="N56" s="13">
        <f>INDEX(Berechnungen!$V$46:$AA$49,MATCH($K56,Berechnungen!$AD$46:$AD$49,0),2)</f>
        <v>3</v>
      </c>
      <c r="O56" s="7">
        <f>INDEX(Berechnungen!$V$46:$AA$49,MATCH($K56,Berechnungen!$AD$46:$AD$49,0),3)</f>
        <v>3</v>
      </c>
      <c r="P56" s="16">
        <f>INDEX(Berechnungen!$V$46:$AA$49,MATCH($K56,Berechnungen!$AD$46:$AD$49,0),4)</f>
        <v>3</v>
      </c>
      <c r="Q56" s="19" t="s">
        <v>99</v>
      </c>
      <c r="R56" s="30">
        <f>INDEX(Berechnungen!$V$46:$AA$49,MATCH($K56,Berechnungen!$AD$46:$AD$49,0),5)</f>
        <v>4</v>
      </c>
      <c r="S56" s="16">
        <f>INDEX(Berechnungen!$V$46:$AA$49,MATCH($K56,Berechnungen!$AD$46:$AD$49,0),6)</f>
        <v>-1</v>
      </c>
    </row>
    <row r="57" spans="1:19">
      <c r="A57" s="128">
        <v>43</v>
      </c>
      <c r="B57" s="128" t="str">
        <f>VLOOKUP($A57,Text!$A$44:$F$107,2,FALSE)</f>
        <v>Mi., 25. 06. 2014</v>
      </c>
      <c r="C57" s="6">
        <f>VLOOKUP($A57,Text!$A$44:$F$107,3,FALSE)</f>
        <v>0.75</v>
      </c>
      <c r="D57" s="5" t="str">
        <f>VLOOKUP($A57,Text!$A$44:$F$107,6,FALSE)</f>
        <v>Porto Alegre</v>
      </c>
      <c r="E57" s="124" t="str">
        <f>Text!$B$31</f>
        <v>Nigeria</v>
      </c>
      <c r="F57" s="157" t="s">
        <v>99</v>
      </c>
      <c r="G57" s="122" t="str">
        <f>Text!$B$28</f>
        <v>Argentinien</v>
      </c>
      <c r="H57" s="21">
        <v>1</v>
      </c>
      <c r="I57" s="157" t="s">
        <v>99</v>
      </c>
      <c r="J57" s="21">
        <v>1</v>
      </c>
      <c r="K57" s="114">
        <f t="shared" si="5"/>
        <v>4</v>
      </c>
      <c r="L57" s="17">
        <f>IF(AND(Berechnungen!W54,Berechnungen!BD54=2,Berechnungen!BE54=3),3,4)</f>
        <v>4</v>
      </c>
      <c r="M57" s="17" t="str">
        <f>INDEX(Berechnungen!$V$46:$AA$49,MATCH($K57,Berechnungen!$AD$46:$AD$49,0),1)</f>
        <v>Bosnien-Herzegowina</v>
      </c>
      <c r="N57" s="14">
        <f>INDEX(Berechnungen!$V$46:$AA$49,MATCH($K57,Berechnungen!$AD$46:$AD$49,0),2)</f>
        <v>3</v>
      </c>
      <c r="O57" s="7">
        <f>INDEX(Berechnungen!$V$46:$AA$49,MATCH($K57,Berechnungen!$AD$46:$AD$49,0),3)</f>
        <v>1</v>
      </c>
      <c r="P57" s="17">
        <f>INDEX(Berechnungen!$V$46:$AA$49,MATCH($K57,Berechnungen!$AD$46:$AD$49,0),4)</f>
        <v>1</v>
      </c>
      <c r="Q57" s="19" t="s">
        <v>99</v>
      </c>
      <c r="R57" s="31">
        <f>INDEX(Berechnungen!$V$46:$AA$49,MATCH($K57,Berechnungen!$AD$46:$AD$49,0),5)</f>
        <v>4</v>
      </c>
      <c r="S57" s="17">
        <f>INDEX(Berechnungen!$V$46:$AA$49,MATCH($K57,Berechnungen!$AD$46:$AD$49,0),6)</f>
        <v>-3</v>
      </c>
    </row>
    <row r="58" spans="1:19">
      <c r="A58" s="128">
        <v>44</v>
      </c>
      <c r="B58" s="128" t="str">
        <f>VLOOKUP($A58,Text!$A$44:$F$107,2,FALSE)</f>
        <v>Mi., 25. 06. 2014</v>
      </c>
      <c r="C58" s="6">
        <f>VLOOKUP($A58,Text!$A$44:$F$107,3,FALSE)</f>
        <v>0.75</v>
      </c>
      <c r="D58" s="5" t="str">
        <f>VLOOKUP($A58,Text!$A$44:$F$107,6,FALSE)</f>
        <v>Salvador</v>
      </c>
      <c r="E58" s="124" t="str">
        <f>Text!$B$29</f>
        <v>Bosnien-Herzegowina</v>
      </c>
      <c r="F58" s="157" t="s">
        <v>99</v>
      </c>
      <c r="G58" s="122" t="str">
        <f>Text!$B$30</f>
        <v>Iran</v>
      </c>
      <c r="H58" s="21">
        <v>2</v>
      </c>
      <c r="I58" s="157" t="s">
        <v>99</v>
      </c>
      <c r="J58" s="21">
        <v>0</v>
      </c>
      <c r="L58" s="158" t="str">
        <f>IF(L53,"Losverfahren wegen Gleichstand. Geben Sie die errechneten Platzierungen (rot) in der richtigen Reihenfolge ein.","")</f>
        <v/>
      </c>
      <c r="M58" s="158"/>
      <c r="N58" s="158"/>
      <c r="O58" s="158"/>
      <c r="P58" s="158"/>
      <c r="Q58" s="158"/>
      <c r="R58" s="158"/>
      <c r="S58" s="158"/>
    </row>
    <row r="59" spans="1:19">
      <c r="B59" s="128"/>
      <c r="C59" s="6"/>
      <c r="D59" s="5"/>
      <c r="L59" s="159"/>
      <c r="M59" s="159"/>
      <c r="N59" s="159"/>
      <c r="O59" s="159"/>
      <c r="P59" s="159"/>
      <c r="Q59" s="159"/>
      <c r="R59" s="159"/>
      <c r="S59" s="159"/>
    </row>
    <row r="60" spans="1:19" ht="21.75" customHeight="1">
      <c r="A60" s="163" t="s">
        <v>193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</row>
    <row r="61" spans="1:19">
      <c r="B61" s="128"/>
      <c r="C61" s="6"/>
      <c r="D61" s="5"/>
    </row>
    <row r="62" spans="1:19" ht="18">
      <c r="A62" s="128">
        <v>13</v>
      </c>
      <c r="B62" s="128" t="str">
        <f>VLOOKUP($A62,Text!$A$44:$F$107,2,FALSE)</f>
        <v>Mo., 16. 06. 2014</v>
      </c>
      <c r="C62" s="6">
        <f>VLOOKUP($A62,Text!$A$44:$F$107,3,FALSE)</f>
        <v>0.75</v>
      </c>
      <c r="D62" s="5" t="str">
        <f>VLOOKUP($A62,Text!$A$44:$F$107,6,FALSE)</f>
        <v>Salvador</v>
      </c>
      <c r="E62" s="124" t="str">
        <f>Text!$B$33</f>
        <v>Deutschland</v>
      </c>
      <c r="F62" s="157" t="s">
        <v>99</v>
      </c>
      <c r="G62" s="122" t="str">
        <f>Text!$B$34</f>
        <v xml:space="preserve">Portugal </v>
      </c>
      <c r="H62" s="21">
        <v>0</v>
      </c>
      <c r="I62" s="157" t="s">
        <v>99</v>
      </c>
      <c r="J62" s="21">
        <v>2</v>
      </c>
      <c r="L62" s="114" t="b">
        <f>(Berechnungen!AD63="Auswahl durch Losverfahren")</f>
        <v>0</v>
      </c>
      <c r="M62" s="18" t="s">
        <v>107</v>
      </c>
      <c r="N62" s="18" t="s">
        <v>104</v>
      </c>
      <c r="O62" s="18" t="s">
        <v>108</v>
      </c>
      <c r="P62" s="161" t="s">
        <v>105</v>
      </c>
      <c r="Q62" s="161"/>
      <c r="R62" s="161"/>
      <c r="S62" s="18" t="s">
        <v>106</v>
      </c>
    </row>
    <row r="63" spans="1:19">
      <c r="A63" s="128">
        <v>14</v>
      </c>
      <c r="B63" s="128" t="str">
        <f>VLOOKUP($A63,Text!$A$44:$F$107,2,FALSE)</f>
        <v>Di., 17. 06. 2014</v>
      </c>
      <c r="C63" s="6">
        <f>VLOOKUP($A63,Text!$A$44:$F$107,3,FALSE)</f>
        <v>0</v>
      </c>
      <c r="D63" s="5" t="str">
        <f>VLOOKUP($A63,Text!$A$44:$F$107,6,FALSE)</f>
        <v>Natal</v>
      </c>
      <c r="E63" s="124" t="str">
        <f>Text!$B$35</f>
        <v>Ghana</v>
      </c>
      <c r="F63" s="157" t="s">
        <v>99</v>
      </c>
      <c r="G63" s="122" t="str">
        <f>Text!$B$36</f>
        <v xml:space="preserve">USA </v>
      </c>
      <c r="H63" s="21">
        <v>0</v>
      </c>
      <c r="I63" s="157" t="s">
        <v>99</v>
      </c>
      <c r="J63" s="21">
        <v>1</v>
      </c>
      <c r="K63" s="114">
        <f>IF(L62,L63,1)</f>
        <v>1</v>
      </c>
      <c r="L63" s="15">
        <v>1</v>
      </c>
      <c r="M63" s="15" t="str">
        <f>INDEX(Berechnungen!$V$54:$AA$57,MATCH($K63,Berechnungen!$AD$54:$AD$57,0),1)</f>
        <v>Ghana</v>
      </c>
      <c r="N63" s="15">
        <f>INDEX(Berechnungen!$V$54:$AA$57,MATCH($K63,Berechnungen!$AD$54:$AD$57,0),2)</f>
        <v>3</v>
      </c>
      <c r="O63" s="7">
        <f>INDEX(Berechnungen!$V$54:$AA$57,MATCH($K63,Berechnungen!$AD$54:$AD$57,0),3)</f>
        <v>7</v>
      </c>
      <c r="P63" s="101">
        <f>INDEX(Berechnungen!$V$54:$AA$57,MATCH($K63,Berechnungen!$AD$54:$AD$57,0),4)</f>
        <v>13</v>
      </c>
      <c r="Q63" s="19" t="s">
        <v>99</v>
      </c>
      <c r="R63" s="29">
        <f>INDEX(Berechnungen!$V$54:$AA$57,MATCH($K63,Berechnungen!$AD$54:$AD$57,0),5)</f>
        <v>4</v>
      </c>
      <c r="S63" s="15">
        <f>INDEX(Berechnungen!$V$54:$AA$57,MATCH($K63,Berechnungen!$AD$54:$AD$57,0),6)</f>
        <v>9</v>
      </c>
    </row>
    <row r="64" spans="1:19">
      <c r="A64" s="128">
        <v>29</v>
      </c>
      <c r="B64" s="128" t="str">
        <f>VLOOKUP($A64,Text!$A$44:$F$107,2,FALSE)</f>
        <v>Sa., 21. 06. 2014</v>
      </c>
      <c r="C64" s="6">
        <f>VLOOKUP($A64,Text!$A$44:$F$107,3,FALSE)</f>
        <v>0.875</v>
      </c>
      <c r="D64" s="5" t="str">
        <f>VLOOKUP($A64,Text!$A$44:$F$107,6,FALSE)</f>
        <v>Fortaleza</v>
      </c>
      <c r="E64" s="124" t="str">
        <f>Text!$B$33</f>
        <v>Deutschland</v>
      </c>
      <c r="F64" s="157" t="s">
        <v>99</v>
      </c>
      <c r="G64" s="122" t="str">
        <f>Text!$B$35</f>
        <v>Ghana</v>
      </c>
      <c r="H64" s="21">
        <v>0</v>
      </c>
      <c r="I64" s="157" t="s">
        <v>99</v>
      </c>
      <c r="J64" s="21">
        <v>1</v>
      </c>
      <c r="K64" s="114">
        <f t="shared" ref="K64:K66" si="6">IF(L63,L64,1)</f>
        <v>2</v>
      </c>
      <c r="L64" s="16">
        <v>2</v>
      </c>
      <c r="M64" s="16" t="str">
        <f>INDEX(Berechnungen!$V$54:$AA$57,MATCH($K64,Berechnungen!$AD$54:$AD$57,0),1)</f>
        <v>USA</v>
      </c>
      <c r="N64" s="13">
        <f>INDEX(Berechnungen!$V$54:$AA$57,MATCH($K64,Berechnungen!$AD$54:$AD$57,0),2)</f>
        <v>3</v>
      </c>
      <c r="O64" s="16">
        <f>INDEX(Berechnungen!$V$54:$AA$57,MATCH($K64,Berechnungen!$AD$54:$AD$57,0),3)</f>
        <v>4</v>
      </c>
      <c r="P64" s="16">
        <f>INDEX(Berechnungen!$V$54:$AA$57,MATCH($K64,Berechnungen!$AD$54:$AD$57,0),4)</f>
        <v>5</v>
      </c>
      <c r="Q64" s="19" t="s">
        <v>99</v>
      </c>
      <c r="R64" s="30">
        <f>INDEX(Berechnungen!$V$54:$AA$57,MATCH($K64,Berechnungen!$AD$54:$AD$57,0),5)</f>
        <v>3</v>
      </c>
      <c r="S64" s="16">
        <f>INDEX(Berechnungen!$V$54:$AA$57,MATCH($K64,Berechnungen!$AD$54:$AD$57,0),6)</f>
        <v>2</v>
      </c>
    </row>
    <row r="65" spans="1:19">
      <c r="A65" s="128">
        <v>30</v>
      </c>
      <c r="B65" s="128" t="str">
        <f>VLOOKUP($A65,Text!$A$44:$F$107,2,FALSE)</f>
        <v>Mo., 23. 06. 2014</v>
      </c>
      <c r="C65" s="6">
        <f>VLOOKUP($A65,Text!$A$44:$F$107,3,FALSE)</f>
        <v>0</v>
      </c>
      <c r="D65" s="5" t="str">
        <f>VLOOKUP($A65,Text!$A$44:$F$107,6,FALSE)</f>
        <v>Manaus</v>
      </c>
      <c r="E65" s="124" t="str">
        <f>Text!$B$36</f>
        <v xml:space="preserve">USA </v>
      </c>
      <c r="F65" s="157" t="s">
        <v>99</v>
      </c>
      <c r="G65" s="122" t="str">
        <f>Text!$B$34</f>
        <v xml:space="preserve">Portugal </v>
      </c>
      <c r="H65" s="21">
        <v>2</v>
      </c>
      <c r="I65" s="157" t="s">
        <v>99</v>
      </c>
      <c r="J65" s="21">
        <v>2</v>
      </c>
      <c r="K65" s="114">
        <f t="shared" si="6"/>
        <v>3</v>
      </c>
      <c r="L65" s="16">
        <v>3</v>
      </c>
      <c r="M65" s="16" t="str">
        <f>INDEX(Berechnungen!$V$54:$AA$57,MATCH($K65,Berechnungen!$AD$54:$AD$57,0),1)</f>
        <v>Portugal</v>
      </c>
      <c r="N65" s="13">
        <f>INDEX(Berechnungen!$V$54:$AA$57,MATCH($K65,Berechnungen!$AD$54:$AD$57,0),2)</f>
        <v>3</v>
      </c>
      <c r="O65" s="16">
        <f>INDEX(Berechnungen!$V$54:$AA$57,MATCH($K65,Berechnungen!$AD$54:$AD$57,0),3)</f>
        <v>3</v>
      </c>
      <c r="P65" s="16">
        <f>INDEX(Berechnungen!$V$54:$AA$57,MATCH($K65,Berechnungen!$AD$54:$AD$57,0),4)</f>
        <v>3</v>
      </c>
      <c r="Q65" s="19" t="s">
        <v>99</v>
      </c>
      <c r="R65" s="30">
        <f>INDEX(Berechnungen!$V$54:$AA$57,MATCH($K65,Berechnungen!$AD$54:$AD$57,0),5)</f>
        <v>10</v>
      </c>
      <c r="S65" s="16">
        <f>INDEX(Berechnungen!$V$54:$AA$57,MATCH($K65,Berechnungen!$AD$54:$AD$57,0),6)</f>
        <v>-7</v>
      </c>
    </row>
    <row r="66" spans="1:19">
      <c r="A66" s="128">
        <v>45</v>
      </c>
      <c r="B66" s="128" t="str">
        <f>VLOOKUP($A66,Text!$A$44:$F$107,2,FALSE)</f>
        <v>Do., 26. 06. 2014</v>
      </c>
      <c r="C66" s="6">
        <f>VLOOKUP($A66,Text!$A$44:$F$107,3,FALSE)</f>
        <v>0.75</v>
      </c>
      <c r="D66" s="5" t="str">
        <f>VLOOKUP($A66,Text!$A$44:$F$107,6,FALSE)</f>
        <v>Recife</v>
      </c>
      <c r="E66" s="124" t="str">
        <f>Text!$B$36</f>
        <v xml:space="preserve">USA </v>
      </c>
      <c r="F66" s="157" t="s">
        <v>99</v>
      </c>
      <c r="G66" s="122" t="str">
        <f>Text!$B$33</f>
        <v>Deutschland</v>
      </c>
      <c r="H66" s="21">
        <v>2</v>
      </c>
      <c r="I66" s="157" t="s">
        <v>99</v>
      </c>
      <c r="J66" s="21">
        <v>1</v>
      </c>
      <c r="K66" s="114">
        <f t="shared" si="6"/>
        <v>4</v>
      </c>
      <c r="L66" s="17">
        <f>IF(AND(Berechnungen!W63,Berechnungen!BD63=2,Berechnungen!BE63=3),3,4)</f>
        <v>4</v>
      </c>
      <c r="M66" s="17" t="str">
        <f>INDEX(Berechnungen!$V$54:$AA$57,MATCH($K66,Berechnungen!$AD$54:$AD$57,0),1)</f>
        <v>Deutschland</v>
      </c>
      <c r="N66" s="14">
        <f>INDEX(Berechnungen!$V$54:$AA$57,MATCH($K66,Berechnungen!$AD$54:$AD$57,0),2)</f>
        <v>3</v>
      </c>
      <c r="O66" s="17">
        <f>INDEX(Berechnungen!$V$54:$AA$57,MATCH($K66,Berechnungen!$AD$54:$AD$57,0),3)</f>
        <v>0</v>
      </c>
      <c r="P66" s="17">
        <f>INDEX(Berechnungen!$V$54:$AA$57,MATCH($K66,Berechnungen!$AD$54:$AD$57,0),4)</f>
        <v>1</v>
      </c>
      <c r="Q66" s="19" t="s">
        <v>99</v>
      </c>
      <c r="R66" s="31">
        <f>INDEX(Berechnungen!$V$54:$AA$57,MATCH($K66,Berechnungen!$AD$54:$AD$57,0),5)</f>
        <v>5</v>
      </c>
      <c r="S66" s="17">
        <f>INDEX(Berechnungen!$V$54:$AA$57,MATCH($K66,Berechnungen!$AD$54:$AD$57,0),6)</f>
        <v>-4</v>
      </c>
    </row>
    <row r="67" spans="1:19">
      <c r="A67" s="128">
        <v>46</v>
      </c>
      <c r="B67" s="128" t="str">
        <f>VLOOKUP($A67,Text!$A$44:$F$107,2,FALSE)</f>
        <v>Do., 26. 06. 2014</v>
      </c>
      <c r="C67" s="6">
        <f>VLOOKUP($A67,Text!$A$44:$F$107,3,FALSE)</f>
        <v>0.75</v>
      </c>
      <c r="D67" s="5" t="str">
        <f>VLOOKUP($A67,Text!$A$44:$F$107,6,FALSE)</f>
        <v>Brasilia</v>
      </c>
      <c r="E67" s="124" t="str">
        <f>Text!$B$34</f>
        <v xml:space="preserve">Portugal </v>
      </c>
      <c r="F67" s="157" t="s">
        <v>99</v>
      </c>
      <c r="G67" s="122" t="str">
        <f>Text!$B$35</f>
        <v>Ghana</v>
      </c>
      <c r="H67" s="21">
        <v>2</v>
      </c>
      <c r="I67" s="157" t="s">
        <v>99</v>
      </c>
      <c r="J67" s="21">
        <v>0</v>
      </c>
      <c r="L67" s="158" t="s">
        <v>99</v>
      </c>
      <c r="M67" s="158"/>
      <c r="N67" s="158"/>
      <c r="O67" s="158"/>
      <c r="P67" s="158"/>
      <c r="Q67" s="158"/>
      <c r="R67" s="158"/>
      <c r="S67" s="158"/>
    </row>
    <row r="68" spans="1:19">
      <c r="B68" s="128"/>
      <c r="C68" s="6"/>
      <c r="D68" s="5"/>
      <c r="G68" s="122"/>
      <c r="L68" s="159"/>
      <c r="M68" s="159"/>
      <c r="N68" s="159"/>
      <c r="O68" s="159"/>
      <c r="P68" s="159"/>
      <c r="Q68" s="159"/>
      <c r="R68" s="159"/>
      <c r="S68" s="159"/>
    </row>
    <row r="69" spans="1:19" ht="21.75" customHeight="1">
      <c r="A69" s="163" t="s">
        <v>194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</row>
    <row r="70" spans="1:19">
      <c r="B70" s="128"/>
      <c r="C70" s="6"/>
      <c r="D70" s="5"/>
    </row>
    <row r="71" spans="1:19" ht="18">
      <c r="A71" s="128">
        <v>15</v>
      </c>
      <c r="B71" s="128" t="str">
        <f>VLOOKUP($A71,Text!$A$44:$F$107,2,FALSE)</f>
        <v>Di., 17. 06. 2014</v>
      </c>
      <c r="C71" s="6">
        <f>VLOOKUP($A71,Text!$A$44:$F$107,3,FALSE)</f>
        <v>0.75</v>
      </c>
      <c r="D71" s="5" t="str">
        <f>VLOOKUP($A71,Text!$A$44:$F$107,6,FALSE)</f>
        <v>Belo Horizonte</v>
      </c>
      <c r="E71" s="124" t="str">
        <f>Text!$B$38</f>
        <v xml:space="preserve">Belgein </v>
      </c>
      <c r="F71" s="157" t="s">
        <v>99</v>
      </c>
      <c r="G71" s="122" t="str">
        <f>Text!$B$39</f>
        <v>Algerien</v>
      </c>
      <c r="H71" s="21">
        <v>3</v>
      </c>
      <c r="I71" s="157" t="s">
        <v>99</v>
      </c>
      <c r="J71" s="21">
        <v>0</v>
      </c>
      <c r="L71" s="114" t="b">
        <f>(Berechnungen!AD72="Auswahl durch Losverfahren")</f>
        <v>0</v>
      </c>
      <c r="M71" s="18" t="s">
        <v>107</v>
      </c>
      <c r="N71" s="18" t="s">
        <v>104</v>
      </c>
      <c r="O71" s="18" t="s">
        <v>108</v>
      </c>
      <c r="P71" s="161" t="s">
        <v>105</v>
      </c>
      <c r="Q71" s="161"/>
      <c r="R71" s="161"/>
      <c r="S71" s="18" t="s">
        <v>106</v>
      </c>
    </row>
    <row r="72" spans="1:19">
      <c r="A72" s="128">
        <v>16</v>
      </c>
      <c r="B72" s="128" t="str">
        <f>VLOOKUP($A72,Text!$A$44:$F$107,2,FALSE)</f>
        <v>Mi., 18. 06. 2014</v>
      </c>
      <c r="C72" s="6">
        <f>VLOOKUP($A72,Text!$A$44:$F$107,3,FALSE)</f>
        <v>0</v>
      </c>
      <c r="D72" s="5" t="str">
        <f>VLOOKUP($A72,Text!$A$44:$F$107,6,FALSE)</f>
        <v>Cuiaba</v>
      </c>
      <c r="E72" s="124" t="str">
        <f>Text!$B$40</f>
        <v>Russalnd</v>
      </c>
      <c r="F72" s="157" t="s">
        <v>99</v>
      </c>
      <c r="G72" s="122" t="str">
        <f>Text!$B$41</f>
        <v>Suedkorea</v>
      </c>
      <c r="H72" s="21">
        <v>1</v>
      </c>
      <c r="I72" s="157" t="s">
        <v>99</v>
      </c>
      <c r="J72" s="21">
        <v>1</v>
      </c>
      <c r="K72" s="114">
        <f>IF(L71,L72,1)</f>
        <v>1</v>
      </c>
      <c r="L72" s="15">
        <v>1</v>
      </c>
      <c r="M72" s="15" t="str">
        <f>INDEX(Berechnungen!$V$62:$AA$65,MATCH($K72,Berechnungen!$AD$62:$AD$65,0),1)</f>
        <v>Belgien</v>
      </c>
      <c r="N72" s="15">
        <f>INDEX(Berechnungen!$V$62:$AA$65,MATCH($K72,Berechnungen!$AD$62:$AD$65,0),2)</f>
        <v>3</v>
      </c>
      <c r="O72" s="7">
        <f>INDEX(Berechnungen!$V$62:$AA$65,MATCH($K72,Berechnungen!$AD$62:$AD$65,0),3)</f>
        <v>9</v>
      </c>
      <c r="P72" s="101">
        <f>INDEX(Berechnungen!$V$62:$AA$65,MATCH($K72,Berechnungen!$AD$62:$AD$65,0),4)</f>
        <v>7</v>
      </c>
      <c r="Q72" s="19" t="s">
        <v>99</v>
      </c>
      <c r="R72" s="29">
        <f>INDEX(Berechnungen!$V$62:$AA$65,MATCH($K72,Berechnungen!$AD$62:$AD$65,0),5)</f>
        <v>1</v>
      </c>
      <c r="S72" s="15">
        <f>INDEX(Berechnungen!$V$62:$AA$65,MATCH($K72,Berechnungen!$AD$62:$AD$65,0),6)</f>
        <v>6</v>
      </c>
    </row>
    <row r="73" spans="1:19">
      <c r="A73" s="128">
        <v>31</v>
      </c>
      <c r="B73" s="128" t="str">
        <f>VLOOKUP($A73,Text!$A$44:$F$107,2,FALSE)</f>
        <v>So., 22. 06. 2014</v>
      </c>
      <c r="C73" s="6">
        <f>VLOOKUP($A73,Text!$A$44:$F$107,3,FALSE)</f>
        <v>0.75</v>
      </c>
      <c r="D73" s="5" t="str">
        <f>VLOOKUP($A73,Text!$A$44:$F$107,6,FALSE)</f>
        <v>Rio de Janiero</v>
      </c>
      <c r="E73" s="124" t="str">
        <f>Text!$B$38</f>
        <v xml:space="preserve">Belgein </v>
      </c>
      <c r="F73" s="157" t="s">
        <v>99</v>
      </c>
      <c r="G73" s="122" t="str">
        <f>Text!$B$40</f>
        <v>Russalnd</v>
      </c>
      <c r="H73" s="21">
        <v>2</v>
      </c>
      <c r="I73" s="157" t="s">
        <v>99</v>
      </c>
      <c r="J73" s="21">
        <v>0</v>
      </c>
      <c r="K73" s="114">
        <f t="shared" ref="K73:K75" si="7">IF(L72,L73,1)</f>
        <v>2</v>
      </c>
      <c r="L73" s="16">
        <v>2</v>
      </c>
      <c r="M73" s="16" t="str">
        <f>INDEX(Berechnungen!$V$62:$AA$65,MATCH($K73,Berechnungen!$AD$62:$AD$65,0),1)</f>
        <v>Suedkorea</v>
      </c>
      <c r="N73" s="13">
        <f>INDEX(Berechnungen!$V$62:$AA$65,MATCH($K73,Berechnungen!$AD$62:$AD$65,0),2)</f>
        <v>3</v>
      </c>
      <c r="O73" s="16">
        <f>INDEX(Berechnungen!$V$62:$AA$65,MATCH($K73,Berechnungen!$AD$62:$AD$65,0),3)</f>
        <v>5</v>
      </c>
      <c r="P73" s="16">
        <f>INDEX(Berechnungen!$V$62:$AA$65,MATCH($K73,Berechnungen!$AD$62:$AD$65,0),4)</f>
        <v>4</v>
      </c>
      <c r="Q73" s="19" t="s">
        <v>99</v>
      </c>
      <c r="R73" s="30">
        <f>INDEX(Berechnungen!$V$62:$AA$65,MATCH($K73,Berechnungen!$AD$62:$AD$65,0),5)</f>
        <v>5</v>
      </c>
      <c r="S73" s="16">
        <f>INDEX(Berechnungen!$V$62:$AA$65,MATCH($K73,Berechnungen!$AD$62:$AD$65,0),6)</f>
        <v>-1</v>
      </c>
    </row>
    <row r="74" spans="1:19">
      <c r="A74" s="128">
        <v>32</v>
      </c>
      <c r="B74" s="128" t="str">
        <f>VLOOKUP($A74,Text!$A$44:$F$107,2,FALSE)</f>
        <v>So., 22. 06. 2014</v>
      </c>
      <c r="C74" s="6">
        <f>VLOOKUP($A74,Text!$A$44:$F$107,3,FALSE)</f>
        <v>0.875</v>
      </c>
      <c r="D74" s="5" t="str">
        <f>VLOOKUP($A74,Text!$A$44:$F$107,6,FALSE)</f>
        <v>Porto Alegre</v>
      </c>
      <c r="E74" s="124" t="str">
        <f>Text!$B$41</f>
        <v>Suedkorea</v>
      </c>
      <c r="F74" s="157" t="s">
        <v>99</v>
      </c>
      <c r="G74" s="122" t="str">
        <f>Text!$B$39</f>
        <v>Algerien</v>
      </c>
      <c r="H74" s="21">
        <v>2</v>
      </c>
      <c r="I74" s="157" t="s">
        <v>99</v>
      </c>
      <c r="J74" s="21">
        <v>2</v>
      </c>
      <c r="K74" s="114">
        <f t="shared" si="7"/>
        <v>3</v>
      </c>
      <c r="L74" s="16">
        <v>3</v>
      </c>
      <c r="M74" s="16" t="str">
        <f>INDEX(Berechnungen!$V$62:$AA$65,MATCH($K74,Berechnungen!$AD$62:$AD$65,0),1)</f>
        <v>Algerien</v>
      </c>
      <c r="N74" s="13">
        <f>INDEX(Berechnungen!$V$62:$AA$65,MATCH($K74,Berechnungen!$AD$62:$AD$65,0),2)</f>
        <v>3</v>
      </c>
      <c r="O74" s="16">
        <f>INDEX(Berechnungen!$V$62:$AA$65,MATCH($K74,Berechnungen!$AD$62:$AD$65,0),3)</f>
        <v>4</v>
      </c>
      <c r="P74" s="16">
        <f>INDEX(Berechnungen!$V$62:$AA$65,MATCH($K74,Berechnungen!$AD$62:$AD$65,0),4)</f>
        <v>2</v>
      </c>
      <c r="Q74" s="19" t="s">
        <v>99</v>
      </c>
      <c r="R74" s="30">
        <f>INDEX(Berechnungen!$V$62:$AA$65,MATCH($K74,Berechnungen!$AD$62:$AD$65,0),5)</f>
        <v>3</v>
      </c>
      <c r="S74" s="16">
        <f>INDEX(Berechnungen!$V$62:$AA$65,MATCH($K74,Berechnungen!$AD$62:$AD$65,0),6)</f>
        <v>-1</v>
      </c>
    </row>
    <row r="75" spans="1:19">
      <c r="A75" s="128">
        <v>47</v>
      </c>
      <c r="B75" s="128" t="str">
        <f>VLOOKUP($A75,Text!$A$44:$F$107,2,FALSE)</f>
        <v>Do., 26. 06. 2014</v>
      </c>
      <c r="C75" s="6">
        <f>VLOOKUP($A75,Text!$A$44:$F$107,3,FALSE)</f>
        <v>0.91666666666666663</v>
      </c>
      <c r="D75" s="5" t="str">
        <f>VLOOKUP($A75,Text!$A$44:$F$107,6,FALSE)</f>
        <v>Sao Paulo</v>
      </c>
      <c r="E75" s="124" t="str">
        <f>Text!$B$41</f>
        <v>Suedkorea</v>
      </c>
      <c r="F75" s="157" t="s">
        <v>99</v>
      </c>
      <c r="G75" s="122" t="str">
        <f>Text!$B$38</f>
        <v xml:space="preserve">Belgein </v>
      </c>
      <c r="H75" s="21">
        <v>0</v>
      </c>
      <c r="I75" s="157" t="s">
        <v>99</v>
      </c>
      <c r="J75" s="21">
        <v>2</v>
      </c>
      <c r="K75" s="114">
        <f t="shared" si="7"/>
        <v>4</v>
      </c>
      <c r="L75" s="17">
        <f>IF(AND(Berechnungen!W72,Berechnungen!BD72=2,Berechnungen!BE72=3),3,4)</f>
        <v>4</v>
      </c>
      <c r="M75" s="17" t="str">
        <f>INDEX(Berechnungen!$V$62:$AA$65,MATCH($K75,Berechnungen!$AD$62:$AD$65,0),1)</f>
        <v>Russland</v>
      </c>
      <c r="N75" s="14">
        <f>INDEX(Berechnungen!$V$62:$AA$65,MATCH($K75,Berechnungen!$AD$62:$AD$65,0),2)</f>
        <v>3</v>
      </c>
      <c r="O75" s="17">
        <f>INDEX(Berechnungen!$V$62:$AA$65,MATCH($K75,Berechnungen!$AD$62:$AD$65,0),3)</f>
        <v>1</v>
      </c>
      <c r="P75" s="17">
        <f>INDEX(Berechnungen!$V$62:$AA$65,MATCH($K75,Berechnungen!$AD$62:$AD$65,0),4)</f>
        <v>2</v>
      </c>
      <c r="Q75" s="19" t="s">
        <v>99</v>
      </c>
      <c r="R75" s="31">
        <f>INDEX(Berechnungen!$V$62:$AA$65,MATCH($K75,Berechnungen!$AD$62:$AD$65,0),5)</f>
        <v>6</v>
      </c>
      <c r="S75" s="17">
        <f>INDEX(Berechnungen!$V$62:$AA$65,MATCH($K75,Berechnungen!$AD$62:$AD$65,0),6)</f>
        <v>-4</v>
      </c>
    </row>
    <row r="76" spans="1:19">
      <c r="A76" s="128">
        <v>48</v>
      </c>
      <c r="B76" s="128" t="str">
        <f>VLOOKUP($A76,Text!$A$44:$F$107,2,FALSE)</f>
        <v>Do., 26. 06. 2014</v>
      </c>
      <c r="C76" s="6">
        <f>VLOOKUP($A76,Text!$A$44:$F$107,3,FALSE)</f>
        <v>0.91666666666666663</v>
      </c>
      <c r="D76" s="5" t="str">
        <f>VLOOKUP($A76,Text!$A$44:$F$107,6,FALSE)</f>
        <v>Curitiba</v>
      </c>
      <c r="E76" s="124" t="str">
        <f>Text!$B$39</f>
        <v>Algerien</v>
      </c>
      <c r="F76" s="157" t="s">
        <v>99</v>
      </c>
      <c r="G76" s="122" t="str">
        <f>Text!$B$40</f>
        <v>Russalnd</v>
      </c>
      <c r="H76" s="21">
        <v>1</v>
      </c>
      <c r="I76" s="157" t="s">
        <v>99</v>
      </c>
      <c r="J76" s="21">
        <v>1</v>
      </c>
      <c r="L76" s="158" t="str">
        <f>IF(L71,"Losverfahren wegen Gleichstand. Geben Sie die errechneten Platzierungen (rot) in der richtigen Reihenfolge ein.","")</f>
        <v/>
      </c>
      <c r="M76" s="158"/>
      <c r="N76" s="158"/>
      <c r="O76" s="158"/>
      <c r="P76" s="158"/>
      <c r="Q76" s="158"/>
      <c r="R76" s="158"/>
      <c r="S76" s="158"/>
    </row>
    <row r="77" spans="1:19">
      <c r="E77" s="124"/>
      <c r="L77" s="159"/>
      <c r="M77" s="159"/>
      <c r="N77" s="159"/>
      <c r="O77" s="159"/>
      <c r="P77" s="159"/>
      <c r="Q77" s="159"/>
      <c r="R77" s="159"/>
      <c r="S77" s="159"/>
    </row>
  </sheetData>
  <sheetProtection formatCells="0" formatColumns="0" formatRows="0" insertColumns="0" insertRows="0" insertHyperlinks="0" deleteColumns="0" deleteRows="0" sort="0" autoFilter="0" pivotTables="0"/>
  <mergeCells count="26">
    <mergeCell ref="L40:S41"/>
    <mergeCell ref="L49:S50"/>
    <mergeCell ref="L58:S59"/>
    <mergeCell ref="A69:S69"/>
    <mergeCell ref="P44:R44"/>
    <mergeCell ref="P53:R53"/>
    <mergeCell ref="P62:R62"/>
    <mergeCell ref="A42:S42"/>
    <mergeCell ref="A51:S51"/>
    <mergeCell ref="L67:S68"/>
    <mergeCell ref="L76:S77"/>
    <mergeCell ref="A3:S3"/>
    <mergeCell ref="P8:R8"/>
    <mergeCell ref="P17:R17"/>
    <mergeCell ref="P26:R26"/>
    <mergeCell ref="P35:R35"/>
    <mergeCell ref="A24:S24"/>
    <mergeCell ref="A33:S33"/>
    <mergeCell ref="L22:S23"/>
    <mergeCell ref="L31:S32"/>
    <mergeCell ref="A60:S60"/>
    <mergeCell ref="H5:J5"/>
    <mergeCell ref="A6:S6"/>
    <mergeCell ref="A15:S15"/>
    <mergeCell ref="P71:R71"/>
    <mergeCell ref="L13:S14"/>
  </mergeCells>
  <pageMargins left="0.7" right="0.7" top="0.78740157499999996" bottom="0.78740157499999996" header="0.3" footer="0.3"/>
  <pageSetup paperSize="9" orientation="portrait" r:id="rId1"/>
  <ignoredErrors>
    <ignoredError sqref="E9 E18 E27 E36 E45 E54 E63 E7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U44"/>
  <sheetViews>
    <sheetView topLeftCell="A7" zoomScale="84" zoomScaleNormal="84" workbookViewId="0">
      <selection activeCell="K23" sqref="K23"/>
    </sheetView>
  </sheetViews>
  <sheetFormatPr defaultColWidth="11.42578125" defaultRowHeight="14.25"/>
  <cols>
    <col min="1" max="1" width="11.42578125" style="2"/>
    <col min="2" max="2" width="18.5703125" style="2" customWidth="1"/>
    <col min="3" max="3" width="20.28515625" style="2" customWidth="1"/>
    <col min="4" max="4" width="20" style="2" customWidth="1"/>
    <col min="5" max="5" width="22.140625" style="3" customWidth="1"/>
    <col min="6" max="6" width="5.140625" style="128" customWidth="1"/>
    <col min="7" max="7" width="5.140625" style="2" customWidth="1"/>
    <col min="8" max="8" width="5.140625" style="128" customWidth="1"/>
    <col min="9" max="9" width="22.28515625" style="26" customWidth="1"/>
    <col min="10" max="16384" width="11.42578125" style="2"/>
  </cols>
  <sheetData>
    <row r="1" spans="1:21" ht="128.25" customHeight="1"/>
    <row r="2" spans="1:21" ht="96.75" customHeight="1"/>
    <row r="3" spans="1:21" ht="40.5" customHeight="1">
      <c r="A3" s="160" t="s">
        <v>195</v>
      </c>
      <c r="B3" s="160"/>
      <c r="C3" s="160"/>
      <c r="D3" s="160"/>
      <c r="E3" s="160"/>
      <c r="F3" s="160"/>
      <c r="G3" s="160"/>
      <c r="H3" s="160"/>
      <c r="I3" s="16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5" spans="1:21" ht="18">
      <c r="A5" s="126" t="s">
        <v>97</v>
      </c>
      <c r="B5" s="126" t="s">
        <v>188</v>
      </c>
      <c r="C5" s="126" t="s">
        <v>189</v>
      </c>
      <c r="D5" s="126" t="s">
        <v>98</v>
      </c>
      <c r="E5" s="123" t="s">
        <v>101</v>
      </c>
      <c r="F5" s="126"/>
      <c r="G5" s="126"/>
      <c r="H5" s="126"/>
      <c r="I5" s="121" t="s">
        <v>102</v>
      </c>
      <c r="J5" s="10"/>
      <c r="K5" s="10"/>
      <c r="L5" s="10"/>
    </row>
    <row r="7" spans="1:21" ht="21" customHeight="1">
      <c r="A7" s="163" t="s">
        <v>197</v>
      </c>
      <c r="B7" s="163"/>
      <c r="C7" s="163"/>
      <c r="D7" s="163"/>
      <c r="E7" s="163"/>
      <c r="F7" s="163"/>
      <c r="G7" s="163"/>
      <c r="H7" s="163"/>
      <c r="I7" s="16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>
      <c r="G8" s="132"/>
      <c r="J8" s="133"/>
      <c r="K8" s="133"/>
      <c r="L8" s="133"/>
      <c r="M8" s="133"/>
      <c r="N8" s="133"/>
      <c r="O8" s="133"/>
      <c r="P8" s="133"/>
      <c r="Q8" s="133"/>
    </row>
    <row r="9" spans="1:21">
      <c r="A9" s="2">
        <v>49</v>
      </c>
      <c r="B9" s="128" t="str">
        <f>VLOOKUP($A9,Text!$A$92:$F$107,2,FALSE)</f>
        <v>Sa., 28. 06. 2014</v>
      </c>
      <c r="C9" s="134">
        <f>VLOOKUP($A9,Text!$A$92:$F$107,3,FALSE)</f>
        <v>0.75</v>
      </c>
      <c r="D9" s="134" t="str">
        <f>VLOOKUP($A9,Text!$A$92:$F$107,6,FALSE)</f>
        <v>Belo Horizonte</v>
      </c>
      <c r="E9" s="148" t="str">
        <f>IF(Berechnungen!W10,Gruppenphase!M9,"Sieger"&amp;Gruppenphase!A8)</f>
        <v>Brasilien</v>
      </c>
      <c r="F9" s="144">
        <v>2</v>
      </c>
      <c r="G9" s="145" t="s">
        <v>99</v>
      </c>
      <c r="H9" s="146">
        <v>3</v>
      </c>
      <c r="I9" s="147" t="str">
        <f>IF(Berechnungen!W10,Gruppenphase!M10,"Sieger"&amp;Gruppenphase!A8)</f>
        <v>Mexico</v>
      </c>
    </row>
    <row r="10" spans="1:21">
      <c r="A10" s="2">
        <v>50</v>
      </c>
      <c r="B10" s="128" t="str">
        <f>VLOOKUP($A10,Text!$A$92:$F$107,2,FALSE)</f>
        <v>Sa., 28. 06. 2014</v>
      </c>
      <c r="C10" s="134">
        <f>VLOOKUP($A10,Text!$A$92:$F$107,3,FALSE)</f>
        <v>0.91666666666666663</v>
      </c>
      <c r="D10" s="134" t="str">
        <f>VLOOKUP($A10,Text!$A$92:$F$107,6,FALSE)</f>
        <v>Rio de Janeiro</v>
      </c>
      <c r="E10" s="148" t="str">
        <f>IF(Berechnungen!W18,Gruppenphase!M18,"Sieger"&amp;Gruppenphase!A17)</f>
        <v xml:space="preserve">Chile </v>
      </c>
      <c r="F10" s="146">
        <v>2</v>
      </c>
      <c r="G10" s="145" t="s">
        <v>99</v>
      </c>
      <c r="H10" s="146">
        <v>1</v>
      </c>
      <c r="I10" s="147" t="str">
        <f>IF(Berechnungen!W18,Gruppenphase!M19,"Sieger"&amp;Gruppenphase!A17)</f>
        <v xml:space="preserve">Spanien </v>
      </c>
    </row>
    <row r="11" spans="1:21">
      <c r="A11" s="2">
        <v>51</v>
      </c>
      <c r="B11" s="128" t="str">
        <f>VLOOKUP($A11,Text!$A$92:$F$107,2,FALSE)</f>
        <v>So., 29. 06. 2014</v>
      </c>
      <c r="C11" s="134">
        <f>VLOOKUP($A11,Text!$A$92:$F$107,3,FALSE)</f>
        <v>0.75</v>
      </c>
      <c r="D11" s="134" t="str">
        <f>VLOOKUP($A11,Text!$A$92:$F$107,6,FALSE)</f>
        <v>Fortaleza</v>
      </c>
      <c r="E11" s="148" t="str">
        <f>IF(Berechnungen!W26,Gruppenphase!M27,"Sieger"&amp;Gruppenphase!A26)</f>
        <v>Kolumbien</v>
      </c>
      <c r="F11" s="146">
        <v>0</v>
      </c>
      <c r="G11" s="145" t="s">
        <v>99</v>
      </c>
      <c r="H11" s="146">
        <v>2</v>
      </c>
      <c r="I11" s="147" t="str">
        <f>IF(Berechnungen!W26,Gruppenphase!M28,"Sieger"&amp;Gruppenphase!A26)</f>
        <v>Japan</v>
      </c>
    </row>
    <row r="12" spans="1:21">
      <c r="A12" s="2">
        <v>52</v>
      </c>
      <c r="B12" s="128" t="str">
        <f>VLOOKUP($A12,Text!$A$92:$F$107,2,FALSE)</f>
        <v>So., 29. 06. 2014</v>
      </c>
      <c r="C12" s="134">
        <f>VLOOKUP($A12,Text!$A$92:$F$107,3,FALSE)</f>
        <v>0.91666666666666663</v>
      </c>
      <c r="D12" s="134" t="str">
        <f>VLOOKUP($A12,Text!$A$92:$F$107,6,FALSE)</f>
        <v>Recife</v>
      </c>
      <c r="E12" s="148" t="str">
        <f>IF(Berechnungen!W34,Gruppenphase!M36,"Sieger"&amp;Gruppenphase!A34)</f>
        <v>Italien</v>
      </c>
      <c r="F12" s="146">
        <v>1</v>
      </c>
      <c r="G12" s="145" t="s">
        <v>99</v>
      </c>
      <c r="H12" s="146">
        <v>1</v>
      </c>
      <c r="I12" s="147" t="str">
        <f>IF(Berechnungen!W34,Gruppenphase!M37,"Sieger"&amp;Gruppenphase!A34)</f>
        <v>Costa Rica</v>
      </c>
    </row>
    <row r="13" spans="1:21">
      <c r="A13" s="2">
        <v>53</v>
      </c>
      <c r="B13" s="128" t="str">
        <f>VLOOKUP($A13,Text!$A$92:$F$107,2,FALSE)</f>
        <v>Mo., 30. 06. 2014</v>
      </c>
      <c r="C13" s="134">
        <f>VLOOKUP($A13,Text!$A$92:$F$107,3,FALSE)</f>
        <v>0.75</v>
      </c>
      <c r="D13" s="134" t="str">
        <f>VLOOKUP($A13,Text!$A$92:$F$107,6,FALSE)</f>
        <v>Brasilia</v>
      </c>
      <c r="E13" s="148" t="str">
        <f>IF(Berechnungen!W42,Gruppenphase!M45,"Sieger"&amp;Gruppenphase!A44)</f>
        <v>Ecuador</v>
      </c>
      <c r="F13" s="146">
        <v>0</v>
      </c>
      <c r="G13" s="145" t="s">
        <v>99</v>
      </c>
      <c r="H13" s="146">
        <v>2</v>
      </c>
      <c r="I13" s="147" t="str">
        <f>IF(Berechnungen!W42,Gruppenphase!M46,"Sieger"&amp;Gruppenphase!A44)</f>
        <v>Schweiz</v>
      </c>
      <c r="K13" s="143"/>
    </row>
    <row r="14" spans="1:21">
      <c r="A14" s="2">
        <v>54</v>
      </c>
      <c r="B14" s="128" t="str">
        <f>VLOOKUP($A14,Text!$A$92:$F$107,2,FALSE)</f>
        <v>Mo., 30. 06. 2014</v>
      </c>
      <c r="C14" s="134">
        <f>VLOOKUP($A14,Text!$A$92:$F$107,3,FALSE)</f>
        <v>0.91666666666666663</v>
      </c>
      <c r="D14" s="134" t="str">
        <f>VLOOKUP($A14,Text!$A$92:$F$107,6,FALSE)</f>
        <v>Porto Alegre</v>
      </c>
      <c r="E14" s="148" t="str">
        <f>IF(Berechnungen!W50,Gruppenphase!M54,"Sieger"&amp;Gruppenphase!A54)</f>
        <v>Iran</v>
      </c>
      <c r="F14" s="146">
        <v>1</v>
      </c>
      <c r="G14" s="145" t="s">
        <v>99</v>
      </c>
      <c r="H14" s="146">
        <v>3</v>
      </c>
      <c r="I14" s="147" t="str">
        <f>IF(Berechnungen!W50,Gruppenphase!M55,"Sieger"&amp;Gruppenphase!A54)</f>
        <v>Argentinien</v>
      </c>
    </row>
    <row r="15" spans="1:21">
      <c r="A15" s="2">
        <v>55</v>
      </c>
      <c r="B15" s="128" t="str">
        <f>VLOOKUP($A15,Text!$A$92:$F$107,2,FALSE)</f>
        <v>Di., 01. 07. 2014</v>
      </c>
      <c r="C15" s="134">
        <f>VLOOKUP($A15,Text!$A$92:$F$107,3,FALSE)</f>
        <v>0.75</v>
      </c>
      <c r="D15" s="134" t="str">
        <f>VLOOKUP($A15,Text!$A$92:$F$107,6,FALSE)</f>
        <v>Sao Paulo</v>
      </c>
      <c r="E15" s="148" t="str">
        <f>IF(Berechnungen!W58,Gruppenphase!M63,"Sieger"&amp;Gruppenphase!A64)</f>
        <v>Ghana</v>
      </c>
      <c r="F15" s="146">
        <v>1</v>
      </c>
      <c r="G15" s="145" t="s">
        <v>99</v>
      </c>
      <c r="H15" s="146">
        <v>0</v>
      </c>
      <c r="I15" s="147" t="str">
        <f>IF(Berechnungen!W58,Gruppenphase!M64,"Sieger"&amp;Gruppenphase!A64)</f>
        <v>USA</v>
      </c>
    </row>
    <row r="16" spans="1:21">
      <c r="A16" s="2">
        <v>56</v>
      </c>
      <c r="B16" s="128" t="str">
        <f>VLOOKUP($A16,Text!$A$92:$F$107,2,FALSE)</f>
        <v>Di., 01. 07. 2014</v>
      </c>
      <c r="C16" s="134">
        <f>VLOOKUP($A16,Text!$A$92:$F$107,3,FALSE)</f>
        <v>0.91666666666666663</v>
      </c>
      <c r="D16" s="134" t="str">
        <f>VLOOKUP($A16,Text!$A$92:$F$107,6,FALSE)</f>
        <v>Salvador</v>
      </c>
      <c r="E16" s="148" t="str">
        <f>IF(Berechnungen!W66,Gruppenphase!M72,"Sieger"&amp;Gruppenphase!A64)</f>
        <v>Belgien</v>
      </c>
      <c r="F16" s="35">
        <v>1</v>
      </c>
      <c r="G16" s="132" t="s">
        <v>99</v>
      </c>
      <c r="H16" s="35">
        <v>1</v>
      </c>
      <c r="I16" s="147" t="str">
        <f>IF(Berechnungen!W66,Gruppenphase!M73,"Sieger"&amp;Gruppenphase!A64)</f>
        <v>Suedkorea</v>
      </c>
    </row>
    <row r="17" spans="1:17" ht="21" customHeight="1"/>
    <row r="18" spans="1:17" ht="20.25">
      <c r="A18" s="169" t="s">
        <v>198</v>
      </c>
      <c r="B18" s="169"/>
      <c r="C18" s="169"/>
      <c r="D18" s="169"/>
      <c r="E18" s="169"/>
      <c r="F18" s="169"/>
      <c r="G18" s="169"/>
      <c r="H18" s="169"/>
      <c r="I18" s="169"/>
      <c r="J18" s="135"/>
      <c r="K18" s="135"/>
      <c r="L18" s="135"/>
      <c r="M18" s="135"/>
      <c r="N18" s="135"/>
      <c r="O18" s="135"/>
      <c r="P18" s="135"/>
      <c r="Q18" s="135"/>
    </row>
    <row r="21" spans="1:17" ht="15" customHeight="1">
      <c r="A21" s="2">
        <v>57</v>
      </c>
      <c r="B21" s="128" t="str">
        <f>VLOOKUP($A21,Text!$A$92:$F$107,2,FALSE)</f>
        <v>Fr., 04. 07. 2014</v>
      </c>
      <c r="C21" s="134">
        <f>VLOOKUP($A21,Text!$A$92:$F$107,3,FALSE)</f>
        <v>0.91666666666666663</v>
      </c>
      <c r="D21" s="134" t="str">
        <f>VLOOKUP($A21,Text!$A$92:$F$107,6,FALSE)</f>
        <v>Fortaleza</v>
      </c>
      <c r="E21" s="3" t="str">
        <f>IF(AND(ISNUMBER(F9),ISNUMBER(H9)),IF(F9&lt;H9,I9,E9),"Sieger Spiel 49")</f>
        <v>Mexico</v>
      </c>
      <c r="F21" s="35">
        <v>1</v>
      </c>
      <c r="G21" s="132" t="s">
        <v>99</v>
      </c>
      <c r="H21" s="35">
        <v>0</v>
      </c>
      <c r="I21" s="26" t="str">
        <f>IF(AND(ISNUMBER(F10),ISNUMBER(H10)),IF(F10&lt;H10,I10,E10),"Sieger Spiel 50")</f>
        <v xml:space="preserve">Chile </v>
      </c>
    </row>
    <row r="22" spans="1:17">
      <c r="A22" s="2">
        <v>58</v>
      </c>
      <c r="B22" s="128" t="str">
        <f>VLOOKUP($A22,Text!$A$92:$F$107,2,FALSE)</f>
        <v>Fr., 04. 07. 2014</v>
      </c>
      <c r="C22" s="134">
        <f>VLOOKUP($A22,Text!$A$92:$F$107,3,FALSE)</f>
        <v>0.75</v>
      </c>
      <c r="D22" s="134" t="str">
        <f>VLOOKUP($A22,Text!$A$92:$F$107,6,FALSE)</f>
        <v>Rio de Janeiro</v>
      </c>
      <c r="E22" s="3" t="str">
        <f>IF(AND(ISNUMBER(F10),ISNUMBER(H10)),IF(F10&lt;H10,I10,E10),"Sieger Spiel 53")</f>
        <v xml:space="preserve">Chile </v>
      </c>
      <c r="F22" s="35">
        <v>2</v>
      </c>
      <c r="G22" s="132" t="s">
        <v>99</v>
      </c>
      <c r="H22" s="35">
        <v>3</v>
      </c>
      <c r="I22" s="26" t="str">
        <f>IF(AND(ISNUMBER(F14),ISNUMBER(H14)),IF(F14&lt;H14,I14,E14),"Sieger Spiel 50")</f>
        <v>Argentinien</v>
      </c>
    </row>
    <row r="23" spans="1:17">
      <c r="A23" s="2">
        <v>59</v>
      </c>
      <c r="B23" s="128" t="str">
        <f>VLOOKUP($A23,Text!$A$92:$F$107,2,FALSE)</f>
        <v>Sa., 05. 07. 2014</v>
      </c>
      <c r="C23" s="134">
        <f>VLOOKUP($A23,Text!$A$92:$F$107,3,FALSE)</f>
        <v>0.91666666666666663</v>
      </c>
      <c r="D23" s="134" t="str">
        <f>VLOOKUP($A23,Text!$A$92:$F$107,6,FALSE)</f>
        <v>Salvador</v>
      </c>
      <c r="E23" s="3" t="str">
        <f>IF(AND(ISNUMBER(F11),ISNUMBER(H11)),IF(F11&lt;H11,I11,E11),"Sieger Spiel 51")</f>
        <v>Japan</v>
      </c>
      <c r="F23" s="35">
        <v>1</v>
      </c>
      <c r="G23" s="132" t="s">
        <v>99</v>
      </c>
      <c r="H23" s="35">
        <v>3</v>
      </c>
      <c r="I23" s="26" t="str">
        <f>IF(AND(ISNUMBER(F12),ISNUMBER(H12)),IF(F12&lt;H12,I12,E12),"Sieger Spiel 50")</f>
        <v>Italien</v>
      </c>
    </row>
    <row r="24" spans="1:17">
      <c r="A24" s="2">
        <v>60</v>
      </c>
      <c r="B24" s="128" t="str">
        <f>VLOOKUP($A24,Text!$A$92:$F$107,2,FALSE)</f>
        <v>Sa., 05. 07. 2014</v>
      </c>
      <c r="C24" s="134">
        <f>VLOOKUP($A24,Text!$A$92:$F$107,3,FALSE)</f>
        <v>0.75</v>
      </c>
      <c r="D24" s="134" t="str">
        <f>VLOOKUP($A24,Text!$A$92:$F$107,6,FALSE)</f>
        <v>Brasilia</v>
      </c>
      <c r="E24" s="3" t="str">
        <f>IF(AND(ISNUMBER(F12),ISNUMBER(H12)),IF(F12&lt;H12,I12,E12),"Sieger Spiel 55")</f>
        <v>Italien</v>
      </c>
      <c r="F24" s="35">
        <v>0</v>
      </c>
      <c r="G24" s="132" t="s">
        <v>99</v>
      </c>
      <c r="H24" s="35">
        <v>2</v>
      </c>
      <c r="I24" s="26" t="str">
        <f>IF(AND(ISNUMBER(F16),ISNUMBER(H16)),IF(F16&lt;H16,I16,E16),"Sieger Spiel 50")</f>
        <v>Belgien</v>
      </c>
    </row>
    <row r="25" spans="1:17">
      <c r="F25" s="127"/>
      <c r="G25" s="142"/>
      <c r="H25" s="127"/>
      <c r="I25" s="26" t="str">
        <f t="shared" ref="I25" si="0">IF(AND(ISNUMBER(J13),ISNUMBER(L13)),IF(J13&lt;L13,M13,I13),"")</f>
        <v/>
      </c>
    </row>
    <row r="27" spans="1:17" ht="20.25">
      <c r="A27" s="169" t="s">
        <v>199</v>
      </c>
      <c r="B27" s="169"/>
      <c r="C27" s="169"/>
      <c r="D27" s="169"/>
      <c r="E27" s="169"/>
      <c r="F27" s="169"/>
      <c r="G27" s="169"/>
      <c r="H27" s="169"/>
      <c r="I27" s="169"/>
      <c r="J27" s="24"/>
      <c r="K27" s="24"/>
      <c r="L27" s="24"/>
      <c r="M27" s="24"/>
      <c r="N27" s="24"/>
      <c r="O27" s="24"/>
      <c r="P27" s="24"/>
      <c r="Q27" s="24"/>
    </row>
    <row r="28" spans="1:17">
      <c r="B28" s="128"/>
      <c r="C28" s="134"/>
      <c r="D28" s="134"/>
    </row>
    <row r="30" spans="1:17">
      <c r="A30" s="2">
        <v>61</v>
      </c>
      <c r="B30" s="128" t="str">
        <f>VLOOKUP($A30,Text!$A$92:$F$107,2,FALSE)</f>
        <v>Di. 08. 07. 2014</v>
      </c>
      <c r="C30" s="134">
        <f>VLOOKUP($A30,Text!$A$92:$F$107,3,FALSE)</f>
        <v>0.91666666666666663</v>
      </c>
      <c r="D30" s="134" t="str">
        <f>VLOOKUP($A30,Text!$A$92:$F$107,6,FALSE)</f>
        <v>Belo Horizonte</v>
      </c>
      <c r="E30" s="3" t="str">
        <f>IF(AND(ISNUMBER(F21),ISNUMBER(H21)),IF(F21&lt;H21,I21,E21),"Sieger Spiel 57")</f>
        <v>Mexico</v>
      </c>
      <c r="F30" s="35">
        <v>1</v>
      </c>
      <c r="G30" s="132" t="s">
        <v>99</v>
      </c>
      <c r="H30" s="35">
        <v>2</v>
      </c>
      <c r="I30" s="26" t="str">
        <f>IF(AND(ISNUMBER(F22),ISNUMBER(H22)),IF(F22&lt;H22,I22,E22),"Sieger Spiel 58")</f>
        <v>Argentinien</v>
      </c>
    </row>
    <row r="31" spans="1:17">
      <c r="A31" s="2">
        <v>62</v>
      </c>
      <c r="B31" s="128" t="str">
        <f>VLOOKUP($A31,Text!$A$92:$F$107,2,FALSE)</f>
        <v>Mi., 09. 07. 2014</v>
      </c>
      <c r="C31" s="134">
        <f>VLOOKUP($A31,Text!$A$92:$F$107,3,FALSE)</f>
        <v>0.91666666666666663</v>
      </c>
      <c r="D31" s="134" t="str">
        <f>VLOOKUP($A31,Text!$A$92:$F$107,6,FALSE)</f>
        <v>Sao Paulo</v>
      </c>
      <c r="E31" s="3" t="str">
        <f>IF(AND(ISNUMBER(F23),ISNUMBER(H23)),IF(F23&lt;H23,I23,E23),"Sieger Spiel 59")</f>
        <v>Italien</v>
      </c>
      <c r="F31" s="35">
        <v>1</v>
      </c>
      <c r="G31" s="132" t="s">
        <v>99</v>
      </c>
      <c r="H31" s="35">
        <v>3</v>
      </c>
      <c r="I31" s="26" t="str">
        <f>IF(AND(ISNUMBER(F24),ISNUMBER(H24)),IF(F24&lt;H24,I24,E24),"Sieger Spiel 60")</f>
        <v>Belgien</v>
      </c>
    </row>
    <row r="33" spans="1:17" ht="20.25">
      <c r="A33" s="169" t="s">
        <v>200</v>
      </c>
      <c r="B33" s="169"/>
      <c r="C33" s="169"/>
      <c r="D33" s="169"/>
      <c r="E33" s="169"/>
      <c r="F33" s="169"/>
      <c r="G33" s="169"/>
      <c r="H33" s="169"/>
      <c r="I33" s="169"/>
      <c r="J33" s="24"/>
      <c r="K33" s="24"/>
      <c r="L33" s="24"/>
      <c r="M33" s="24"/>
      <c r="N33" s="24"/>
      <c r="O33" s="24"/>
      <c r="P33" s="24"/>
      <c r="Q33" s="24"/>
    </row>
    <row r="34" spans="1:17">
      <c r="B34" s="128"/>
      <c r="C34" s="134"/>
      <c r="D34" s="134"/>
      <c r="J34" s="133"/>
      <c r="K34" s="133"/>
      <c r="L34" s="133"/>
      <c r="M34" s="133"/>
      <c r="N34" s="133"/>
      <c r="O34" s="133"/>
      <c r="P34" s="133"/>
      <c r="Q34" s="133"/>
    </row>
    <row r="35" spans="1:17">
      <c r="J35" s="133"/>
      <c r="K35" s="133"/>
      <c r="L35" s="133"/>
      <c r="M35" s="133"/>
      <c r="N35" s="133"/>
      <c r="O35" s="133"/>
      <c r="P35" s="133"/>
      <c r="Q35" s="133"/>
    </row>
    <row r="36" spans="1:17">
      <c r="A36" s="2">
        <v>63</v>
      </c>
      <c r="B36" s="128" t="str">
        <f>VLOOKUP($A36,Text!$A$92:$F$107,2,FALSE)</f>
        <v>Sa., 12. 07. 2014</v>
      </c>
      <c r="C36" s="134">
        <f>VLOOKUP($A36,Text!$A$92:$F$107,3,FALSE)</f>
        <v>0.91666666666666663</v>
      </c>
      <c r="D36" s="134" t="str">
        <f>VLOOKUP($A36,Text!$A$92:$F$107,6,FALSE)</f>
        <v>Brasilia</v>
      </c>
      <c r="E36" s="3" t="str">
        <f>IF(AND(ISNUMBER(F30),ISNUMBER(H30)),IF(F30&lt;H30,E30,I30),"Sieger Spiel 61")</f>
        <v>Mexico</v>
      </c>
      <c r="F36" s="35">
        <v>0</v>
      </c>
      <c r="G36" s="132" t="s">
        <v>99</v>
      </c>
      <c r="H36" s="35">
        <v>2</v>
      </c>
      <c r="I36" s="26" t="str">
        <f>IF(AND(ISNUMBER(F31),ISNUMBER(H31)),IF(F31&lt;H31,E31,H31),"Sieger Spiel 61")</f>
        <v>Italien</v>
      </c>
      <c r="J36" s="133"/>
      <c r="K36" s="133"/>
      <c r="L36" s="133"/>
      <c r="M36" s="133"/>
      <c r="N36" s="133"/>
      <c r="O36" s="133"/>
      <c r="P36" s="133"/>
      <c r="Q36" s="133"/>
    </row>
    <row r="37" spans="1:17">
      <c r="J37" s="133"/>
      <c r="K37" s="133"/>
      <c r="L37" s="133"/>
      <c r="M37" s="133"/>
      <c r="N37" s="133"/>
      <c r="O37" s="133"/>
      <c r="P37" s="133"/>
      <c r="Q37" s="133"/>
    </row>
    <row r="38" spans="1:17" ht="21" customHeight="1">
      <c r="A38" s="169" t="s">
        <v>201</v>
      </c>
      <c r="B38" s="169"/>
      <c r="C38" s="169"/>
      <c r="D38" s="169"/>
      <c r="E38" s="169"/>
      <c r="F38" s="169"/>
      <c r="G38" s="169"/>
      <c r="H38" s="169"/>
      <c r="I38" s="169"/>
      <c r="J38" s="135"/>
      <c r="K38" s="135"/>
      <c r="L38" s="135"/>
      <c r="M38" s="135"/>
      <c r="N38" s="135"/>
      <c r="O38" s="135"/>
      <c r="P38" s="135"/>
      <c r="Q38" s="135"/>
    </row>
    <row r="39" spans="1:17">
      <c r="J39" s="133"/>
      <c r="K39" s="133"/>
      <c r="L39" s="133"/>
      <c r="M39" s="133"/>
      <c r="N39" s="133"/>
      <c r="O39" s="133"/>
      <c r="P39" s="133"/>
      <c r="Q39" s="133"/>
    </row>
    <row r="40" spans="1:17">
      <c r="A40" s="2">
        <v>64</v>
      </c>
      <c r="B40" s="128" t="str">
        <f>VLOOKUP($A40,Text!$A$92:$F$107,2,FALSE)</f>
        <v>So., 13. 07. 2014</v>
      </c>
      <c r="C40" s="134">
        <f>VLOOKUP($A40,Text!$A$92:$F$107,3,FALSE)</f>
        <v>0.875</v>
      </c>
      <c r="D40" s="134" t="str">
        <f>VLOOKUP($A40,Text!$A$92:$F$107,6,FALSE)</f>
        <v>Rio de Janeiro</v>
      </c>
      <c r="E40" s="3" t="str">
        <f>IF(AND(ISNUMBER(F30),ISNUMBER(H30)),IF(F30&lt;H30,I30,E30),"Sieger Spiel 61")</f>
        <v>Argentinien</v>
      </c>
      <c r="F40" s="35">
        <v>1</v>
      </c>
      <c r="G40" s="132" t="s">
        <v>99</v>
      </c>
      <c r="H40" s="35">
        <v>2</v>
      </c>
      <c r="I40" s="26" t="str">
        <f>IF(AND(ISNUMBER(F31),ISNUMBER(H31)),IF(F31&lt;H31,I31,E31),"Sieger Spiel 62")</f>
        <v>Belgien</v>
      </c>
      <c r="J40" s="133"/>
      <c r="K40" s="133"/>
      <c r="L40" s="133"/>
      <c r="M40" s="133"/>
      <c r="N40" s="133"/>
      <c r="O40" s="133"/>
      <c r="P40" s="133"/>
      <c r="Q40" s="133"/>
    </row>
    <row r="41" spans="1:17">
      <c r="J41" s="133"/>
      <c r="K41" s="133"/>
      <c r="L41" s="133"/>
      <c r="M41" s="133"/>
      <c r="N41" s="133"/>
      <c r="O41" s="133"/>
      <c r="P41" s="133"/>
      <c r="Q41" s="133"/>
    </row>
    <row r="42" spans="1:17" ht="51.75" customHeight="1">
      <c r="A42" s="171" t="s">
        <v>239</v>
      </c>
      <c r="B42" s="171"/>
      <c r="C42" s="171"/>
      <c r="D42" s="171"/>
      <c r="E42" s="171"/>
      <c r="F42" s="171"/>
      <c r="G42" s="171"/>
      <c r="H42" s="171"/>
      <c r="I42" s="171"/>
      <c r="J42" s="25"/>
      <c r="K42" s="25"/>
      <c r="L42" s="25"/>
      <c r="M42" s="25"/>
      <c r="N42" s="25"/>
      <c r="O42" s="25"/>
      <c r="P42" s="25"/>
      <c r="Q42" s="25"/>
    </row>
    <row r="44" spans="1:17" ht="44.25" customHeight="1">
      <c r="A44" s="170" t="str">
        <f>IF(AND(ISNUMBER(F40),ISNUMBER(H40)),IF(F40&lt;H40,I40,E40),"Sieger Spiel 64")</f>
        <v>Belgien</v>
      </c>
      <c r="B44" s="170"/>
      <c r="C44" s="170"/>
      <c r="D44" s="170"/>
      <c r="E44" s="170"/>
      <c r="F44" s="170"/>
      <c r="G44" s="170"/>
      <c r="H44" s="170"/>
      <c r="I44" s="170"/>
    </row>
  </sheetData>
  <sheetProtection password="CFA9" sheet="1" formatCells="0" formatColumns="0" formatRows="0" insertColumns="0" insertRows="0" insertHyperlinks="0" deleteColumns="0" deleteRows="0" sort="0" autoFilter="0" pivotTables="0"/>
  <mergeCells count="8">
    <mergeCell ref="A44:I44"/>
    <mergeCell ref="A3:I3"/>
    <mergeCell ref="A7:I7"/>
    <mergeCell ref="A18:I18"/>
    <mergeCell ref="A27:I27"/>
    <mergeCell ref="A42:I42"/>
    <mergeCell ref="A38:I38"/>
    <mergeCell ref="A33:I33"/>
  </mergeCells>
  <pageMargins left="0.7" right="0.7" top="0.78740157499999996" bottom="0.78740157499999996" header="0.3" footer="0.3"/>
  <pageSetup paperSize="9" orientation="portrait" r:id="rId1"/>
  <ignoredErrors>
    <ignoredError sqref="I22:I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BF68"/>
  <sheetViews>
    <sheetView topLeftCell="A31" zoomScale="82" zoomScaleNormal="82" workbookViewId="0">
      <selection activeCell="V65" sqref="V65"/>
    </sheetView>
  </sheetViews>
  <sheetFormatPr defaultColWidth="11.42578125" defaultRowHeight="14.25"/>
  <cols>
    <col min="1" max="1" width="20.7109375" style="3" customWidth="1"/>
    <col min="2" max="3" width="3.7109375" style="150" customWidth="1"/>
    <col min="4" max="4" width="20.7109375" style="26" customWidth="1"/>
    <col min="5" max="5" width="1.7109375" style="33" customWidth="1"/>
    <col min="6" max="6" width="1.7109375" style="34" customWidth="1"/>
    <col min="7" max="7" width="9.7109375" style="26" customWidth="1"/>
    <col min="8" max="11" width="5.7109375" style="2" customWidth="1"/>
    <col min="12" max="12" width="1.7109375" style="33" customWidth="1"/>
    <col min="13" max="13" width="1.7109375" style="34" customWidth="1"/>
    <col min="14" max="14" width="9.7109375" style="26" customWidth="1"/>
    <col min="15" max="18" width="5.7109375" style="2" customWidth="1"/>
    <col min="19" max="19" width="1.7109375" style="33" customWidth="1"/>
    <col min="20" max="20" width="1.7109375" style="34" customWidth="1"/>
    <col min="21" max="21" width="3.7109375" style="150" customWidth="1"/>
    <col min="22" max="22" width="20.7109375" style="26" customWidth="1"/>
    <col min="23" max="23" width="7.5703125" style="2" bestFit="1" customWidth="1"/>
    <col min="24" max="26" width="5.7109375" style="2" customWidth="1"/>
    <col min="27" max="27" width="6.140625" style="2" customWidth="1"/>
    <col min="28" max="28" width="1.7109375" style="33" customWidth="1"/>
    <col min="29" max="29" width="1.7109375" style="34" customWidth="1"/>
    <col min="30" max="30" width="31" style="150" customWidth="1"/>
    <col min="31" max="31" width="1.28515625" style="34" customWidth="1"/>
    <col min="32" max="32" width="0.5703125" style="69" customWidth="1"/>
    <col min="33" max="33" width="37" style="69" customWidth="1"/>
    <col min="34" max="34" width="11.85546875" style="69" customWidth="1"/>
    <col min="35" max="35" width="4" style="69" customWidth="1"/>
    <col min="36" max="36" width="1.42578125" style="76" customWidth="1"/>
    <col min="37" max="37" width="1.7109375" style="69" customWidth="1"/>
    <col min="38" max="38" width="13.140625" style="69" customWidth="1"/>
    <col min="39" max="39" width="8.5703125" style="2" customWidth="1"/>
    <col min="40" max="40" width="12.7109375" style="2" customWidth="1"/>
    <col min="41" max="41" width="1.5703125" style="33" customWidth="1"/>
    <col min="42" max="42" width="1.42578125" style="2" customWidth="1"/>
    <col min="43" max="43" width="11.42578125" style="150"/>
    <col min="44" max="44" width="11.42578125" style="2"/>
    <col min="45" max="45" width="12.42578125" style="2" customWidth="1"/>
    <col min="46" max="46" width="11.42578125" style="2"/>
    <col min="47" max="47" width="13.5703125" style="2" customWidth="1"/>
    <col min="48" max="48" width="1.28515625" style="33" customWidth="1"/>
    <col min="49" max="49" width="1.140625" style="2" customWidth="1"/>
    <col min="50" max="50" width="19.7109375" style="2" customWidth="1"/>
    <col min="51" max="53" width="6" style="2" customWidth="1"/>
    <col min="54" max="54" width="11.42578125" style="150"/>
    <col min="55" max="57" width="6" style="2" customWidth="1"/>
    <col min="58" max="58" width="30.85546875" style="2" customWidth="1"/>
    <col min="59" max="16384" width="11.42578125" style="2"/>
  </cols>
  <sheetData>
    <row r="1" spans="1:58" ht="31.5" customHeight="1" thickTop="1" thickBot="1">
      <c r="A1" s="176" t="s">
        <v>232</v>
      </c>
      <c r="B1" s="176"/>
      <c r="C1" s="176"/>
      <c r="D1" s="176"/>
      <c r="E1" s="177"/>
      <c r="AB1" s="7"/>
      <c r="AC1" s="185" t="s">
        <v>212</v>
      </c>
      <c r="AD1" s="186"/>
      <c r="AE1" s="181"/>
      <c r="AF1" s="182"/>
      <c r="AG1" s="182"/>
      <c r="AH1" s="183"/>
      <c r="AI1" s="183"/>
      <c r="AJ1" s="184"/>
      <c r="AK1" s="187" t="s">
        <v>213</v>
      </c>
      <c r="AL1" s="188"/>
      <c r="AM1" s="188"/>
      <c r="AN1" s="188"/>
      <c r="AO1" s="189"/>
      <c r="AP1" s="178" t="s">
        <v>221</v>
      </c>
      <c r="AQ1" s="179"/>
      <c r="AR1" s="179"/>
      <c r="AS1" s="179"/>
      <c r="AT1" s="179"/>
      <c r="AU1" s="179"/>
      <c r="AV1" s="180"/>
      <c r="AW1" s="174" t="s">
        <v>227</v>
      </c>
      <c r="AX1" s="175"/>
      <c r="AY1" s="175"/>
      <c r="AZ1" s="175"/>
      <c r="BA1" s="175"/>
      <c r="BB1" s="175"/>
      <c r="BC1" s="175"/>
      <c r="BD1" s="175"/>
      <c r="BE1" s="175"/>
      <c r="BF1" s="107"/>
    </row>
    <row r="2" spans="1:58" ht="129.75" customHeight="1" thickTop="1" thickBot="1">
      <c r="AB2" s="7"/>
      <c r="AC2" s="78"/>
      <c r="AD2" s="117"/>
      <c r="AF2" s="97" t="s">
        <v>211</v>
      </c>
      <c r="AG2" s="104" t="s">
        <v>216</v>
      </c>
      <c r="AH2" s="98"/>
      <c r="AI2" s="99"/>
      <c r="AK2" s="71"/>
      <c r="AL2" s="71"/>
      <c r="AM2" s="60"/>
      <c r="AN2" s="7"/>
      <c r="AR2" s="2" t="s">
        <v>108</v>
      </c>
      <c r="AS2" s="2" t="s">
        <v>225</v>
      </c>
      <c r="AT2" s="105" t="s">
        <v>224</v>
      </c>
      <c r="AU2" s="105" t="s">
        <v>223</v>
      </c>
    </row>
    <row r="3" spans="1:58" s="7" customFormat="1" ht="74.25" customHeight="1" thickTop="1" thickBot="1">
      <c r="A3" s="129"/>
      <c r="B3" s="151"/>
      <c r="C3" s="151"/>
      <c r="D3" s="72"/>
      <c r="E3" s="33"/>
      <c r="F3" s="34"/>
      <c r="G3" s="72"/>
      <c r="L3" s="33"/>
      <c r="M3" s="34"/>
      <c r="N3" s="72"/>
      <c r="S3" s="33"/>
      <c r="T3" s="34"/>
      <c r="U3" s="151"/>
      <c r="V3" s="72"/>
      <c r="AB3" s="56"/>
      <c r="AC3" s="80"/>
      <c r="AD3" s="118"/>
      <c r="AE3" s="93"/>
      <c r="AF3" s="94"/>
      <c r="AG3" s="82" t="s">
        <v>215</v>
      </c>
      <c r="AH3" s="82" t="s">
        <v>214</v>
      </c>
      <c r="AI3" s="96"/>
      <c r="AJ3" s="100"/>
      <c r="AK3" s="94"/>
      <c r="AL3" s="95" t="s">
        <v>218</v>
      </c>
      <c r="AM3" s="95" t="s">
        <v>219</v>
      </c>
      <c r="AN3" s="95" t="s">
        <v>220</v>
      </c>
      <c r="AO3" s="33"/>
      <c r="AP3" s="56"/>
      <c r="AQ3" s="125" t="s">
        <v>222</v>
      </c>
      <c r="AR3" s="172" t="s">
        <v>226</v>
      </c>
      <c r="AS3" s="173"/>
      <c r="AV3" s="33"/>
      <c r="AX3" s="7" t="s">
        <v>228</v>
      </c>
      <c r="AY3" s="7" t="s">
        <v>229</v>
      </c>
      <c r="BB3" s="151" t="s">
        <v>230</v>
      </c>
      <c r="BC3" s="172" t="s">
        <v>231</v>
      </c>
      <c r="BD3" s="173"/>
      <c r="BE3" s="173"/>
    </row>
    <row r="4" spans="1:58" s="60" customFormat="1" ht="15.75" thickTop="1">
      <c r="A4" s="138" t="s">
        <v>202</v>
      </c>
      <c r="B4" s="153"/>
      <c r="C4" s="153"/>
      <c r="D4" s="63"/>
      <c r="E4" s="61"/>
      <c r="F4" s="62"/>
      <c r="G4" s="63"/>
      <c r="L4" s="61"/>
      <c r="M4" s="62"/>
      <c r="N4" s="63"/>
      <c r="S4" s="61"/>
      <c r="T4" s="62"/>
      <c r="U4" s="153"/>
      <c r="V4" s="63"/>
      <c r="AC4" s="78"/>
      <c r="AD4" s="117"/>
      <c r="AE4" s="92"/>
      <c r="AF4" s="71"/>
      <c r="AG4" s="71"/>
      <c r="AH4" s="71"/>
      <c r="AI4" s="71"/>
      <c r="AJ4" s="81"/>
      <c r="AK4" s="71"/>
      <c r="AL4" s="71"/>
      <c r="AO4" s="61"/>
      <c r="AQ4" s="153"/>
      <c r="AV4" s="61"/>
      <c r="BB4" s="153"/>
    </row>
    <row r="5" spans="1:58" ht="30.75" customHeight="1">
      <c r="A5" s="49" t="str">
        <f>Gruppenphase!E8</f>
        <v>Brasilien</v>
      </c>
      <c r="B5" s="149">
        <f>Gruppenphase!H8</f>
        <v>1</v>
      </c>
      <c r="C5" s="149">
        <f>Gruppenphase!J8</f>
        <v>0</v>
      </c>
      <c r="D5" s="51" t="str">
        <f>Gruppenphase!G8</f>
        <v>Kroatien</v>
      </c>
      <c r="G5" s="141">
        <v>0</v>
      </c>
      <c r="H5" s="65" t="str">
        <f>Text!C3</f>
        <v>BRA</v>
      </c>
      <c r="I5" s="65" t="str">
        <f>Text!C4</f>
        <v>CRO</v>
      </c>
      <c r="J5" s="65" t="str">
        <f>Text!C5</f>
        <v>MEX</v>
      </c>
      <c r="K5" s="75" t="str">
        <f>Text!C6</f>
        <v>CMR</v>
      </c>
      <c r="M5" s="7"/>
      <c r="N5" s="141">
        <v>0</v>
      </c>
      <c r="O5" s="73" t="s">
        <v>65</v>
      </c>
      <c r="P5" s="73" t="s">
        <v>66</v>
      </c>
      <c r="Q5" s="73" t="s">
        <v>67</v>
      </c>
      <c r="R5" s="73" t="s">
        <v>68</v>
      </c>
      <c r="V5" s="13"/>
      <c r="W5" s="35" t="s">
        <v>208</v>
      </c>
      <c r="X5" s="35" t="s">
        <v>207</v>
      </c>
      <c r="Y5" s="35" t="s">
        <v>204</v>
      </c>
      <c r="Z5" s="35" t="s">
        <v>206</v>
      </c>
      <c r="AA5" s="35" t="s">
        <v>205</v>
      </c>
      <c r="AB5" s="7"/>
      <c r="AC5" s="79"/>
      <c r="AD5" s="119"/>
      <c r="AE5" s="93"/>
      <c r="AF5" s="70"/>
      <c r="AG5" s="70"/>
      <c r="AH5" s="70"/>
      <c r="AI5" s="70"/>
      <c r="AK5" s="70"/>
      <c r="AQ5" s="106">
        <f>MATCH(1,AH6:AH9,0)</f>
        <v>1</v>
      </c>
    </row>
    <row r="6" spans="1:58" ht="15" customHeight="1">
      <c r="A6" s="46" t="str">
        <f>Gruppenphase!E9</f>
        <v>Mexiko</v>
      </c>
      <c r="B6" s="151">
        <f>Gruppenphase!H9</f>
        <v>3</v>
      </c>
      <c r="C6" s="151">
        <f>Gruppenphase!J9</f>
        <v>1</v>
      </c>
      <c r="D6" s="52" t="str">
        <f>Gruppenphase!G9</f>
        <v xml:space="preserve">Kamerun </v>
      </c>
      <c r="G6" s="30" t="str">
        <f>Text!C3</f>
        <v>BRA</v>
      </c>
      <c r="H6" s="74"/>
      <c r="I6" s="151">
        <f>B5</f>
        <v>1</v>
      </c>
      <c r="J6" s="151">
        <f>B7</f>
        <v>2</v>
      </c>
      <c r="K6" s="45">
        <f>C9</f>
        <v>2</v>
      </c>
      <c r="N6" s="30" t="s">
        <v>65</v>
      </c>
      <c r="O6" s="55"/>
      <c r="P6" s="7">
        <f>IF(AND(ISNUMBER(I6),ISNUMBER(H7)),IF(I6&gt;H7,3,IF(I6=H7,1,0)),0)</f>
        <v>3</v>
      </c>
      <c r="Q6" s="7">
        <f>IF(AND(ISNUMBER(J6),ISNUMBER(H8)),IF(J6&gt;H8,3,IF(J6=H8,1,0)),0)</f>
        <v>1</v>
      </c>
      <c r="R6" s="12">
        <f>IF(AND(ISNUMBER(K6),ISNUMBER(H9)),IF(K6&gt;H9,3,IF(K6=H9,1,0)),0)</f>
        <v>3</v>
      </c>
      <c r="U6" s="150">
        <v>1</v>
      </c>
      <c r="V6" s="15" t="s">
        <v>32</v>
      </c>
      <c r="W6" s="2">
        <f>IF(COUNT(H6:H9)=COUNT(H6:K6),COUNT(H6:K6),"")</f>
        <v>3</v>
      </c>
      <c r="X6" s="15">
        <f>P6+Q6+R6</f>
        <v>7</v>
      </c>
      <c r="Y6" s="15">
        <f>I6+J6+K6</f>
        <v>5</v>
      </c>
      <c r="Z6" s="15">
        <f>H7+H8+H9</f>
        <v>2</v>
      </c>
      <c r="AA6" s="15">
        <f>Y6-Z6</f>
        <v>3</v>
      </c>
      <c r="AB6" s="7"/>
      <c r="AC6" s="79"/>
      <c r="AD6" s="110">
        <f>BB6</f>
        <v>1</v>
      </c>
      <c r="AE6" s="93"/>
      <c r="AF6" s="70"/>
      <c r="AG6" s="87">
        <f>X6*10000+AA6*100+Y6</f>
        <v>70305</v>
      </c>
      <c r="AH6" s="87">
        <f>COUNTIF(AG6:AG9,AG6)</f>
        <v>1</v>
      </c>
      <c r="AI6" s="38" t="str">
        <f>IF(AH6=1,"X","")</f>
        <v>X</v>
      </c>
      <c r="AK6" s="70"/>
      <c r="AL6" s="83">
        <f>IF(AI6="X",1,IF(AG7=AG6,2,IF(AG8=AG6,3,4)))</f>
        <v>1</v>
      </c>
      <c r="AM6" s="15">
        <f>INDEX(O6:R6,1,AL6)</f>
        <v>0</v>
      </c>
      <c r="AN6" s="15">
        <f>IF(OR($AH$10=2,$AH$10=4),AM6/10,0)</f>
        <v>0</v>
      </c>
      <c r="AR6" s="15">
        <f>X6-INDEX(O6:R6,1,AQ5)</f>
        <v>7</v>
      </c>
      <c r="AS6" s="101">
        <f>AA6-(INDEX(H6:K6,1,AQ5)-INDEX(H6:H9,AQ5,1))</f>
        <v>3</v>
      </c>
      <c r="AT6" s="15">
        <f>Y6:Y6-Y6</f>
        <v>0</v>
      </c>
      <c r="AU6" s="12">
        <f>IF(OR($AH$10&lt;&gt;3,AI6="x"),0,AR6/10+AS6/1000+AT6/100000)</f>
        <v>0</v>
      </c>
      <c r="AX6" s="154">
        <f>AG6+AN6+AU6</f>
        <v>70305</v>
      </c>
      <c r="AY6" s="101">
        <f>IF(INDEX(AX6:AX9,U6)&gt;=INDEX(AX6:AX9,U7),U6,U7)</f>
        <v>1</v>
      </c>
      <c r="AZ6" s="50">
        <f>IF(INDEX(AX6:AX9,AY6)&gt;=INDEX(AX6:AX9,AY8),AY6,AY8)</f>
        <v>1</v>
      </c>
      <c r="BA6" s="12">
        <f>IF(INDEX(AX6:AX9,AZ6)&gt;=INDEX(AX6:AX9,AZ9),AZ6,AZ9)</f>
        <v>1</v>
      </c>
      <c r="BB6" s="108">
        <f>MATCH(U6,BA6:BA9,0)</f>
        <v>1</v>
      </c>
      <c r="BC6" s="101">
        <f>COUNTIF(AX6:AX9,AX6)</f>
        <v>1</v>
      </c>
      <c r="BD6" s="12" t="str">
        <f>IF(BC6=1,"X","")</f>
        <v>X</v>
      </c>
      <c r="BE6" s="12">
        <f>(BD6="X")*BB6</f>
        <v>1</v>
      </c>
    </row>
    <row r="7" spans="1:58" ht="15" customHeight="1">
      <c r="A7" s="46" t="str">
        <f>Gruppenphase!E10</f>
        <v>Brasilien</v>
      </c>
      <c r="B7" s="151">
        <f>Gruppenphase!H10</f>
        <v>2</v>
      </c>
      <c r="C7" s="151">
        <f>Gruppenphase!J10</f>
        <v>2</v>
      </c>
      <c r="D7" s="52" t="str">
        <f>Gruppenphase!G10</f>
        <v>Mexiko</v>
      </c>
      <c r="G7" s="30" t="str">
        <f>Text!C4</f>
        <v>CRO</v>
      </c>
      <c r="H7" s="39">
        <f>C5</f>
        <v>0</v>
      </c>
      <c r="I7" s="40"/>
      <c r="J7" s="151">
        <f>B10</f>
        <v>1</v>
      </c>
      <c r="K7" s="45">
        <f>C8</f>
        <v>1</v>
      </c>
      <c r="N7" s="30" t="s">
        <v>66</v>
      </c>
      <c r="O7" s="7">
        <f>IF(AND(ISNUMBER(H7),ISNUMBER(I6)),IF(H7&gt;I6,3,IF(H7=I6,1,0)),0)</f>
        <v>0</v>
      </c>
      <c r="P7" s="55"/>
      <c r="Q7" s="7">
        <f>IF(AND(ISNUMBER(J7),ISNUMBER(I8)),IF(J7&gt;I8,3,IF(J7=I8,1,0)),0)</f>
        <v>1</v>
      </c>
      <c r="R7" s="13">
        <f>IF(AND(ISNUMBER(K7),ISNUMBER(I9)),IF(K7&gt;I9,3,IF(K7=I9,1,0)),0)</f>
        <v>3</v>
      </c>
      <c r="U7" s="150">
        <v>2</v>
      </c>
      <c r="V7" s="16" t="s">
        <v>33</v>
      </c>
      <c r="W7" s="2">
        <f>IF(COUNT(I6:I9)=COUNT(H7:K7),COUNT(H7:K7),"")</f>
        <v>3</v>
      </c>
      <c r="X7" s="16">
        <f>O7+Q7+R7</f>
        <v>4</v>
      </c>
      <c r="Y7" s="16">
        <f>H7+J7+K7</f>
        <v>2</v>
      </c>
      <c r="Z7" s="16">
        <f>I6+I8+I9</f>
        <v>2</v>
      </c>
      <c r="AA7" s="16">
        <f t="shared" ref="AA7:AA9" si="0">Y7-Z7</f>
        <v>0</v>
      </c>
      <c r="AB7" s="7"/>
      <c r="AC7" s="79"/>
      <c r="AD7" s="111">
        <f t="shared" ref="AD7:AD9" si="1">BB7</f>
        <v>3</v>
      </c>
      <c r="AE7" s="93"/>
      <c r="AF7" s="70"/>
      <c r="AG7" s="88">
        <f t="shared" ref="AG7:AG9" si="2">X7*10000+AA7*100+Y7</f>
        <v>40002</v>
      </c>
      <c r="AH7" s="88">
        <f>COUNTIF(AG6:AG9,AG7)</f>
        <v>1</v>
      </c>
      <c r="AI7" s="41" t="str">
        <f t="shared" ref="AI7:AI9" si="3">IF(AH7=1,"X","")</f>
        <v>X</v>
      </c>
      <c r="AK7" s="70"/>
      <c r="AL7" s="84">
        <f>IF(AI7="X",2,IF(AG8=AG7,3,IF(AG9=AG7,4,1)))</f>
        <v>2</v>
      </c>
      <c r="AM7" s="16">
        <f>INDEX(O7:R7,1,AL7)</f>
        <v>0</v>
      </c>
      <c r="AN7" s="16">
        <f t="shared" ref="AN7:AN9" si="4">IF(OR($AH$10=2,$AH$10=4),AM7/10,0)</f>
        <v>0</v>
      </c>
      <c r="AR7" s="16">
        <f>X7-INDEX(O7:R7,1,AQ5)</f>
        <v>4</v>
      </c>
      <c r="AS7" s="102">
        <f>AA7-(INDEX(H7:K7,1,AQ5)-INDEX(I6:I9,AQ5,1))</f>
        <v>1</v>
      </c>
      <c r="AT7" s="16">
        <f t="shared" ref="AT7:AT9" si="5">Y7:Y7-Y7</f>
        <v>0</v>
      </c>
      <c r="AU7" s="13">
        <f t="shared" ref="AU7:AU9" si="6">IF(OR($AH$10&lt;&gt;3,AI7="x"),0,AR7/10+AS7/1000+AT7/100000)</f>
        <v>0</v>
      </c>
      <c r="AX7" s="155">
        <f t="shared" ref="AX7:AX9" si="7">AG7+AN7+AU7</f>
        <v>40002</v>
      </c>
      <c r="AY7" s="102">
        <f>IF(INDEX(AX6:AX9,U7)&lt;=INDEX(AX6:AX9,U6),U7,U6)</f>
        <v>2</v>
      </c>
      <c r="AZ7" s="7">
        <f>IF(INDEX(AX6:AX9,AY7)&gt;=INDEX(AX6:AX9,AY9),AY7,AY9)</f>
        <v>2</v>
      </c>
      <c r="BA7" s="13">
        <f>IF(INDEX(AX6:AX9,AZ7)&gt;=INDEX(AX6:AX9,AZ8),AZ7,AZ8)</f>
        <v>3</v>
      </c>
      <c r="BB7" s="109">
        <f>MATCH(U7,BA6:BA9,0)</f>
        <v>3</v>
      </c>
      <c r="BC7" s="102">
        <f>COUNTIF(AX6:AX9,AX7)</f>
        <v>1</v>
      </c>
      <c r="BD7" s="13" t="str">
        <f t="shared" ref="BD7:BD9" si="8">IF(BC7=1,"X","")</f>
        <v>X</v>
      </c>
      <c r="BE7" s="13">
        <f t="shared" ref="BE7:BE9" si="9">(BD7="X")*BB7</f>
        <v>3</v>
      </c>
    </row>
    <row r="8" spans="1:58" ht="15" customHeight="1">
      <c r="A8" s="46" t="str">
        <f>Gruppenphase!E11</f>
        <v xml:space="preserve">Kamerun </v>
      </c>
      <c r="B8" s="151">
        <f>Gruppenphase!H11</f>
        <v>0</v>
      </c>
      <c r="C8" s="151">
        <f>Gruppenphase!J11</f>
        <v>1</v>
      </c>
      <c r="D8" s="52" t="str">
        <f>Gruppenphase!G11</f>
        <v>Kroatien</v>
      </c>
      <c r="G8" s="30" t="str">
        <f>Text!C5</f>
        <v>MEX</v>
      </c>
      <c r="H8" s="39">
        <f>C7</f>
        <v>2</v>
      </c>
      <c r="I8" s="151">
        <f>C10</f>
        <v>1</v>
      </c>
      <c r="J8" s="40"/>
      <c r="K8" s="45">
        <f>B6</f>
        <v>3</v>
      </c>
      <c r="N8" s="30" t="s">
        <v>67</v>
      </c>
      <c r="O8" s="7">
        <f>IF(AND(ISNUMBER(H8),ISNUMBER(J6)),IF(H8&gt;J6,3,IF(H8=J6,1,0)),0)</f>
        <v>1</v>
      </c>
      <c r="P8" s="7">
        <f>IF(AND(ISNUMBER(I8),ISNUMBER(J7)),IF(I8&gt;J7,3,IF(I8=J7,1,0)),0)</f>
        <v>1</v>
      </c>
      <c r="Q8" s="55"/>
      <c r="R8" s="13">
        <f>IF(AND(ISNUMBER(K8),ISNUMBER(J9)),IF(K8&gt;J9,3,IF(K8=J9,1,0)),0)</f>
        <v>3</v>
      </c>
      <c r="U8" s="150">
        <v>3</v>
      </c>
      <c r="V8" s="16" t="s">
        <v>209</v>
      </c>
      <c r="W8" s="2">
        <f>IF(COUNT(J6:J9)=COUNT(H8:K8),COUNT(H8:K8),"")</f>
        <v>3</v>
      </c>
      <c r="X8" s="16">
        <f>O8+P8+R8</f>
        <v>5</v>
      </c>
      <c r="Y8" s="16">
        <f>H8+I8+K8</f>
        <v>6</v>
      </c>
      <c r="Z8" s="16">
        <f>J6+J7+J9</f>
        <v>4</v>
      </c>
      <c r="AA8" s="16">
        <f t="shared" si="0"/>
        <v>2</v>
      </c>
      <c r="AB8" s="7"/>
      <c r="AC8" s="79"/>
      <c r="AD8" s="111">
        <f t="shared" si="1"/>
        <v>2</v>
      </c>
      <c r="AE8" s="93"/>
      <c r="AF8" s="70"/>
      <c r="AG8" s="88">
        <f t="shared" si="2"/>
        <v>50206</v>
      </c>
      <c r="AH8" s="88">
        <f>COUNTIF(AG6:AG9,AG8)</f>
        <v>1</v>
      </c>
      <c r="AI8" s="41" t="str">
        <f t="shared" si="3"/>
        <v>X</v>
      </c>
      <c r="AK8" s="70"/>
      <c r="AL8" s="84">
        <f>IF(AI8="X",3,IF(AG9=AG8,4,IF(AG10=AG8,1,2)))</f>
        <v>3</v>
      </c>
      <c r="AM8" s="16">
        <f>INDEX(O8:R8,1,AL8)</f>
        <v>0</v>
      </c>
      <c r="AN8" s="16">
        <f t="shared" si="4"/>
        <v>0</v>
      </c>
      <c r="AR8" s="16">
        <f>X8-INDEX(O8:R8,1,AQ5)</f>
        <v>4</v>
      </c>
      <c r="AS8" s="102">
        <f>AA8-(INDEX(H8:K8,1,AQ5)-INDEX(J7:J10,AQ5,1))</f>
        <v>1</v>
      </c>
      <c r="AT8" s="16">
        <f t="shared" si="5"/>
        <v>0</v>
      </c>
      <c r="AU8" s="13">
        <f t="shared" si="6"/>
        <v>0</v>
      </c>
      <c r="AX8" s="155">
        <f t="shared" si="7"/>
        <v>50206</v>
      </c>
      <c r="AY8" s="102">
        <f>IF(INDEX(AX6:AX9,U8)&gt;=INDEX(AX6:AX9,U9),U8,U9)</f>
        <v>3</v>
      </c>
      <c r="AZ8" s="7">
        <f>IF(INDEX(AX6:AX9,AY8)&lt;=INDEX(AX6:AX9,AY6),AY8,AY6)</f>
        <v>3</v>
      </c>
      <c r="BA8" s="13">
        <f>IF(INDEX(AX6:AX9,AZ8)&lt;=INDEX(AX6:AX9,AZ7),AZ8,AZ7)</f>
        <v>2</v>
      </c>
      <c r="BB8" s="109">
        <f>MATCH(U8,BA6:BA9,0)</f>
        <v>2</v>
      </c>
      <c r="BC8" s="102">
        <f>COUNTIF(AX6:AX9,AX8)</f>
        <v>1</v>
      </c>
      <c r="BD8" s="13" t="str">
        <f t="shared" si="8"/>
        <v>X</v>
      </c>
      <c r="BE8" s="13">
        <f t="shared" si="9"/>
        <v>2</v>
      </c>
    </row>
    <row r="9" spans="1:58" ht="15" customHeight="1">
      <c r="A9" s="46" t="str">
        <f>Gruppenphase!E12</f>
        <v xml:space="preserve">Kamerun </v>
      </c>
      <c r="B9" s="151">
        <f>Gruppenphase!H12</f>
        <v>0</v>
      </c>
      <c r="C9" s="151">
        <f>Gruppenphase!J12</f>
        <v>2</v>
      </c>
      <c r="D9" s="52" t="str">
        <f>Gruppenphase!G12</f>
        <v>Brasilien</v>
      </c>
      <c r="G9" s="31" t="str">
        <f>Text!C6</f>
        <v>CMR</v>
      </c>
      <c r="H9" s="42">
        <f>B9</f>
        <v>0</v>
      </c>
      <c r="I9" s="43">
        <f>B8</f>
        <v>0</v>
      </c>
      <c r="J9" s="43">
        <f>C6</f>
        <v>1</v>
      </c>
      <c r="K9" s="48"/>
      <c r="N9" s="31" t="s">
        <v>68</v>
      </c>
      <c r="O9" s="54">
        <f>IF(AND(ISNUMBER(H9),ISNUMBER(J7)),IF(H9&gt;J7,3,IF(H9=J7,1,0)),0)</f>
        <v>0</v>
      </c>
      <c r="P9" s="54">
        <f>IF(AND(ISNUMBER(I9),ISNUMBER(K7)),IF(I9&gt;K7,3,IF(I9=K7,1,0)),0)</f>
        <v>0</v>
      </c>
      <c r="Q9" s="54">
        <f>IF(AND(ISNUMBER(J9),ISNUMBER(K8)),IF(J9&gt;K8,3,IF(J9=K8,1,0)),0)</f>
        <v>0</v>
      </c>
      <c r="R9" s="32"/>
      <c r="U9" s="150">
        <v>4</v>
      </c>
      <c r="V9" s="17" t="s">
        <v>35</v>
      </c>
      <c r="W9" s="17">
        <f>IF(COUNT(K6:K9)=COUNT(H9:K9),COUNT(H9:K9),"")</f>
        <v>3</v>
      </c>
      <c r="X9" s="17">
        <f>O9+P9+Q9</f>
        <v>0</v>
      </c>
      <c r="Y9" s="17">
        <f>H9+I9+J9</f>
        <v>1</v>
      </c>
      <c r="Z9" s="17">
        <f>K6+K7+K8</f>
        <v>6</v>
      </c>
      <c r="AA9" s="17">
        <f t="shared" si="0"/>
        <v>-5</v>
      </c>
      <c r="AB9" s="7"/>
      <c r="AC9" s="79"/>
      <c r="AD9" s="111">
        <f t="shared" si="1"/>
        <v>4</v>
      </c>
      <c r="AE9" s="93"/>
      <c r="AF9" s="70"/>
      <c r="AG9" s="89">
        <f t="shared" si="2"/>
        <v>-499</v>
      </c>
      <c r="AH9" s="89">
        <f>COUNTIF(AG6:AG9,AG9)</f>
        <v>1</v>
      </c>
      <c r="AI9" s="86" t="str">
        <f t="shared" si="3"/>
        <v>X</v>
      </c>
      <c r="AK9" s="70"/>
      <c r="AL9" s="85">
        <f>IF(AI9="X",4,IF(AG6=AG9,1,IF(AG7=AG9,2,3)))</f>
        <v>4</v>
      </c>
      <c r="AM9" s="17">
        <f>INDEX(O9:R9,1,AL9)</f>
        <v>0</v>
      </c>
      <c r="AN9" s="17">
        <f t="shared" si="4"/>
        <v>0</v>
      </c>
      <c r="AR9" s="17">
        <f>X9-INDEX(O9:R9,1,AQ5)</f>
        <v>0</v>
      </c>
      <c r="AS9" s="53">
        <f>AA9-(INDEX(H9:K9,1,AQ5)-INDEX(K6:K9,AQ5,1))</f>
        <v>-3</v>
      </c>
      <c r="AT9" s="17">
        <f t="shared" si="5"/>
        <v>0</v>
      </c>
      <c r="AU9" s="14">
        <f t="shared" si="6"/>
        <v>0</v>
      </c>
      <c r="AX9" s="156">
        <f t="shared" si="7"/>
        <v>-499</v>
      </c>
      <c r="AY9" s="53">
        <f>IF(INDEX(AX6:AX9,U9)&lt;=INDEX(AX6:AX9,U8),U9,U8)</f>
        <v>4</v>
      </c>
      <c r="AZ9" s="54">
        <f>IF(INDEX(AX6:AX9,AY9)&lt;=INDEX(AX6:AX9,AY7),AY9,AY7)</f>
        <v>4</v>
      </c>
      <c r="BA9" s="14">
        <f>IF(INDEX(AX6:AX9,AZ9)&lt;=INDEX(AX6:AX9,AZ6),AZ9,AZ6)</f>
        <v>4</v>
      </c>
      <c r="BB9" s="20">
        <f>MATCH(U9,BA6:BA9,0)</f>
        <v>4</v>
      </c>
      <c r="BC9" s="53">
        <f>COUNTIF(AX6:AX9,AX9)</f>
        <v>1</v>
      </c>
      <c r="BD9" s="14" t="str">
        <f t="shared" si="8"/>
        <v>X</v>
      </c>
      <c r="BE9" s="14">
        <f t="shared" si="9"/>
        <v>4</v>
      </c>
    </row>
    <row r="10" spans="1:58" ht="16.5" customHeight="1">
      <c r="A10" s="47" t="str">
        <f>Gruppenphase!E13</f>
        <v>Kroatien</v>
      </c>
      <c r="B10" s="43">
        <f>Gruppenphase!H13</f>
        <v>1</v>
      </c>
      <c r="C10" s="43">
        <f>Gruppenphase!J13</f>
        <v>1</v>
      </c>
      <c r="D10" s="137" t="str">
        <f>Gruppenphase!G13</f>
        <v>Mexiko</v>
      </c>
      <c r="W10" s="21" t="b">
        <f>SUM(W6:W9)=12</f>
        <v>1</v>
      </c>
      <c r="AB10" s="7"/>
      <c r="AC10" s="79"/>
      <c r="AD10" s="120" t="str">
        <f>BF10</f>
        <v>Eindeutige Platzierung</v>
      </c>
      <c r="AE10" s="93"/>
      <c r="AF10" s="70"/>
      <c r="AG10" s="90" t="s">
        <v>217</v>
      </c>
      <c r="AH10" s="91">
        <f>MOD(MIN(AH6:AH9)*MAX(AH6:AH9),11)</f>
        <v>1</v>
      </c>
      <c r="AI10" s="70"/>
      <c r="AK10" s="70"/>
      <c r="AL10" s="70"/>
      <c r="AM10" s="7"/>
      <c r="AN10" s="7"/>
      <c r="BD10" s="21">
        <f>COUNTIF(BD6:BD9,"X")</f>
        <v>4</v>
      </c>
      <c r="BE10" s="21">
        <f>SUM(BE6:BE9)</f>
        <v>10</v>
      </c>
      <c r="BF10" s="116" t="str">
        <f>IF(W10,IF(BD10&gt;=3,"Eindeutige Platzierung",IF(AND(BD10=2,BE10=3),"zwei Teams auf Platz 3","Auswahl durch Losverfahren")),"")</f>
        <v>Eindeutige Platzierung</v>
      </c>
    </row>
    <row r="11" spans="1:58" s="56" customFormat="1" ht="15.75" customHeight="1" thickBot="1">
      <c r="A11" s="136"/>
      <c r="B11" s="152"/>
      <c r="C11" s="152"/>
      <c r="D11" s="59"/>
      <c r="E11" s="57"/>
      <c r="F11" s="58"/>
      <c r="G11" s="59"/>
      <c r="L11" s="57"/>
      <c r="M11" s="58"/>
      <c r="N11" s="59"/>
      <c r="S11" s="57"/>
      <c r="T11" s="58"/>
      <c r="U11" s="152"/>
      <c r="V11" s="59"/>
      <c r="AC11" s="80"/>
      <c r="AD11" s="118"/>
      <c r="AE11" s="93"/>
      <c r="AF11" s="70"/>
      <c r="AG11" s="70"/>
      <c r="AH11" s="70"/>
      <c r="AI11" s="70"/>
      <c r="AJ11" s="76"/>
      <c r="AK11" s="70"/>
      <c r="AL11" s="69"/>
      <c r="AM11" s="7"/>
      <c r="AN11" s="7"/>
      <c r="AO11" s="33"/>
      <c r="AQ11" s="152"/>
      <c r="AV11" s="57"/>
      <c r="BB11" s="152"/>
    </row>
    <row r="12" spans="1:58" ht="15.75" thickTop="1">
      <c r="A12" s="139" t="s">
        <v>203</v>
      </c>
      <c r="AD12" s="151"/>
      <c r="AE12" s="62"/>
      <c r="AF12" s="71"/>
      <c r="AG12" s="71"/>
      <c r="AH12" s="71"/>
      <c r="AI12" s="71"/>
      <c r="AJ12" s="81"/>
      <c r="AK12" s="71"/>
      <c r="AL12" s="71"/>
      <c r="AM12" s="60"/>
      <c r="AN12" s="60"/>
      <c r="AO12" s="61"/>
    </row>
    <row r="13" spans="1:58" ht="30.75" customHeight="1">
      <c r="A13" s="49" t="str">
        <f>Gruppenphase!E17</f>
        <v xml:space="preserve">Spanien </v>
      </c>
      <c r="B13" s="149">
        <f>Gruppenphase!H17</f>
        <v>2</v>
      </c>
      <c r="C13" s="149">
        <f>Gruppenphase!J17</f>
        <v>2</v>
      </c>
      <c r="D13" s="51" t="str">
        <f>Gruppenphase!G17</f>
        <v>Niederlande</v>
      </c>
      <c r="G13" s="29">
        <v>0</v>
      </c>
      <c r="H13" s="27" t="str">
        <f>Text!C8</f>
        <v>ESP</v>
      </c>
      <c r="I13" s="27" t="str">
        <f>Text!C9</f>
        <v>NED</v>
      </c>
      <c r="J13" s="27" t="str">
        <f>Text!C10</f>
        <v>CHI</v>
      </c>
      <c r="K13" s="28" t="str">
        <f>Text!C11</f>
        <v>AUS</v>
      </c>
      <c r="N13" s="141">
        <v>0</v>
      </c>
      <c r="O13" s="112" t="s">
        <v>69</v>
      </c>
      <c r="P13" s="112" t="s">
        <v>70</v>
      </c>
      <c r="Q13" s="112" t="s">
        <v>71</v>
      </c>
      <c r="R13" s="113" t="s">
        <v>72</v>
      </c>
      <c r="W13" s="35" t="s">
        <v>208</v>
      </c>
      <c r="X13" s="35" t="s">
        <v>207</v>
      </c>
      <c r="Y13" s="36" t="s">
        <v>204</v>
      </c>
      <c r="Z13" s="37" t="s">
        <v>206</v>
      </c>
      <c r="AA13" s="35" t="s">
        <v>205</v>
      </c>
      <c r="AD13" s="151"/>
      <c r="AQ13" s="35">
        <f>MATCH(1,AH14:AH17,0)</f>
        <v>1</v>
      </c>
    </row>
    <row r="14" spans="1:58" ht="15" customHeight="1">
      <c r="A14" s="46" t="str">
        <f>Gruppenphase!E18</f>
        <v xml:space="preserve">Chile </v>
      </c>
      <c r="B14" s="151">
        <f>Gruppenphase!H18</f>
        <v>0</v>
      </c>
      <c r="C14" s="151">
        <f>Gruppenphase!J18</f>
        <v>1</v>
      </c>
      <c r="D14" s="52" t="str">
        <f>Gruppenphase!G18</f>
        <v>Australien</v>
      </c>
      <c r="G14" s="29" t="str">
        <f>Text!C8</f>
        <v>ESP</v>
      </c>
      <c r="H14" s="64"/>
      <c r="I14" s="149">
        <f>B13</f>
        <v>2</v>
      </c>
      <c r="J14" s="149">
        <f>B15</f>
        <v>2</v>
      </c>
      <c r="K14" s="38">
        <f>C17</f>
        <v>2</v>
      </c>
      <c r="N14" s="30" t="s">
        <v>69</v>
      </c>
      <c r="O14" s="55"/>
      <c r="P14" s="7">
        <f>IF(AND(ISNUMBER(I14),ISNUMBER(H15)),IF(I14&gt;H15,3,IF(I14=H15,1,0)),0)</f>
        <v>1</v>
      </c>
      <c r="Q14" s="7">
        <f>IF(AND(ISNUMBER(J14),ISNUMBER(H16)),IF(J14&gt;H16,3,IF(J14=H16,1,0)),0)</f>
        <v>3</v>
      </c>
      <c r="R14" s="13">
        <f>IF(AND(ISNUMBER(K14),ISNUMBER(H17)),IF(K14&gt;H17,3,IF(K14=H17,1,0)),0)</f>
        <v>3</v>
      </c>
      <c r="U14" s="150">
        <v>1</v>
      </c>
      <c r="V14" s="29" t="s">
        <v>36</v>
      </c>
      <c r="W14" s="2">
        <f>IF(COUNT(H14:H17)=COUNT(H14:K14),COUNT(H14:K14),"")</f>
        <v>3</v>
      </c>
      <c r="X14" s="15">
        <f>P14+Q14+R14</f>
        <v>7</v>
      </c>
      <c r="Y14" s="15">
        <f>I14+J14+K14</f>
        <v>6</v>
      </c>
      <c r="Z14" s="15">
        <f>H15+H16+H17</f>
        <v>4</v>
      </c>
      <c r="AA14" s="15">
        <f>Y14-Z14</f>
        <v>2</v>
      </c>
      <c r="AD14" s="110">
        <f>BB14</f>
        <v>2</v>
      </c>
      <c r="AG14" s="101">
        <f>X14*10000+AA14*100+Y14</f>
        <v>70206</v>
      </c>
      <c r="AH14" s="15">
        <f>COUNTIF(AG14:AG17,AG14)</f>
        <v>1</v>
      </c>
      <c r="AI14" s="12" t="str">
        <f>IF(AH14=1,"X","")</f>
        <v>X</v>
      </c>
      <c r="AL14" s="83">
        <f>IF(AI14="X",1,IF(AG15=AG14,2,IF(AG16=AG14,3,4)))</f>
        <v>1</v>
      </c>
      <c r="AM14" s="50">
        <f>INDEX(O14:R14,1,AL14)</f>
        <v>0</v>
      </c>
      <c r="AN14" s="12">
        <f>AM14/10</f>
        <v>0</v>
      </c>
      <c r="AR14" s="101">
        <f>X14-INDEX(O14:R14,1,AQ13)</f>
        <v>7</v>
      </c>
      <c r="AS14" s="50">
        <f>AA14-(INDEX(H14:K14,1,AQ13)-INDEX(H14:H17,AQ13,1))</f>
        <v>2</v>
      </c>
      <c r="AT14" s="50">
        <f>Y14:Y14-Y14</f>
        <v>0</v>
      </c>
      <c r="AU14" s="12">
        <f>IF(OR($AH$10&lt;&gt;3,AI14="x"),0,AR14/10+AS14/1000+AT14/100000)</f>
        <v>0</v>
      </c>
      <c r="AX14" s="15">
        <f>AG14+AN14+AU14</f>
        <v>70206</v>
      </c>
      <c r="AY14" s="50">
        <f>IF(INDEX(AX14:AX17,U14)&gt;=INDEX(AX14:AX17,U15),U14,U15)</f>
        <v>2</v>
      </c>
      <c r="AZ14" s="50">
        <f>IF(INDEX(AX14:AX17,AY14)&gt;=INDEX(AX14:AX17,AY16),AY14,AY16)</f>
        <v>2</v>
      </c>
      <c r="BA14" s="12">
        <f>IF(INDEX(AX14:AX17,AZ14)&gt;=INDEX(AX14:AX17,AZ17),AZ14,AZ17)</f>
        <v>2</v>
      </c>
      <c r="BB14" s="66">
        <f>MATCH(U14,BA14:BA17,0)</f>
        <v>2</v>
      </c>
      <c r="BC14" s="101">
        <f>COUNTIF(AX14:AX17,AX14)</f>
        <v>1</v>
      </c>
      <c r="BD14" s="12" t="str">
        <f>IF(BC14=1,"X","")</f>
        <v>X</v>
      </c>
      <c r="BE14" s="12">
        <f>(BD14="X")*BB14</f>
        <v>2</v>
      </c>
    </row>
    <row r="15" spans="1:58" ht="15" customHeight="1">
      <c r="A15" s="46" t="str">
        <f>Gruppenphase!E19</f>
        <v xml:space="preserve">Spanien </v>
      </c>
      <c r="B15" s="151">
        <f>Gruppenphase!H19</f>
        <v>2</v>
      </c>
      <c r="C15" s="151">
        <f>Gruppenphase!J19</f>
        <v>1</v>
      </c>
      <c r="D15" s="52" t="str">
        <f>Gruppenphase!G19</f>
        <v xml:space="preserve">Chile </v>
      </c>
      <c r="G15" s="30" t="str">
        <f>Text!C9</f>
        <v>NED</v>
      </c>
      <c r="H15" s="151">
        <f>C13</f>
        <v>2</v>
      </c>
      <c r="I15" s="40"/>
      <c r="J15" s="151">
        <f>B18</f>
        <v>1</v>
      </c>
      <c r="K15" s="41">
        <f>C16</f>
        <v>3</v>
      </c>
      <c r="N15" s="30" t="s">
        <v>70</v>
      </c>
      <c r="O15" s="7">
        <f>IF(AND(ISNUMBER(H15),ISNUMBER(I14)),IF(H15&gt;I14,3,IF(H15=I14,1,0)),0)</f>
        <v>1</v>
      </c>
      <c r="P15" s="55"/>
      <c r="Q15" s="7">
        <f>IF(AND(ISNUMBER(J15),ISNUMBER(I16)),IF(J15&gt;I16,3,IF(J15=I16,1,0)),0)</f>
        <v>3</v>
      </c>
      <c r="R15" s="13">
        <f>IF(AND(ISNUMBER(K15),ISNUMBER(I17)),IF(K15&gt;I17,3,IF(K15=I17,1,0)),0)</f>
        <v>3</v>
      </c>
      <c r="U15" s="150">
        <v>2</v>
      </c>
      <c r="V15" s="30" t="s">
        <v>38</v>
      </c>
      <c r="W15" s="2">
        <f>IF(COUNT(I14:I17)=COUNT(H15:K15),COUNT(H15:K15),"")</f>
        <v>3</v>
      </c>
      <c r="X15" s="16">
        <f>O15+Q15+R15</f>
        <v>7</v>
      </c>
      <c r="Y15" s="16">
        <f>H15+J15+K15</f>
        <v>6</v>
      </c>
      <c r="Z15" s="16">
        <f>I14+I16+I17</f>
        <v>2</v>
      </c>
      <c r="AA15" s="16">
        <f t="shared" ref="AA15:AA17" si="10">Y15-Z15</f>
        <v>4</v>
      </c>
      <c r="AD15" s="111">
        <f t="shared" ref="AD15:AD17" si="11">BB15</f>
        <v>1</v>
      </c>
      <c r="AG15" s="102">
        <f t="shared" ref="AG15:AG17" si="12">X15*10000+AA15*100+Y15</f>
        <v>70406</v>
      </c>
      <c r="AH15" s="16">
        <f>COUNTIF(AG14:AG17,AG15)</f>
        <v>1</v>
      </c>
      <c r="AI15" s="13" t="str">
        <f t="shared" ref="AI15:AI18" si="13">IF(AH15=1,"X","")</f>
        <v>X</v>
      </c>
      <c r="AL15" s="84">
        <f>IF(AI15="X",2,IF(AG16=AG15,3,IF(AG17=AG15,4,1)))</f>
        <v>2</v>
      </c>
      <c r="AM15" s="7">
        <f>INDEX(O15:R15,1,AL15)</f>
        <v>0</v>
      </c>
      <c r="AN15" s="13">
        <f t="shared" ref="AN15:AN17" si="14">AM15/10</f>
        <v>0</v>
      </c>
      <c r="AR15" s="102">
        <f>X15-INDEX(O15:R15,1,AQ13)</f>
        <v>6</v>
      </c>
      <c r="AS15" s="7">
        <f>AA15-(INDEX(H15:K15,1,AQ13)-INDEX(I14:I17,AQ13,1))</f>
        <v>4</v>
      </c>
      <c r="AT15" s="7">
        <f t="shared" ref="AT15:AT17" si="15">Y15:Y15-Y15</f>
        <v>0</v>
      </c>
      <c r="AU15" s="13">
        <f t="shared" ref="AU15:AU17" si="16">IF(OR($AH$10&lt;&gt;3,AI15="x"),0,AR15/10+AS15/1000+AT15/100000)</f>
        <v>0</v>
      </c>
      <c r="AX15" s="16">
        <f t="shared" ref="AX15:AX17" si="17">AG15+AN15+AU15</f>
        <v>70406</v>
      </c>
      <c r="AY15" s="7">
        <f>IF(INDEX(AX14:AX17,U15)&lt;=INDEX(AX14:AX17,U14),U15,U14)</f>
        <v>1</v>
      </c>
      <c r="AZ15" s="7">
        <f>IF(INDEX(AX14:AX17,AY15)&gt;=INDEX(AX14:AX17,AY17),AY15,AY17)</f>
        <v>1</v>
      </c>
      <c r="BA15" s="13">
        <f>IF(INDEX(AX14:AX17,AZ15)&gt;=INDEX(AX14:AX17,AZ16),AZ15,AZ16)</f>
        <v>1</v>
      </c>
      <c r="BB15" s="67">
        <f>MATCH(U15,BA14:BA17,0)</f>
        <v>1</v>
      </c>
      <c r="BC15" s="102">
        <f>COUNTIF(AX14:AX17,AX15)</f>
        <v>1</v>
      </c>
      <c r="BD15" s="13" t="str">
        <f t="shared" ref="BD15:BD17" si="18">IF(BC15=1,"X","")</f>
        <v>X</v>
      </c>
      <c r="BE15" s="13">
        <f t="shared" ref="BE15:BE17" si="19">(BD15="X")*BB15</f>
        <v>1</v>
      </c>
    </row>
    <row r="16" spans="1:58" ht="15" customHeight="1">
      <c r="A16" s="46" t="str">
        <f>Gruppenphase!E20</f>
        <v>Australien</v>
      </c>
      <c r="B16" s="151">
        <f>Gruppenphase!H20</f>
        <v>0</v>
      </c>
      <c r="C16" s="151">
        <f>Gruppenphase!J20</f>
        <v>3</v>
      </c>
      <c r="D16" s="52" t="str">
        <f>Gruppenphase!G20</f>
        <v>Niederlande</v>
      </c>
      <c r="G16" s="30" t="str">
        <f>Text!C10</f>
        <v>CHI</v>
      </c>
      <c r="H16" s="151">
        <f>C15</f>
        <v>1</v>
      </c>
      <c r="I16" s="151">
        <f>C18</f>
        <v>0</v>
      </c>
      <c r="J16" s="40"/>
      <c r="K16" s="41">
        <f>B14</f>
        <v>0</v>
      </c>
      <c r="N16" s="30" t="s">
        <v>71</v>
      </c>
      <c r="O16" s="7">
        <f>IF(AND(ISNUMBER(H16),ISNUMBER(J14)),IF(H16&gt;J14,3,IF(H16=J14,1,0)),0)</f>
        <v>0</v>
      </c>
      <c r="P16" s="7">
        <f>IF(AND(ISNUMBER(I16),ISNUMBER(J15)),IF(I16&gt;J15,3,IF(I16=J15,1,0)),0)</f>
        <v>0</v>
      </c>
      <c r="Q16" s="55"/>
      <c r="R16" s="13">
        <f>IF(AND(ISNUMBER(K16),ISNUMBER(J17)),IF(K16&gt;J17,3,IF(K16=J17,1,0)),0)</f>
        <v>0</v>
      </c>
      <c r="U16" s="150">
        <v>3</v>
      </c>
      <c r="V16" s="16" t="s">
        <v>37</v>
      </c>
      <c r="W16" s="13">
        <f>IF(COUNT(J14:J17)=COUNT(H16:K16),COUNT(H16:K16),"")</f>
        <v>3</v>
      </c>
      <c r="X16" s="16">
        <f>O16+P16+R16</f>
        <v>0</v>
      </c>
      <c r="Y16" s="16">
        <f>H16+I16+K16</f>
        <v>1</v>
      </c>
      <c r="Z16" s="16">
        <f>J14+J15+J17</f>
        <v>4</v>
      </c>
      <c r="AA16" s="16">
        <f t="shared" si="10"/>
        <v>-3</v>
      </c>
      <c r="AD16" s="111">
        <f t="shared" si="11"/>
        <v>4</v>
      </c>
      <c r="AG16" s="102">
        <f t="shared" si="12"/>
        <v>-299</v>
      </c>
      <c r="AH16" s="16">
        <f>COUNTIF(AG14:AG17,AG16)</f>
        <v>1</v>
      </c>
      <c r="AI16" s="13" t="str">
        <f t="shared" si="13"/>
        <v>X</v>
      </c>
      <c r="AL16" s="84">
        <f>IF(AI16="X",3,IF(AG17=AG16,4,IF(AG18=AG16,1,2)))</f>
        <v>3</v>
      </c>
      <c r="AM16" s="7">
        <f>INDEX(O16:R16,1,AL16)</f>
        <v>0</v>
      </c>
      <c r="AN16" s="13">
        <f t="shared" si="14"/>
        <v>0</v>
      </c>
      <c r="AR16" s="102">
        <f>X16-INDEX(O16:R16,1,AQ13)</f>
        <v>0</v>
      </c>
      <c r="AS16" s="7">
        <f>AA16-(INDEX(H16:K16,1,AQ13)-INDEX(J15:J18,AQ13,1))</f>
        <v>-3</v>
      </c>
      <c r="AT16" s="7">
        <f t="shared" si="15"/>
        <v>0</v>
      </c>
      <c r="AU16" s="13">
        <f t="shared" si="16"/>
        <v>0</v>
      </c>
      <c r="AX16" s="16">
        <f t="shared" si="17"/>
        <v>-299</v>
      </c>
      <c r="AY16" s="7">
        <f>IF(INDEX(AX14:AX17,U16)&gt;=INDEX(AX14:AX17,U17),U16,U17)</f>
        <v>4</v>
      </c>
      <c r="AZ16" s="7">
        <f>IF(INDEX(AX14:AX17,AY16)&lt;=INDEX(AX14:AX17,AY14),AY16,AY14)</f>
        <v>4</v>
      </c>
      <c r="BA16" s="13">
        <f>IF(INDEX(AX14:AX17,AZ16)&lt;=INDEX(AX14:AX17,AZ15),AZ16,AZ15)</f>
        <v>4</v>
      </c>
      <c r="BB16" s="67">
        <f>MATCH(U16,BA14:BA17,0)</f>
        <v>4</v>
      </c>
      <c r="BC16" s="102">
        <f>COUNTIF(AX14:AX17,AX16)</f>
        <v>1</v>
      </c>
      <c r="BD16" s="13" t="str">
        <f t="shared" si="18"/>
        <v>X</v>
      </c>
      <c r="BE16" s="13">
        <f t="shared" si="19"/>
        <v>4</v>
      </c>
    </row>
    <row r="17" spans="1:58" ht="15" customHeight="1">
      <c r="A17" s="46" t="str">
        <f>Gruppenphase!E21</f>
        <v>Australien</v>
      </c>
      <c r="B17" s="151">
        <f>Gruppenphase!H21</f>
        <v>1</v>
      </c>
      <c r="C17" s="151">
        <f>Gruppenphase!J21</f>
        <v>2</v>
      </c>
      <c r="D17" s="52" t="str">
        <f>Gruppenphase!G21</f>
        <v xml:space="preserve">Spanien </v>
      </c>
      <c r="G17" s="31" t="str">
        <f>Text!C11</f>
        <v>AUS</v>
      </c>
      <c r="H17" s="43">
        <f>B17</f>
        <v>1</v>
      </c>
      <c r="I17" s="43">
        <f>B16</f>
        <v>0</v>
      </c>
      <c r="J17" s="43">
        <f>C14</f>
        <v>1</v>
      </c>
      <c r="K17" s="44"/>
      <c r="N17" s="31" t="s">
        <v>72</v>
      </c>
      <c r="O17" s="54">
        <f>IF(AND(ISNUMBER(H17),ISNUMBER(J15)),IF(H17&gt;J15,3,IF(H17=J15,1,0)),0)</f>
        <v>1</v>
      </c>
      <c r="P17" s="54">
        <f>IF(AND(ISNUMBER(I17),ISNUMBER(K15)),IF(I17&gt;K15,3,IF(I17=K15,1,0)),0)</f>
        <v>0</v>
      </c>
      <c r="Q17" s="54">
        <f>IF(AND(ISNUMBER(J17),ISNUMBER(K16)),IF(J17&gt;K16,3,IF(J17=K16,1,0)),0)</f>
        <v>3</v>
      </c>
      <c r="R17" s="32"/>
      <c r="U17" s="150">
        <v>4</v>
      </c>
      <c r="V17" s="17" t="s">
        <v>39</v>
      </c>
      <c r="W17" s="14">
        <f>IF(COUNT(K14:K17)=COUNT(H17:K17),COUNT(H17:K17),"")</f>
        <v>3</v>
      </c>
      <c r="X17" s="17">
        <f>O17+P17+Q17</f>
        <v>4</v>
      </c>
      <c r="Y17" s="17">
        <f>H17+I17+J17</f>
        <v>2</v>
      </c>
      <c r="Z17" s="17">
        <f>K14+K15+K16</f>
        <v>5</v>
      </c>
      <c r="AA17" s="17">
        <f t="shared" si="10"/>
        <v>-3</v>
      </c>
      <c r="AD17" s="111">
        <f t="shared" si="11"/>
        <v>3</v>
      </c>
      <c r="AG17" s="53">
        <f t="shared" si="12"/>
        <v>39702</v>
      </c>
      <c r="AH17" s="17">
        <f>COUNTIF(AG14:AG17,AG17)</f>
        <v>1</v>
      </c>
      <c r="AI17" s="14" t="str">
        <f t="shared" si="13"/>
        <v>X</v>
      </c>
      <c r="AL17" s="85">
        <f>IF(AI17="X",4,IF(AG14=AG17,1,IF(AG15=AG17,2,3)))</f>
        <v>4</v>
      </c>
      <c r="AM17" s="54">
        <f>INDEX(O17:R17,1,AL17)</f>
        <v>0</v>
      </c>
      <c r="AN17" s="14">
        <f t="shared" si="14"/>
        <v>0</v>
      </c>
      <c r="AR17" s="53">
        <f>X17-INDEX(O17:R17,1,AQ13)</f>
        <v>3</v>
      </c>
      <c r="AS17" s="54">
        <f>AA17-(INDEX(H17:K17,1,AQ13)-INDEX(K14:K17,AQ13,1))</f>
        <v>-2</v>
      </c>
      <c r="AT17" s="54">
        <f t="shared" si="15"/>
        <v>0</v>
      </c>
      <c r="AU17" s="14">
        <f t="shared" si="16"/>
        <v>0</v>
      </c>
      <c r="AX17" s="17">
        <f t="shared" si="17"/>
        <v>39702</v>
      </c>
      <c r="AY17" s="54">
        <f>IF(INDEX(AX14:AX17,U17)&lt;=INDEX(AX14:AX17,U16),U17,U16)</f>
        <v>3</v>
      </c>
      <c r="AZ17" s="54">
        <f>IF(INDEX(AX14:AX17,AY17)&lt;=INDEX(AX14:AX17,AY15),AY17,AY15)</f>
        <v>3</v>
      </c>
      <c r="BA17" s="14">
        <f>IF(INDEX(AX14:AX17,AZ17)&lt;=INDEX(AX14:AX17,AZ14),AZ17,AZ14)</f>
        <v>3</v>
      </c>
      <c r="BB17" s="68">
        <f>MATCH(U17,BA14:BA17,0)</f>
        <v>3</v>
      </c>
      <c r="BC17" s="53">
        <f>COUNTIF(AX14:AX17,AX17)</f>
        <v>1</v>
      </c>
      <c r="BD17" s="14" t="str">
        <f t="shared" si="18"/>
        <v>X</v>
      </c>
      <c r="BE17" s="14">
        <f t="shared" si="19"/>
        <v>3</v>
      </c>
    </row>
    <row r="18" spans="1:58" ht="15" customHeight="1">
      <c r="A18" s="47" t="str">
        <f>Gruppenphase!E22</f>
        <v>Niederlande</v>
      </c>
      <c r="B18" s="43">
        <f>Gruppenphase!H22</f>
        <v>1</v>
      </c>
      <c r="C18" s="43">
        <f>Gruppenphase!J22</f>
        <v>0</v>
      </c>
      <c r="D18" s="137" t="str">
        <f>Gruppenphase!G22</f>
        <v xml:space="preserve">Chile </v>
      </c>
      <c r="W18" s="21" t="b">
        <f>SUM(W14:W17)=12</f>
        <v>1</v>
      </c>
      <c r="AD18" s="120" t="str">
        <f>BF18</f>
        <v>Eindeutige Platzierung</v>
      </c>
      <c r="AG18" s="103" t="s">
        <v>217</v>
      </c>
      <c r="AH18" s="17">
        <f>MOD(MIN(AH14:AH17)*MAX(AH14:AH17),11)</f>
        <v>1</v>
      </c>
      <c r="AI18" s="2" t="str">
        <f t="shared" si="13"/>
        <v>X</v>
      </c>
      <c r="BD18" s="17">
        <f>COUNTIF(BD14:BD17,"X")</f>
        <v>4</v>
      </c>
      <c r="BE18" s="21">
        <f>SUM(BE14:BE17)</f>
        <v>10</v>
      </c>
      <c r="BF18" s="116" t="str">
        <f>IF(W18,IF(BD18&gt;=3,"Eindeutige Platzierung",IF(AND(BD18=2,BE18=3),"zwei Teams auf Platz 3","Auswahl durch Losverfahren")),"")</f>
        <v>Eindeutige Platzierung</v>
      </c>
    </row>
    <row r="19" spans="1:58" s="56" customFormat="1" ht="15.75" customHeight="1" thickBot="1">
      <c r="A19" s="136"/>
      <c r="B19" s="152"/>
      <c r="C19" s="152"/>
      <c r="D19" s="59"/>
      <c r="E19" s="57"/>
      <c r="F19" s="58"/>
      <c r="G19" s="59"/>
      <c r="L19" s="57"/>
      <c r="M19" s="58"/>
      <c r="N19" s="59"/>
      <c r="S19" s="57"/>
      <c r="T19" s="58"/>
      <c r="U19" s="152"/>
      <c r="V19" s="59"/>
      <c r="AB19" s="57"/>
      <c r="AC19" s="58"/>
      <c r="AD19" s="152"/>
      <c r="AE19" s="58"/>
      <c r="AF19" s="94"/>
      <c r="AG19" s="94"/>
      <c r="AH19" s="94"/>
      <c r="AI19" s="94"/>
      <c r="AJ19" s="77"/>
      <c r="AK19" s="94"/>
      <c r="AL19" s="94"/>
      <c r="AO19" s="57"/>
      <c r="AQ19" s="152"/>
      <c r="AV19" s="57"/>
      <c r="BB19" s="152"/>
    </row>
    <row r="20" spans="1:58" s="60" customFormat="1" ht="15" customHeight="1" thickTop="1">
      <c r="A20" s="140" t="s">
        <v>210</v>
      </c>
      <c r="B20" s="153"/>
      <c r="C20" s="153"/>
      <c r="D20" s="63"/>
      <c r="E20" s="61"/>
      <c r="F20" s="62"/>
      <c r="G20" s="63"/>
      <c r="L20" s="61"/>
      <c r="M20" s="62"/>
      <c r="N20" s="63"/>
      <c r="S20" s="61"/>
      <c r="T20" s="62"/>
      <c r="U20" s="153"/>
      <c r="V20" s="63"/>
      <c r="AB20" s="61"/>
      <c r="AC20" s="62"/>
      <c r="AD20" s="151"/>
      <c r="AE20" s="34"/>
      <c r="AF20" s="69"/>
      <c r="AG20" s="69"/>
      <c r="AH20" s="69"/>
      <c r="AI20" s="69"/>
      <c r="AJ20" s="76"/>
      <c r="AK20" s="69"/>
      <c r="AL20" s="69"/>
      <c r="AO20" s="33"/>
      <c r="AQ20" s="153"/>
      <c r="AV20" s="61"/>
      <c r="BB20" s="153"/>
    </row>
    <row r="21" spans="1:58" ht="30.75" customHeight="1">
      <c r="A21" s="49" t="str">
        <f xml:space="preserve"> Gruppenphase!E26</f>
        <v>Kolumbien</v>
      </c>
      <c r="B21" s="149">
        <f>Gruppenphase!H26</f>
        <v>2</v>
      </c>
      <c r="C21" s="149">
        <f>Gruppenphase!J26</f>
        <v>0</v>
      </c>
      <c r="D21" s="51" t="str">
        <f>Gruppenphase!G26</f>
        <v>Greichenland</v>
      </c>
      <c r="G21" s="29">
        <v>0</v>
      </c>
      <c r="H21" s="27" t="str">
        <f>Text!C13</f>
        <v>COL</v>
      </c>
      <c r="I21" s="27" t="str">
        <f>Text!C14</f>
        <v>GRE</v>
      </c>
      <c r="J21" s="27" t="str">
        <f>Text!C15</f>
        <v>CIV</v>
      </c>
      <c r="K21" s="28" t="str">
        <f>Text!C16</f>
        <v>JPN</v>
      </c>
      <c r="N21" s="141">
        <v>0</v>
      </c>
      <c r="O21" s="112" t="str">
        <f>Text!C13</f>
        <v>COL</v>
      </c>
      <c r="P21" s="112" t="str">
        <f>Text!C14</f>
        <v>GRE</v>
      </c>
      <c r="Q21" s="112" t="str">
        <f>Text!C15</f>
        <v>CIV</v>
      </c>
      <c r="R21" s="113" t="str">
        <f>Text!C16</f>
        <v>JPN</v>
      </c>
      <c r="W21" s="35" t="s">
        <v>208</v>
      </c>
      <c r="X21" s="35" t="s">
        <v>207</v>
      </c>
      <c r="Y21" s="36" t="s">
        <v>204</v>
      </c>
      <c r="Z21" s="37" t="s">
        <v>206</v>
      </c>
      <c r="AA21" s="35" t="s">
        <v>205</v>
      </c>
      <c r="AQ21" s="35">
        <f>MATCH(1,AH22:AH25,0)</f>
        <v>1</v>
      </c>
    </row>
    <row r="22" spans="1:58" ht="15" customHeight="1">
      <c r="A22" s="46" t="str">
        <f xml:space="preserve"> Gruppenphase!E27</f>
        <v xml:space="preserve">Elfenbeinkueste </v>
      </c>
      <c r="B22" s="151">
        <f>Gruppenphase!H27</f>
        <v>1</v>
      </c>
      <c r="C22" s="151">
        <f>Gruppenphase!J27</f>
        <v>2</v>
      </c>
      <c r="D22" s="52" t="str">
        <f>Gruppenphase!G27</f>
        <v>Japan</v>
      </c>
      <c r="G22" s="29" t="str">
        <f>Text!C13</f>
        <v>COL</v>
      </c>
      <c r="H22" s="64"/>
      <c r="I22" s="149">
        <f>B21</f>
        <v>2</v>
      </c>
      <c r="J22" s="149">
        <f>B23</f>
        <v>3</v>
      </c>
      <c r="K22" s="38">
        <f>C25</f>
        <v>0</v>
      </c>
      <c r="N22" s="30" t="str">
        <f>Text!C13</f>
        <v>COL</v>
      </c>
      <c r="O22" s="55"/>
      <c r="P22" s="7">
        <f>IF(AND(ISNUMBER(I22),ISNUMBER(H23)),IF(I22&gt;H23,3,IF(I22=H23,1,0)),0)</f>
        <v>3</v>
      </c>
      <c r="Q22" s="7">
        <f>IF(AND(ISNUMBER(J22),ISNUMBER(H24)),IF(J22&gt;H24,3,IF(J22=H24,1,0)),0)</f>
        <v>3</v>
      </c>
      <c r="R22" s="13">
        <f>IF(AND(ISNUMBER(K22),ISNUMBER(H25)),IF(K22&gt;H25,3,IF(K22=H25,1,0)),0)</f>
        <v>0</v>
      </c>
      <c r="U22" s="150">
        <v>1</v>
      </c>
      <c r="V22" s="29" t="s">
        <v>40</v>
      </c>
      <c r="W22" s="2">
        <f>IF(COUNT(H22:H25)=COUNT(H22:K22),COUNT(H22:K22),"")</f>
        <v>3</v>
      </c>
      <c r="X22" s="15">
        <f>P22+Q22+R22</f>
        <v>6</v>
      </c>
      <c r="Y22" s="15">
        <f>I22+J22+K22</f>
        <v>5</v>
      </c>
      <c r="Z22" s="15">
        <f>H23+H24+H25</f>
        <v>2</v>
      </c>
      <c r="AA22" s="15">
        <f>Y22-Z22</f>
        <v>3</v>
      </c>
      <c r="AD22" s="110">
        <f>BB22</f>
        <v>1</v>
      </c>
      <c r="AG22" s="101">
        <f>X22*10000+AA22*100+Y22</f>
        <v>60305</v>
      </c>
      <c r="AH22" s="15">
        <f>COUNTIF(AG22:AG25,AG22)</f>
        <v>1</v>
      </c>
      <c r="AI22" s="12" t="str">
        <f>IF(AH22=1,"X","")</f>
        <v>X</v>
      </c>
      <c r="AL22" s="83">
        <f>IF(AI22="X",1,IF(AG23=AG22,2,IF(AG24=AG22,3,4)))</f>
        <v>1</v>
      </c>
      <c r="AM22" s="50">
        <f>INDEX(O22:R22,1,AL22)</f>
        <v>0</v>
      </c>
      <c r="AN22" s="12">
        <f>AM22/10</f>
        <v>0</v>
      </c>
      <c r="AR22" s="101">
        <f>X22-INDEX(O22:R22,1,AQ21)</f>
        <v>6</v>
      </c>
      <c r="AS22" s="50">
        <f>AA22-(INDEX(H22:K22,1,AQ21)-INDEX(H22:H25,AQ21,1))</f>
        <v>3</v>
      </c>
      <c r="AT22" s="50">
        <f>Y22:Y22-Y22</f>
        <v>0</v>
      </c>
      <c r="AU22" s="12">
        <f>IF(OR($AH$10&lt;&gt;3,AI22="x"),0,AR22/10+AS22/1000+AT22/100000)</f>
        <v>0</v>
      </c>
      <c r="AX22" s="15">
        <f>AG22+AN22+AU22</f>
        <v>60305</v>
      </c>
      <c r="AY22" s="50">
        <f>IF(INDEX(AX22:AX25,U22)&gt;=INDEX(AX22:AX25,U23),U22,U23)</f>
        <v>1</v>
      </c>
      <c r="AZ22" s="50">
        <f>IF(INDEX(AX22:AX25,AY22)&gt;=INDEX(AX22:AX25,AY24),AY22,AY24)</f>
        <v>1</v>
      </c>
      <c r="BA22" s="12">
        <f>IF(INDEX(AX22:AX25,AZ22)&gt;=INDEX(AX22:AX25,AZ25),AZ22,AZ25)</f>
        <v>1</v>
      </c>
      <c r="BB22" s="66">
        <f>MATCH(U22,BA22:BA25,0)</f>
        <v>1</v>
      </c>
      <c r="BC22" s="101">
        <f>COUNTIF(AX22:AX25,AX22)</f>
        <v>1</v>
      </c>
      <c r="BD22" s="12" t="str">
        <f>IF(BC22=1,"X","")</f>
        <v>X</v>
      </c>
      <c r="BE22" s="12">
        <f>(BD22="X")*BB22</f>
        <v>1</v>
      </c>
    </row>
    <row r="23" spans="1:58" ht="15" customHeight="1">
      <c r="A23" s="46" t="str">
        <f xml:space="preserve"> Gruppenphase!E28</f>
        <v>Kolumbien</v>
      </c>
      <c r="B23" s="151">
        <f>Gruppenphase!H28</f>
        <v>3</v>
      </c>
      <c r="C23" s="151">
        <f>Gruppenphase!J28</f>
        <v>0</v>
      </c>
      <c r="D23" s="52" t="str">
        <f>Gruppenphase!G28</f>
        <v xml:space="preserve">Elfenbeinkueste </v>
      </c>
      <c r="G23" s="30" t="str">
        <f>Text!C14</f>
        <v>GRE</v>
      </c>
      <c r="H23" s="151">
        <f>C21</f>
        <v>0</v>
      </c>
      <c r="I23" s="40"/>
      <c r="J23" s="151">
        <f>B26</f>
        <v>1</v>
      </c>
      <c r="K23" s="41">
        <f>C24</f>
        <v>1</v>
      </c>
      <c r="N23" s="30" t="str">
        <f>Text!C14</f>
        <v>GRE</v>
      </c>
      <c r="O23" s="7">
        <f>IF(AND(ISNUMBER(H23),ISNUMBER(I22)),IF(H23&gt;I22,3,IF(H23=I22,1,0)),0)</f>
        <v>0</v>
      </c>
      <c r="P23" s="55"/>
      <c r="Q23" s="7">
        <f>IF(AND(ISNUMBER(J23),ISNUMBER(I24)),IF(J23&gt;I24,3,IF(J23=I24,1,0)),0)</f>
        <v>1</v>
      </c>
      <c r="R23" s="13">
        <f>IF(AND(ISNUMBER(K23),ISNUMBER(I25)),IF(K23&gt;I25,3,IF(K23=I25,1,0)),0)</f>
        <v>3</v>
      </c>
      <c r="U23" s="150">
        <v>2</v>
      </c>
      <c r="V23" s="30" t="s">
        <v>244</v>
      </c>
      <c r="W23" s="2">
        <f>IF(COUNT(I22:I25)=COUNT(H23:K23),COUNT(H23:K23),"")</f>
        <v>3</v>
      </c>
      <c r="X23" s="16">
        <f>O23+Q23+R23</f>
        <v>4</v>
      </c>
      <c r="Y23" s="16">
        <f>H23+J23+K23</f>
        <v>2</v>
      </c>
      <c r="Z23" s="16">
        <f>I22+I24+I25</f>
        <v>3</v>
      </c>
      <c r="AA23" s="16">
        <f t="shared" ref="AA23:AA25" si="20">Y23-Z23</f>
        <v>-1</v>
      </c>
      <c r="AD23" s="111">
        <f t="shared" ref="AD23:AD25" si="21">BB23</f>
        <v>3</v>
      </c>
      <c r="AG23" s="102">
        <f t="shared" ref="AG23:AG25" si="22">X23*10000+AA23*100+Y23</f>
        <v>39902</v>
      </c>
      <c r="AH23" s="16">
        <f>COUNTIF(AG22:AG25,AG23)</f>
        <v>1</v>
      </c>
      <c r="AI23" s="13" t="str">
        <f t="shared" ref="AI23:AI25" si="23">IF(AH23=1,"X","")</f>
        <v>X</v>
      </c>
      <c r="AL23" s="84">
        <f>IF(AI23="X",2,IF(AG24=AG23,3,IF(AG25=AG23,4,1)))</f>
        <v>2</v>
      </c>
      <c r="AM23" s="7">
        <f>INDEX(O23:R23,1,AL23)</f>
        <v>0</v>
      </c>
      <c r="AN23" s="13">
        <f t="shared" ref="AN23:AN25" si="24">AM23/10</f>
        <v>0</v>
      </c>
      <c r="AR23" s="102">
        <f>X23-INDEX(O23:R23,1,AQ21)</f>
        <v>4</v>
      </c>
      <c r="AS23" s="7">
        <f>AA23-(INDEX(H23:K23,1,AQ21)-INDEX(I22:I25,AQ21,1))</f>
        <v>1</v>
      </c>
      <c r="AT23" s="7">
        <f t="shared" ref="AT23:AT25" si="25">Y23:Y23-Y23</f>
        <v>0</v>
      </c>
      <c r="AU23" s="13">
        <f t="shared" ref="AU23:AU25" si="26">IF(OR($AH$10&lt;&gt;3,AI23="x"),0,AR23/10+AS23/1000+AT23/100000)</f>
        <v>0</v>
      </c>
      <c r="AX23" s="16">
        <f t="shared" ref="AX23:AX25" si="27">AG23+AN23+AU23</f>
        <v>39902</v>
      </c>
      <c r="AY23" s="7">
        <f>IF(INDEX(AX22:AX25,U23)&lt;=INDEX(AX22:AX25,U22),U23,U22)</f>
        <v>2</v>
      </c>
      <c r="AZ23" s="7">
        <f>IF(INDEX(AX22:AX25,AY23)&gt;=INDEX(AX22:AX25,AY25),AY23,AY25)</f>
        <v>2</v>
      </c>
      <c r="BA23" s="13">
        <f>IF(INDEX(AX22:AX25,AZ23)&gt;=INDEX(AX22:AX25,AZ24),AZ23,AZ24)</f>
        <v>4</v>
      </c>
      <c r="BB23" s="67">
        <f>MATCH(U23,BA22:BA25,0)</f>
        <v>3</v>
      </c>
      <c r="BC23" s="102">
        <f>COUNTIF(AX22:AX25,AX23)</f>
        <v>1</v>
      </c>
      <c r="BD23" s="13" t="str">
        <f t="shared" ref="BD23:BD25" si="28">IF(BC23=1,"X","")</f>
        <v>X</v>
      </c>
      <c r="BE23" s="13">
        <f t="shared" ref="BE23:BE25" si="29">(BD23="X")*BB23</f>
        <v>3</v>
      </c>
    </row>
    <row r="24" spans="1:58" ht="15" customHeight="1">
      <c r="A24" s="46" t="str">
        <f xml:space="preserve"> Gruppenphase!E29</f>
        <v>Japan</v>
      </c>
      <c r="B24" s="151">
        <f>Gruppenphase!H29</f>
        <v>0</v>
      </c>
      <c r="C24" s="151">
        <f>Gruppenphase!J29</f>
        <v>1</v>
      </c>
      <c r="D24" s="52" t="str">
        <f>Gruppenphase!G29</f>
        <v>Greichenland</v>
      </c>
      <c r="G24" s="30" t="str">
        <f>Text!C15</f>
        <v>CIV</v>
      </c>
      <c r="H24" s="151">
        <f>C23</f>
        <v>0</v>
      </c>
      <c r="I24" s="151">
        <f>C26</f>
        <v>1</v>
      </c>
      <c r="J24" s="40"/>
      <c r="K24" s="41">
        <f>B22</f>
        <v>1</v>
      </c>
      <c r="N24" s="30" t="str">
        <f>Text!C15</f>
        <v>CIV</v>
      </c>
      <c r="O24" s="7">
        <f>IF(AND(ISNUMBER(H24),ISNUMBER(J22)),IF(H24&gt;J22,3,IF(H24=J22,1,0)),0)</f>
        <v>0</v>
      </c>
      <c r="P24" s="7">
        <f>IF(AND(ISNUMBER(I24),ISNUMBER(J23)),IF(I24&gt;J23,3,IF(I24=J23,1,0)),0)</f>
        <v>1</v>
      </c>
      <c r="Q24" s="55"/>
      <c r="R24" s="13">
        <f>IF(AND(ISNUMBER(K24),ISNUMBER(J25)),IF(K24&gt;J25,3,IF(K24=J25,1,0)),0)</f>
        <v>0</v>
      </c>
      <c r="U24" s="150">
        <v>3</v>
      </c>
      <c r="V24" s="16" t="s">
        <v>126</v>
      </c>
      <c r="W24" s="13">
        <f>IF(COUNT(J22:J25)=COUNT(H24:K24),COUNT(H24:K24),"")</f>
        <v>3</v>
      </c>
      <c r="X24" s="16">
        <f>O24+P24+R24</f>
        <v>1</v>
      </c>
      <c r="Y24" s="16">
        <f>H24+I24+K24</f>
        <v>2</v>
      </c>
      <c r="Z24" s="16">
        <f>J22+J23+J25</f>
        <v>6</v>
      </c>
      <c r="AA24" s="16">
        <f t="shared" si="20"/>
        <v>-4</v>
      </c>
      <c r="AD24" s="111">
        <f t="shared" si="21"/>
        <v>4</v>
      </c>
      <c r="AG24" s="102">
        <f t="shared" si="22"/>
        <v>9602</v>
      </c>
      <c r="AH24" s="16">
        <f>COUNTIF(AG22:AG25,AG24)</f>
        <v>1</v>
      </c>
      <c r="AI24" s="13" t="str">
        <f t="shared" si="23"/>
        <v>X</v>
      </c>
      <c r="AL24" s="84">
        <f>IF(AI24="X",3,IF(AG25=AG24,4,IF(AG26=AG24,1,2)))</f>
        <v>3</v>
      </c>
      <c r="AM24" s="7">
        <f>INDEX(O24:R24,1,AL24)</f>
        <v>0</v>
      </c>
      <c r="AN24" s="13">
        <f t="shared" si="24"/>
        <v>0</v>
      </c>
      <c r="AR24" s="102">
        <f>X24-INDEX(O24:R24,1,AQ21)</f>
        <v>1</v>
      </c>
      <c r="AS24" s="7">
        <f>AA24-(INDEX(H24:K24,1,AQ21)-INDEX(J23:J26,AQ21,1))</f>
        <v>-3</v>
      </c>
      <c r="AT24" s="7">
        <f t="shared" si="25"/>
        <v>0</v>
      </c>
      <c r="AU24" s="13">
        <f t="shared" si="26"/>
        <v>0</v>
      </c>
      <c r="AX24" s="16">
        <f t="shared" si="27"/>
        <v>9602</v>
      </c>
      <c r="AY24" s="7">
        <f>IF(INDEX(AX22:AX25,U24)&gt;=INDEX(AX22:AX25,U25),U24,U25)</f>
        <v>4</v>
      </c>
      <c r="AZ24" s="7">
        <f>IF(INDEX(AX22:AX25,AY24)&lt;=INDEX(AX22:AX25,AY22),AY24,AY22)</f>
        <v>4</v>
      </c>
      <c r="BA24" s="13">
        <f>IF(INDEX(AX22:AX25,AZ24)&lt;=INDEX(AX22:AX25,AZ23),AZ24,AZ23)</f>
        <v>2</v>
      </c>
      <c r="BB24" s="67">
        <f>MATCH(U24,BA22:BA25,0)</f>
        <v>4</v>
      </c>
      <c r="BC24" s="102">
        <f>COUNTIF(AX22:AX25,AX24)</f>
        <v>1</v>
      </c>
      <c r="BD24" s="13" t="str">
        <f t="shared" si="28"/>
        <v>X</v>
      </c>
      <c r="BE24" s="13">
        <f t="shared" si="29"/>
        <v>4</v>
      </c>
    </row>
    <row r="25" spans="1:58" ht="15" customHeight="1">
      <c r="A25" s="46" t="str">
        <f xml:space="preserve"> Gruppenphase!E30</f>
        <v>Japan</v>
      </c>
      <c r="B25" s="151">
        <f>Gruppenphase!H30</f>
        <v>2</v>
      </c>
      <c r="C25" s="151">
        <f>Gruppenphase!J30</f>
        <v>0</v>
      </c>
      <c r="D25" s="52" t="str">
        <f>Gruppenphase!G30</f>
        <v>Kolumbien</v>
      </c>
      <c r="G25" s="31" t="str">
        <f>Text!C16</f>
        <v>JPN</v>
      </c>
      <c r="H25" s="43">
        <f>B25</f>
        <v>2</v>
      </c>
      <c r="I25" s="43">
        <f>B24</f>
        <v>0</v>
      </c>
      <c r="J25" s="43">
        <f>C22</f>
        <v>2</v>
      </c>
      <c r="K25" s="44"/>
      <c r="N25" s="31" t="str">
        <f>Text!C16</f>
        <v>JPN</v>
      </c>
      <c r="O25" s="54">
        <f>IF(AND(ISNUMBER(H25),ISNUMBER(J23)),IF(H25&gt;J23,3,IF(H25=J23,1,0)),0)</f>
        <v>3</v>
      </c>
      <c r="P25" s="54">
        <f>IF(AND(ISNUMBER(I25),ISNUMBER(K23)),IF(I25&gt;K23,3,IF(I25=K23,1,0)),0)</f>
        <v>0</v>
      </c>
      <c r="Q25" s="54">
        <f>IF(AND(ISNUMBER(J25),ISNUMBER(K24)),IF(J25&gt;K24,3,IF(J25=K24,1,0)),0)</f>
        <v>3</v>
      </c>
      <c r="R25" s="32"/>
      <c r="U25" s="150">
        <v>4</v>
      </c>
      <c r="V25" s="17" t="s">
        <v>42</v>
      </c>
      <c r="W25" s="14">
        <f>IF(COUNT(K22:K25)=COUNT(H25:K25),COUNT(H25:K25),"")</f>
        <v>3</v>
      </c>
      <c r="X25" s="17">
        <f>O25+P25+Q25</f>
        <v>6</v>
      </c>
      <c r="Y25" s="17">
        <f>H25+I25+J25</f>
        <v>4</v>
      </c>
      <c r="Z25" s="17">
        <f>K22+K23+K24</f>
        <v>2</v>
      </c>
      <c r="AA25" s="17">
        <f t="shared" si="20"/>
        <v>2</v>
      </c>
      <c r="AD25" s="111">
        <f t="shared" si="21"/>
        <v>2</v>
      </c>
      <c r="AG25" s="53">
        <f t="shared" si="22"/>
        <v>60204</v>
      </c>
      <c r="AH25" s="17">
        <f>COUNTIF(AG22:AG25,AG25)</f>
        <v>1</v>
      </c>
      <c r="AI25" s="14" t="str">
        <f t="shared" si="23"/>
        <v>X</v>
      </c>
      <c r="AL25" s="85">
        <f>IF(AI25="X",4,IF(AG22=AG25,1,IF(AG23=AG25,2,3)))</f>
        <v>4</v>
      </c>
      <c r="AM25" s="54">
        <f>INDEX(O25:R25,1,AL25)</f>
        <v>0</v>
      </c>
      <c r="AN25" s="14">
        <f t="shared" si="24"/>
        <v>0</v>
      </c>
      <c r="AR25" s="53">
        <f>X25-INDEX(O25:R25,1,AQ21)</f>
        <v>3</v>
      </c>
      <c r="AS25" s="54">
        <f>AA25-(INDEX(H25:K25,1,AQ21)-INDEX(K22:K25,AQ21,1))</f>
        <v>0</v>
      </c>
      <c r="AT25" s="54">
        <f t="shared" si="25"/>
        <v>0</v>
      </c>
      <c r="AU25" s="14">
        <f t="shared" si="26"/>
        <v>0</v>
      </c>
      <c r="AX25" s="17">
        <f t="shared" si="27"/>
        <v>60204</v>
      </c>
      <c r="AY25" s="54">
        <f>IF(INDEX(AX22:AX25,U25)&lt;=INDEX(AX22:AX25,U24),U25,U24)</f>
        <v>3</v>
      </c>
      <c r="AZ25" s="54">
        <f>IF(INDEX(AX22:AX25,AY25)&lt;=INDEX(AX22:AX25,AY23),AY25,AY23)</f>
        <v>3</v>
      </c>
      <c r="BA25" s="14">
        <f>IF(INDEX(AX22:AX25,AZ25)&lt;=INDEX(AX22:AX25,AZ22),AZ25,AZ22)</f>
        <v>3</v>
      </c>
      <c r="BB25" s="68">
        <f>MATCH(U25,BA22:BA25,0)</f>
        <v>2</v>
      </c>
      <c r="BC25" s="53">
        <f>COUNTIF(AX22:AX25,AX25)</f>
        <v>1</v>
      </c>
      <c r="BD25" s="14" t="str">
        <f t="shared" si="28"/>
        <v>X</v>
      </c>
      <c r="BE25" s="14">
        <f t="shared" si="29"/>
        <v>2</v>
      </c>
    </row>
    <row r="26" spans="1:58" ht="15" customHeight="1">
      <c r="A26" s="47" t="str">
        <f xml:space="preserve"> Gruppenphase!E31</f>
        <v>Greichenland</v>
      </c>
      <c r="B26" s="43">
        <f>Gruppenphase!H31</f>
        <v>1</v>
      </c>
      <c r="C26" s="43">
        <f>Gruppenphase!J31</f>
        <v>1</v>
      </c>
      <c r="D26" s="137" t="str">
        <f>Gruppenphase!G31</f>
        <v xml:space="preserve">Elfenbeinkueste </v>
      </c>
      <c r="W26" s="21" t="b">
        <f>SUM(W22:W25)=12</f>
        <v>1</v>
      </c>
      <c r="AD26" s="120" t="str">
        <f>BF26</f>
        <v>Eindeutige Platzierung</v>
      </c>
      <c r="AG26" s="103" t="s">
        <v>217</v>
      </c>
      <c r="AH26" s="17">
        <f>MOD(MIN(AH22:AH25)*MAX(AH22:AH25),11)</f>
        <v>1</v>
      </c>
      <c r="AI26" s="2"/>
      <c r="BD26" s="17">
        <f>COUNTIF(BD22:BD25,"X")</f>
        <v>4</v>
      </c>
      <c r="BE26" s="21">
        <f>SUM(BE22:BE25)</f>
        <v>10</v>
      </c>
      <c r="BF26" s="116" t="str">
        <f>IF(W26,IF(BD26&gt;=3,"Eindeutige Platzierung",IF(AND(BD26=2,BE26=3),"zwei Teams auf Platz 3","Auswahl durch Losverfahren")),"")</f>
        <v>Eindeutige Platzierung</v>
      </c>
    </row>
    <row r="27" spans="1:58" s="56" customFormat="1" ht="15" customHeight="1" thickBot="1">
      <c r="A27" s="136"/>
      <c r="B27" s="152"/>
      <c r="C27" s="152"/>
      <c r="D27" s="59"/>
      <c r="E27" s="57"/>
      <c r="F27" s="58"/>
      <c r="G27" s="59"/>
      <c r="L27" s="57"/>
      <c r="M27" s="58"/>
      <c r="N27" s="59"/>
      <c r="S27" s="57"/>
      <c r="T27" s="58"/>
      <c r="U27" s="152"/>
      <c r="V27" s="59"/>
      <c r="AB27" s="57"/>
      <c r="AC27" s="58"/>
      <c r="AD27" s="152"/>
      <c r="AE27" s="58"/>
      <c r="AF27" s="94"/>
      <c r="AG27" s="94"/>
      <c r="AH27" s="94"/>
      <c r="AI27" s="94"/>
      <c r="AJ27" s="77"/>
      <c r="AK27" s="94"/>
      <c r="AL27" s="94"/>
      <c r="AO27" s="57"/>
      <c r="AQ27" s="152"/>
      <c r="AV27" s="57"/>
      <c r="BB27" s="152"/>
    </row>
    <row r="28" spans="1:58" ht="15.75" thickTop="1">
      <c r="A28" s="140" t="s">
        <v>233</v>
      </c>
      <c r="B28" s="153"/>
      <c r="C28" s="153"/>
      <c r="D28" s="63"/>
      <c r="AC28" s="62"/>
      <c r="AD28" s="151"/>
      <c r="AM28" s="60"/>
      <c r="AN28" s="60"/>
      <c r="AP28" s="60"/>
      <c r="AQ28" s="153"/>
      <c r="AR28" s="60"/>
      <c r="AS28" s="60"/>
      <c r="AT28" s="60"/>
      <c r="AU28" s="60"/>
      <c r="AV28" s="61"/>
      <c r="AW28" s="60"/>
      <c r="AX28" s="60"/>
      <c r="AY28" s="60"/>
      <c r="AZ28" s="60"/>
      <c r="BA28" s="60"/>
      <c r="BB28" s="153"/>
      <c r="BC28" s="60"/>
      <c r="BD28" s="60"/>
      <c r="BE28" s="60"/>
      <c r="BF28" s="60"/>
    </row>
    <row r="29" spans="1:58" ht="28.5">
      <c r="A29" s="49" t="str">
        <f>Gruppenphase!E35</f>
        <v>Uruguay</v>
      </c>
      <c r="B29" s="149">
        <f>Gruppenphase!H34</f>
        <v>0</v>
      </c>
      <c r="C29" s="149">
        <f>Gruppenphase!J34</f>
        <v>0</v>
      </c>
      <c r="D29" s="51" t="str">
        <f>Gruppenphase!G35</f>
        <v>Costa Rica</v>
      </c>
      <c r="G29" s="29">
        <v>0</v>
      </c>
      <c r="H29" s="27" t="str">
        <f>Text!C18</f>
        <v>URU</v>
      </c>
      <c r="I29" s="27" t="str">
        <f>Text!C19</f>
        <v>CAC</v>
      </c>
      <c r="J29" s="27" t="str">
        <f>Text!C20</f>
        <v>ENG</v>
      </c>
      <c r="K29" s="28" t="str">
        <f>Text!C21</f>
        <v>ITA</v>
      </c>
      <c r="N29" s="141">
        <v>0</v>
      </c>
      <c r="O29" s="112" t="str">
        <f>Text!C18</f>
        <v>URU</v>
      </c>
      <c r="P29" s="112" t="str">
        <f>Text!C19</f>
        <v>CAC</v>
      </c>
      <c r="Q29" s="112" t="str">
        <f>Text!C20</f>
        <v>ENG</v>
      </c>
      <c r="R29" s="113" t="str">
        <f>Text!C21</f>
        <v>ITA</v>
      </c>
      <c r="W29" s="35" t="s">
        <v>208</v>
      </c>
      <c r="X29" s="35" t="s">
        <v>207</v>
      </c>
      <c r="Y29" s="36" t="s">
        <v>204</v>
      </c>
      <c r="Z29" s="37" t="s">
        <v>206</v>
      </c>
      <c r="AA29" s="35" t="s">
        <v>205</v>
      </c>
      <c r="AQ29" s="35">
        <f>MATCH(1,AH30:AH33,0)</f>
        <v>1</v>
      </c>
    </row>
    <row r="30" spans="1:58" ht="15">
      <c r="A30" s="46" t="str">
        <f>Gruppenphase!E36</f>
        <v xml:space="preserve">England </v>
      </c>
      <c r="B30" s="151">
        <f>Gruppenphase!H35</f>
        <v>1</v>
      </c>
      <c r="C30" s="151">
        <f>Gruppenphase!J35</f>
        <v>0</v>
      </c>
      <c r="D30" s="52" t="str">
        <f>Gruppenphase!G36</f>
        <v>Italien</v>
      </c>
      <c r="G30" s="29" t="str">
        <f>Text!C18</f>
        <v>URU</v>
      </c>
      <c r="H30" s="64"/>
      <c r="I30" s="149">
        <f>B29</f>
        <v>0</v>
      </c>
      <c r="J30" s="149">
        <f>B31</f>
        <v>0</v>
      </c>
      <c r="K30" s="38">
        <f>C33</f>
        <v>1</v>
      </c>
      <c r="N30" s="30" t="str">
        <f>Text!C18</f>
        <v>URU</v>
      </c>
      <c r="O30" s="55"/>
      <c r="P30" s="7">
        <f>IF(AND(ISNUMBER(I30),ISNUMBER(H31)),IF(I30&gt;H31,3,IF(I30=H31,1,0)),0)</f>
        <v>1</v>
      </c>
      <c r="Q30" s="7">
        <f>IF(AND(ISNUMBER(J30),ISNUMBER(H32)),IF(J30&gt;H32,3,IF(J30=H32,1,0)),0)</f>
        <v>0</v>
      </c>
      <c r="R30" s="13">
        <f>IF(AND(ISNUMBER(K30),ISNUMBER(H33)),IF(K30&gt;H33,3,IF(K30=H33,1,0)),0)</f>
        <v>0</v>
      </c>
      <c r="U30" s="150">
        <v>1</v>
      </c>
      <c r="V30" s="29" t="s">
        <v>43</v>
      </c>
      <c r="W30" s="2">
        <f>IF(COUNT(H30:H33)=COUNT(H30:K30),COUNT(H30:K30),"")</f>
        <v>3</v>
      </c>
      <c r="X30" s="15">
        <f>P30+Q30+R30</f>
        <v>1</v>
      </c>
      <c r="Y30" s="15">
        <f>I30+J30+K30</f>
        <v>1</v>
      </c>
      <c r="Z30" s="15">
        <f>H31+H32+H33</f>
        <v>4</v>
      </c>
      <c r="AA30" s="15">
        <f>Y30-Z30</f>
        <v>-3</v>
      </c>
      <c r="AD30" s="110">
        <f>BB30</f>
        <v>4</v>
      </c>
      <c r="AG30" s="101">
        <f>X30*10000+AA30*100+Y30</f>
        <v>9701</v>
      </c>
      <c r="AH30" s="15">
        <f>COUNTIF(AG30:AG33,AG30)</f>
        <v>1</v>
      </c>
      <c r="AI30" s="12" t="str">
        <f>IF(AH30=1,"X","")</f>
        <v>X</v>
      </c>
      <c r="AL30" s="83">
        <f>IF(AI30="X",1,IF(AG31=AG30,2,IF(AG32=AG30,3,4)))</f>
        <v>1</v>
      </c>
      <c r="AM30" s="50">
        <f>INDEX(O30:R30,1,AL30)</f>
        <v>0</v>
      </c>
      <c r="AN30" s="12">
        <f>AM30/10</f>
        <v>0</v>
      </c>
      <c r="AR30" s="101">
        <f>X30-INDEX(O30:R30,1,AQ29)</f>
        <v>1</v>
      </c>
      <c r="AS30" s="50">
        <f>AA30-(INDEX(H30:K30,1,AQ29)-INDEX(H30:H33,AQ29,1))</f>
        <v>-3</v>
      </c>
      <c r="AT30" s="50">
        <f>Y30:Y30-Y30</f>
        <v>0</v>
      </c>
      <c r="AU30" s="12">
        <f>IF(OR($AH$10&lt;&gt;3,AI30="x"),0,AR30/10+AS30/1000+AT30/100000)</f>
        <v>0</v>
      </c>
      <c r="AX30" s="15">
        <f>AG30+AN30+AU30</f>
        <v>9701</v>
      </c>
      <c r="AY30" s="50">
        <f>IF(INDEX(AX30:AX33,U30)&gt;=INDEX(AX30:AX33,U31),U30,U31)</f>
        <v>2</v>
      </c>
      <c r="AZ30" s="50">
        <f>IF(INDEX(AX30:AX33,AY30)&gt;=INDEX(AX30:AX33,AY32),AY30,AY32)</f>
        <v>4</v>
      </c>
      <c r="BA30" s="12">
        <f>IF(INDEX(AX30:AX33,AZ30)&gt;=INDEX(AX30:AX33,AZ33),AZ30,AZ33)</f>
        <v>4</v>
      </c>
      <c r="BB30" s="66">
        <f>MATCH(U30,BA30:BA33,0)</f>
        <v>4</v>
      </c>
      <c r="BC30" s="101">
        <f>COUNTIF(AX30:AX33,AX30)</f>
        <v>1</v>
      </c>
      <c r="BD30" s="12" t="str">
        <f>IF(BC30=1,"X","")</f>
        <v>X</v>
      </c>
      <c r="BE30" s="12">
        <f>(BD30="X")*BB30</f>
        <v>4</v>
      </c>
    </row>
    <row r="31" spans="1:58" ht="15">
      <c r="A31" s="46" t="str">
        <f>Gruppenphase!E37</f>
        <v>Uruguay</v>
      </c>
      <c r="B31" s="151">
        <f>Gruppenphase!H36</f>
        <v>0</v>
      </c>
      <c r="C31" s="151">
        <f>Gruppenphase!J36</f>
        <v>1</v>
      </c>
      <c r="D31" s="52" t="str">
        <f>Gruppenphase!G37</f>
        <v xml:space="preserve">England </v>
      </c>
      <c r="G31" s="30" t="str">
        <f>Text!C19</f>
        <v>CAC</v>
      </c>
      <c r="H31" s="151">
        <f>C29</f>
        <v>0</v>
      </c>
      <c r="I31" s="40"/>
      <c r="J31" s="151">
        <f>B34</f>
        <v>2</v>
      </c>
      <c r="K31" s="41">
        <f>C32</f>
        <v>1</v>
      </c>
      <c r="N31" s="30" t="str">
        <f>Text!C19</f>
        <v>CAC</v>
      </c>
      <c r="O31" s="7">
        <f>IF(AND(ISNUMBER(H31),ISNUMBER(I30)),IF(H31&gt;I30,3,IF(H31=I30,1,0)),0)</f>
        <v>1</v>
      </c>
      <c r="P31" s="55"/>
      <c r="Q31" s="7">
        <f>IF(AND(ISNUMBER(J31),ISNUMBER(I32)),IF(J31&gt;I32,3,IF(J31=I32,1,0)),0)</f>
        <v>3</v>
      </c>
      <c r="R31" s="13">
        <f>IF(AND(ISNUMBER(K31),ISNUMBER(I33)),IF(K31&gt;I33,3,IF(K31=I33,1,0)),0)</f>
        <v>0</v>
      </c>
      <c r="U31" s="150">
        <v>2</v>
      </c>
      <c r="V31" s="30" t="s">
        <v>128</v>
      </c>
      <c r="W31" s="2">
        <f>IF(COUNT(I30:I33)=COUNT(H31:K31),COUNT(H31:K31),"")</f>
        <v>3</v>
      </c>
      <c r="X31" s="16">
        <f>O31+Q31+R31</f>
        <v>4</v>
      </c>
      <c r="Y31" s="16">
        <f>H31+J31+K31</f>
        <v>3</v>
      </c>
      <c r="Z31" s="16">
        <f>I30+I32+I33</f>
        <v>4</v>
      </c>
      <c r="AA31" s="16">
        <f t="shared" ref="AA31:AA33" si="30">Y31-Z31</f>
        <v>-1</v>
      </c>
      <c r="AD31" s="111">
        <f t="shared" ref="AD31:AD33" si="31">BB31</f>
        <v>3</v>
      </c>
      <c r="AG31" s="102">
        <f t="shared" ref="AG31:AG33" si="32">X31*10000+AA31*100+Y31</f>
        <v>39903</v>
      </c>
      <c r="AH31" s="16">
        <f>COUNTIF(AG30:AG33,AG31)</f>
        <v>1</v>
      </c>
      <c r="AI31" s="13" t="str">
        <f t="shared" ref="AI31:AI33" si="33">IF(AH31=1,"X","")</f>
        <v>X</v>
      </c>
      <c r="AL31" s="84">
        <f>IF(AI31="X",2,IF(AG32=AG31,3,IF(AG33=AG31,4,1)))</f>
        <v>2</v>
      </c>
      <c r="AM31" s="7">
        <f>INDEX(O31:R31,1,AL31)</f>
        <v>0</v>
      </c>
      <c r="AN31" s="13">
        <f t="shared" ref="AN31:AN33" si="34">AM31/10</f>
        <v>0</v>
      </c>
      <c r="AR31" s="102">
        <f>X31-INDEX(O31:R31,1,AQ29)</f>
        <v>3</v>
      </c>
      <c r="AS31" s="7">
        <f>AA31-(INDEX(H31:K31,1,AQ29)-INDEX(I30:I33,AQ29,1))</f>
        <v>-1</v>
      </c>
      <c r="AT31" s="7">
        <f t="shared" ref="AT31:AT33" si="35">Y31:Y31-Y31</f>
        <v>0</v>
      </c>
      <c r="AU31" s="13">
        <f t="shared" ref="AU31:AU33" si="36">IF(OR($AH$10&lt;&gt;3,AI31="x"),0,AR31/10+AS31/1000+AT31/100000)</f>
        <v>0</v>
      </c>
      <c r="AX31" s="16">
        <f t="shared" ref="AX31:AX33" si="37">AG31+AN31+AU31</f>
        <v>39903</v>
      </c>
      <c r="AY31" s="7">
        <f>IF(INDEX(AX30:AX33,U31)&lt;=INDEX(AX30:AX33,U30),U31,U30)</f>
        <v>1</v>
      </c>
      <c r="AZ31" s="7">
        <f>IF(INDEX(AX30:AX33,AY31)&gt;=INDEX(AX30:AX33,AY33),AY31,AY33)</f>
        <v>3</v>
      </c>
      <c r="BA31" s="13">
        <f>IF(INDEX(AX30:AX33,AZ31)&gt;=INDEX(AX30:AX33,AZ32),AZ31,AZ32)</f>
        <v>3</v>
      </c>
      <c r="BB31" s="67">
        <f>MATCH(U31,BA30:BA33,0)</f>
        <v>3</v>
      </c>
      <c r="BC31" s="102">
        <f>COUNTIF(AX30:AX33,AX31)</f>
        <v>1</v>
      </c>
      <c r="BD31" s="13" t="str">
        <f t="shared" ref="BD31:BD33" si="38">IF(BC31=1,"X","")</f>
        <v>X</v>
      </c>
      <c r="BE31" s="13">
        <f t="shared" ref="BE31:BE33" si="39">(BD31="X")*BB31</f>
        <v>3</v>
      </c>
    </row>
    <row r="32" spans="1:58" ht="15">
      <c r="A32" s="46" t="str">
        <f>Gruppenphase!E38</f>
        <v>Italien</v>
      </c>
      <c r="B32" s="151">
        <f>Gruppenphase!H37</f>
        <v>3</v>
      </c>
      <c r="C32" s="151">
        <f>Gruppenphase!J37</f>
        <v>1</v>
      </c>
      <c r="D32" s="52" t="str">
        <f>Gruppenphase!G38</f>
        <v>Costa Rica</v>
      </c>
      <c r="G32" s="30" t="str">
        <f>Text!C20</f>
        <v>ENG</v>
      </c>
      <c r="H32" s="151">
        <f>C31</f>
        <v>1</v>
      </c>
      <c r="I32" s="151">
        <f>C34</f>
        <v>1</v>
      </c>
      <c r="J32" s="40"/>
      <c r="K32" s="41">
        <f>B30</f>
        <v>1</v>
      </c>
      <c r="N32" s="30" t="str">
        <f>Text!C20</f>
        <v>ENG</v>
      </c>
      <c r="O32" s="7">
        <f>IF(AND(ISNUMBER(H32),ISNUMBER(J30)),IF(H32&gt;J30,3,IF(H32=J30,1,0)),0)</f>
        <v>3</v>
      </c>
      <c r="P32" s="7">
        <f>IF(AND(ISNUMBER(I32),ISNUMBER(J31)),IF(I32&gt;J31,3,IF(I32=J31,1,0)),0)</f>
        <v>0</v>
      </c>
      <c r="Q32" s="55"/>
      <c r="R32" s="13">
        <f>IF(AND(ISNUMBER(K32),ISNUMBER(J33)),IF(K32&gt;J33,3,IF(K32=J33,1,0)),0)</f>
        <v>3</v>
      </c>
      <c r="U32" s="150">
        <v>3</v>
      </c>
      <c r="V32" s="16" t="s">
        <v>44</v>
      </c>
      <c r="W32" s="13">
        <f>IF(COUNT(J30:J33)=COUNT(H32:K32),COUNT(H32:K32),"")</f>
        <v>3</v>
      </c>
      <c r="X32" s="16">
        <f>O32+P32+R32</f>
        <v>6</v>
      </c>
      <c r="Y32" s="16">
        <f>H32+I32+K32</f>
        <v>3</v>
      </c>
      <c r="Z32" s="16">
        <f>J30+J31+J33</f>
        <v>2</v>
      </c>
      <c r="AA32" s="16">
        <f t="shared" si="30"/>
        <v>1</v>
      </c>
      <c r="AD32" s="111">
        <f t="shared" si="31"/>
        <v>2</v>
      </c>
      <c r="AG32" s="102">
        <f t="shared" si="32"/>
        <v>60103</v>
      </c>
      <c r="AH32" s="16">
        <f>COUNTIF(AG30:AG33,AG32)</f>
        <v>1</v>
      </c>
      <c r="AI32" s="13" t="str">
        <f t="shared" si="33"/>
        <v>X</v>
      </c>
      <c r="AL32" s="84">
        <f>IF(AI32="X",3,IF(AG33=AG32,4,IF(AG34=AG32,1,2)))</f>
        <v>3</v>
      </c>
      <c r="AM32" s="7">
        <f>INDEX(O32:R32,1,AL32)</f>
        <v>0</v>
      </c>
      <c r="AN32" s="13">
        <f t="shared" si="34"/>
        <v>0</v>
      </c>
      <c r="AR32" s="102">
        <f>X32-INDEX(O32:R32,1,AQ29)</f>
        <v>3</v>
      </c>
      <c r="AS32" s="7">
        <f>AA32-(INDEX(H32:K32,1,AQ29)-INDEX(J31:J34,AQ29,1))</f>
        <v>2</v>
      </c>
      <c r="AT32" s="7">
        <f t="shared" si="35"/>
        <v>0</v>
      </c>
      <c r="AU32" s="13">
        <f t="shared" si="36"/>
        <v>0</v>
      </c>
      <c r="AX32" s="16">
        <f t="shared" si="37"/>
        <v>60103</v>
      </c>
      <c r="AY32" s="7">
        <f>IF(INDEX(AX30:AX33,U32)&gt;=INDEX(AX30:AX33,U33),U32,U33)</f>
        <v>4</v>
      </c>
      <c r="AZ32" s="7">
        <f>IF(INDEX(AX30:AX33,AY32)&lt;=INDEX(AX30:AX33,AY30),AY32,AY30)</f>
        <v>2</v>
      </c>
      <c r="BA32" s="13">
        <f>IF(INDEX(AX30:AX33,AZ32)&lt;=INDEX(AX30:AX33,AZ31),AZ32,AZ31)</f>
        <v>2</v>
      </c>
      <c r="BB32" s="67">
        <f>MATCH(U32,BA30:BA33,0)</f>
        <v>2</v>
      </c>
      <c r="BC32" s="102">
        <f>COUNTIF(AX30:AX33,AX32)</f>
        <v>1</v>
      </c>
      <c r="BD32" s="13" t="str">
        <f t="shared" si="38"/>
        <v>X</v>
      </c>
      <c r="BE32" s="13">
        <f t="shared" si="39"/>
        <v>2</v>
      </c>
    </row>
    <row r="33" spans="1:58" ht="15">
      <c r="A33" s="46" t="str">
        <f>Gruppenphase!E39</f>
        <v>Italien</v>
      </c>
      <c r="B33" s="151">
        <f>Gruppenphase!H38</f>
        <v>3</v>
      </c>
      <c r="C33" s="151">
        <f>Gruppenphase!J38</f>
        <v>1</v>
      </c>
      <c r="D33" s="52" t="str">
        <f>Gruppenphase!G39</f>
        <v>Uruguay</v>
      </c>
      <c r="G33" s="31" t="str">
        <f>Text!C21</f>
        <v>ITA</v>
      </c>
      <c r="H33" s="43">
        <f>B33</f>
        <v>3</v>
      </c>
      <c r="I33" s="43">
        <f>B32</f>
        <v>3</v>
      </c>
      <c r="J33" s="43">
        <f>C30</f>
        <v>0</v>
      </c>
      <c r="K33" s="44"/>
      <c r="N33" s="31" t="str">
        <f>Text!C21</f>
        <v>ITA</v>
      </c>
      <c r="O33" s="54">
        <f>IF(AND(ISNUMBER(H33),ISNUMBER(J31)),IF(H33&gt;J31,3,IF(H33=J31,1,0)),0)</f>
        <v>3</v>
      </c>
      <c r="P33" s="54">
        <f>IF(AND(ISNUMBER(I33),ISNUMBER(K31)),IF(I33&gt;K31,3,IF(I33=K31,1,0)),0)</f>
        <v>3</v>
      </c>
      <c r="Q33" s="54">
        <f>IF(AND(ISNUMBER(J33),ISNUMBER(K32)),IF(J33&gt;K32,3,IF(J33=K32,1,0)),0)</f>
        <v>0</v>
      </c>
      <c r="R33" s="32"/>
      <c r="U33" s="150">
        <v>4</v>
      </c>
      <c r="V33" s="17" t="s">
        <v>46</v>
      </c>
      <c r="W33" s="14">
        <f>IF(COUNT(K30:K33)=COUNT(H33:K33),COUNT(H33:K33),"")</f>
        <v>3</v>
      </c>
      <c r="X33" s="17">
        <f>O33+P33+Q33</f>
        <v>6</v>
      </c>
      <c r="Y33" s="17">
        <f>H33+I33+J33</f>
        <v>6</v>
      </c>
      <c r="Z33" s="17">
        <f>K30+K31+K32</f>
        <v>3</v>
      </c>
      <c r="AA33" s="17">
        <f t="shared" si="30"/>
        <v>3</v>
      </c>
      <c r="AD33" s="111">
        <f t="shared" si="31"/>
        <v>1</v>
      </c>
      <c r="AG33" s="53">
        <f t="shared" si="32"/>
        <v>60306</v>
      </c>
      <c r="AH33" s="17">
        <f>COUNTIF(AG30:AG33,AG33)</f>
        <v>1</v>
      </c>
      <c r="AI33" s="14" t="str">
        <f t="shared" si="33"/>
        <v>X</v>
      </c>
      <c r="AL33" s="85">
        <f>IF(AI33="X",4,IF(AG30=AG33,1,IF(AG31=AG33,2,3)))</f>
        <v>4</v>
      </c>
      <c r="AM33" s="54">
        <f>INDEX(O33:R33,1,AL33)</f>
        <v>0</v>
      </c>
      <c r="AN33" s="14">
        <f t="shared" si="34"/>
        <v>0</v>
      </c>
      <c r="AR33" s="53">
        <f>X33-INDEX(O33:R33,1,AQ29)</f>
        <v>3</v>
      </c>
      <c r="AS33" s="54">
        <f>AA33-(INDEX(H33:K33,1,AQ29)-INDEX(K30:K33,AQ29,1))</f>
        <v>1</v>
      </c>
      <c r="AT33" s="54">
        <f t="shared" si="35"/>
        <v>0</v>
      </c>
      <c r="AU33" s="14">
        <f t="shared" si="36"/>
        <v>0</v>
      </c>
      <c r="AX33" s="17">
        <f t="shared" si="37"/>
        <v>60306</v>
      </c>
      <c r="AY33" s="54">
        <f>IF(INDEX(AX30:AX33,U33)&lt;=INDEX(AX30:AX33,U32),U33,U32)</f>
        <v>3</v>
      </c>
      <c r="AZ33" s="54">
        <f>IF(INDEX(AX30:AX33,AY33)&lt;=INDEX(AX30:AX33,AY31),AY33,AY31)</f>
        <v>1</v>
      </c>
      <c r="BA33" s="14">
        <f>IF(INDEX(AX30:AX33,AZ33)&lt;=INDEX(AX30:AX33,AZ30),AZ33,AZ30)</f>
        <v>1</v>
      </c>
      <c r="BB33" s="68">
        <f>MATCH(U33,BA30:BA33,0)</f>
        <v>1</v>
      </c>
      <c r="BC33" s="53">
        <f>COUNTIF(AX30:AX33,AX33)</f>
        <v>1</v>
      </c>
      <c r="BD33" s="14" t="str">
        <f t="shared" si="38"/>
        <v>X</v>
      </c>
      <c r="BE33" s="14">
        <f t="shared" si="39"/>
        <v>1</v>
      </c>
    </row>
    <row r="34" spans="1:58" ht="15">
      <c r="A34" s="47" t="str">
        <f>Gruppenphase!E40</f>
        <v>Costa Rica</v>
      </c>
      <c r="B34" s="43">
        <f>Gruppenphase!H39</f>
        <v>2</v>
      </c>
      <c r="C34" s="43">
        <f>Gruppenphase!J39</f>
        <v>1</v>
      </c>
      <c r="D34" s="137" t="str">
        <f>Gruppenphase!G40</f>
        <v xml:space="preserve">England </v>
      </c>
      <c r="W34" s="21" t="b">
        <f>SUM(W30:W33)=12</f>
        <v>1</v>
      </c>
      <c r="AD34" s="120" t="str">
        <f>BF34</f>
        <v>Eindeutige Platzierung</v>
      </c>
      <c r="AG34" s="103" t="s">
        <v>217</v>
      </c>
      <c r="AH34" s="17">
        <f>MOD(MIN(AH30:AH33)*MAX(AH30:AH33),11)</f>
        <v>1</v>
      </c>
      <c r="AI34" s="2"/>
      <c r="BD34" s="17">
        <f>COUNTIF(BD30:BD33,"X")</f>
        <v>4</v>
      </c>
      <c r="BE34" s="21">
        <f>SUM(BE30:BE33)</f>
        <v>10</v>
      </c>
      <c r="BF34" s="116" t="str">
        <f>IF(W34,IF(BD34&gt;=3,"Eindeutige Platzierung",IF(AND(BD34=2,BE34=3),"zwei Teams auf Platz 3","Auswahl durch Losverfahren")),"")</f>
        <v>Eindeutige Platzierung</v>
      </c>
    </row>
    <row r="35" spans="1:58" s="56" customFormat="1" ht="15" thickBot="1">
      <c r="A35" s="136"/>
      <c r="B35" s="152"/>
      <c r="C35" s="152"/>
      <c r="D35" s="59"/>
      <c r="F35" s="58"/>
      <c r="G35" s="59"/>
      <c r="M35" s="58"/>
      <c r="N35" s="59"/>
      <c r="T35" s="58"/>
      <c r="U35" s="152"/>
      <c r="V35" s="59"/>
      <c r="AC35" s="58"/>
      <c r="AD35" s="152"/>
      <c r="AE35" s="58"/>
      <c r="AF35" s="94"/>
      <c r="AG35" s="94"/>
      <c r="AH35" s="94"/>
      <c r="AI35" s="94"/>
      <c r="AJ35" s="77"/>
      <c r="AK35" s="94"/>
      <c r="AL35" s="94"/>
      <c r="AO35" s="57"/>
      <c r="AQ35" s="152"/>
      <c r="AV35" s="57"/>
      <c r="BB35" s="152"/>
    </row>
    <row r="36" spans="1:58" ht="15.75" thickTop="1">
      <c r="A36" s="140" t="s">
        <v>234</v>
      </c>
      <c r="AC36" s="62"/>
      <c r="AD36" s="151"/>
      <c r="AM36" s="60"/>
      <c r="AN36" s="60"/>
      <c r="AP36" s="60"/>
      <c r="AQ36" s="153"/>
      <c r="AR36" s="60"/>
      <c r="AS36" s="60"/>
      <c r="AT36" s="60"/>
      <c r="AU36" s="60"/>
      <c r="AV36" s="61"/>
      <c r="AW36" s="60"/>
      <c r="AX36" s="60"/>
      <c r="AY36" s="60"/>
      <c r="AZ36" s="60"/>
      <c r="BA36" s="60"/>
      <c r="BB36" s="153"/>
      <c r="BC36" s="60"/>
      <c r="BD36" s="60"/>
      <c r="BE36" s="60"/>
      <c r="BF36" s="60"/>
    </row>
    <row r="37" spans="1:58" ht="28.5" customHeight="1">
      <c r="A37" s="49" t="str">
        <f>Gruppenphase!E44</f>
        <v>Schweiz</v>
      </c>
      <c r="B37" s="149">
        <f>Gruppenphase!H44</f>
        <v>1</v>
      </c>
      <c r="C37" s="149">
        <f>Gruppenphase!J44</f>
        <v>0</v>
      </c>
      <c r="D37" s="51" t="str">
        <f>Gruppenphase!G44</f>
        <v>Ecuador</v>
      </c>
      <c r="G37" s="29">
        <v>0</v>
      </c>
      <c r="H37" s="27" t="str">
        <f>Text!C26</f>
        <v>HON</v>
      </c>
      <c r="I37" s="27">
        <f>Text!C27</f>
        <v>0</v>
      </c>
      <c r="J37" s="27" t="str">
        <f>Text!C28</f>
        <v>ARG</v>
      </c>
      <c r="K37" s="28" t="str">
        <f>Text!C29</f>
        <v>BIH</v>
      </c>
      <c r="N37" s="141">
        <v>0</v>
      </c>
      <c r="O37" s="112" t="str">
        <f>Text!C23</f>
        <v>SUI</v>
      </c>
      <c r="P37" s="112" t="str">
        <f>Text!C24</f>
        <v>ECU</v>
      </c>
      <c r="Q37" s="112" t="str">
        <f>Text!C25</f>
        <v>FRA</v>
      </c>
      <c r="R37" s="113" t="str">
        <f>Text!C26</f>
        <v>HON</v>
      </c>
      <c r="W37" s="35" t="s">
        <v>208</v>
      </c>
      <c r="X37" s="35" t="s">
        <v>207</v>
      </c>
      <c r="Y37" s="36" t="s">
        <v>204</v>
      </c>
      <c r="Z37" s="37" t="s">
        <v>206</v>
      </c>
      <c r="AA37" s="35" t="s">
        <v>205</v>
      </c>
      <c r="AQ37" s="35">
        <f>MATCH(1,AH38:AH41,0)</f>
        <v>1</v>
      </c>
    </row>
    <row r="38" spans="1:58" ht="15">
      <c r="A38" s="46" t="str">
        <f>Gruppenphase!E45</f>
        <v>Frankreich</v>
      </c>
      <c r="B38" s="151">
        <f>Gruppenphase!H45</f>
        <v>2</v>
      </c>
      <c r="C38" s="151">
        <f>Gruppenphase!J45</f>
        <v>1</v>
      </c>
      <c r="D38" s="52" t="str">
        <f>Gruppenphase!G45</f>
        <v>Honduras</v>
      </c>
      <c r="G38" s="29" t="str">
        <f>Text!C26</f>
        <v>HON</v>
      </c>
      <c r="H38" s="64"/>
      <c r="I38" s="149">
        <f>B37</f>
        <v>1</v>
      </c>
      <c r="J38" s="149">
        <f>B39</f>
        <v>2</v>
      </c>
      <c r="K38" s="38">
        <f>C41</f>
        <v>1</v>
      </c>
      <c r="N38" s="29" t="str">
        <f>Text!C23</f>
        <v>SUI</v>
      </c>
      <c r="O38" s="55"/>
      <c r="P38" s="7">
        <f>IF(AND(ISNUMBER(I38),ISNUMBER(H39)),IF(I38&gt;H39,3,IF(I38=H39,1,0)),0)</f>
        <v>3</v>
      </c>
      <c r="Q38" s="7">
        <f>IF(AND(ISNUMBER(J38),ISNUMBER(H40)),IF(J38&gt;H40,3,IF(J38=H40,1,0)),0)</f>
        <v>0</v>
      </c>
      <c r="R38" s="13">
        <f>IF(AND(ISNUMBER(K38),ISNUMBER(H41)),IF(K38&gt;H41,3,IF(K38=H41,1,0)),0)</f>
        <v>1</v>
      </c>
      <c r="U38" s="150">
        <v>1</v>
      </c>
      <c r="V38" s="29" t="s">
        <v>47</v>
      </c>
      <c r="W38" s="2">
        <f>IF(COUNT(H38:H41)=COUNT(H38:K38),COUNT(H38:K38),"")</f>
        <v>3</v>
      </c>
      <c r="X38" s="15">
        <f>P38+Q38+R38</f>
        <v>4</v>
      </c>
      <c r="Y38" s="15">
        <f>I38+J38+K38</f>
        <v>4</v>
      </c>
      <c r="Z38" s="15">
        <f>H39+H40+H41</f>
        <v>4</v>
      </c>
      <c r="AA38" s="15">
        <f>Y38-Z38</f>
        <v>0</v>
      </c>
      <c r="AD38" s="110">
        <f>BB38</f>
        <v>2</v>
      </c>
      <c r="AG38" s="101">
        <f>X38*10000+AA38*100+Y38</f>
        <v>40004</v>
      </c>
      <c r="AH38" s="15">
        <f>COUNTIF(AG38:AG41,AG38)</f>
        <v>1</v>
      </c>
      <c r="AI38" s="12" t="str">
        <f>IF(AH38=1,"X","")</f>
        <v>X</v>
      </c>
      <c r="AL38" s="83">
        <f>IF(AI38="X",1,IF(AG39=AG38,2,IF(AG40=AG38,3,4)))</f>
        <v>1</v>
      </c>
      <c r="AM38" s="50">
        <f>INDEX(O38:R38,1,AL38)</f>
        <v>0</v>
      </c>
      <c r="AN38" s="12">
        <f>AM38/10</f>
        <v>0</v>
      </c>
      <c r="AR38" s="101">
        <f>X38-INDEX(O38:R38,1,AQ37)</f>
        <v>4</v>
      </c>
      <c r="AS38" s="50">
        <f>AA38-(INDEX(H38:K38,1,AQ37)-INDEX(H38:H41,AQ37,1))</f>
        <v>0</v>
      </c>
      <c r="AT38" s="50">
        <f>Y38:Y38-Y38</f>
        <v>0</v>
      </c>
      <c r="AU38" s="12">
        <f>IF(OR($AH$10&lt;&gt;3,AI38="x"),0,AR38/10+AS38/1000+AT38/100000)</f>
        <v>0</v>
      </c>
      <c r="AX38" s="15">
        <f>AG38+AN38+AU38</f>
        <v>40004</v>
      </c>
      <c r="AY38" s="50">
        <f>IF(INDEX(AX38:AX41,U38)&gt;=INDEX(AX38:AX41,U39),U38,U39)</f>
        <v>1</v>
      </c>
      <c r="AZ38" s="50">
        <f>IF(INDEX(AX38:AX41,AY38)&gt;=INDEX(AX38:AX41,AY40),AY38,AY40)</f>
        <v>3</v>
      </c>
      <c r="BA38" s="12">
        <f>IF(INDEX(AX38:AX41,AZ38)&gt;=INDEX(AX38:AX41,AZ41),AZ38,AZ41)</f>
        <v>3</v>
      </c>
      <c r="BB38" s="66">
        <f>MATCH(U38,BA38:BA41,0)</f>
        <v>2</v>
      </c>
      <c r="BC38" s="101">
        <f>COUNTIF(AX38:AX41,AX38)</f>
        <v>1</v>
      </c>
      <c r="BD38" s="12" t="str">
        <f>IF(BC38=1,"X","")</f>
        <v>X</v>
      </c>
      <c r="BE38" s="12">
        <f>(BD38="X")*BB38</f>
        <v>2</v>
      </c>
    </row>
    <row r="39" spans="1:58" ht="15">
      <c r="A39" s="46" t="str">
        <f>Gruppenphase!E46</f>
        <v>Schweiz</v>
      </c>
      <c r="B39" s="151">
        <f>Gruppenphase!H46</f>
        <v>2</v>
      </c>
      <c r="C39" s="151">
        <f>Gruppenphase!J46</f>
        <v>3</v>
      </c>
      <c r="D39" s="52" t="str">
        <f>Gruppenphase!G46</f>
        <v>Frankreich</v>
      </c>
      <c r="G39" s="30">
        <f>Text!C27</f>
        <v>0</v>
      </c>
      <c r="H39" s="151">
        <f>C37</f>
        <v>0</v>
      </c>
      <c r="I39" s="40"/>
      <c r="J39" s="151">
        <f>B42</f>
        <v>0</v>
      </c>
      <c r="K39" s="41">
        <f>C40</f>
        <v>2</v>
      </c>
      <c r="N39" s="30" t="str">
        <f>Text!C24</f>
        <v>ECU</v>
      </c>
      <c r="O39" s="7">
        <f>IF(AND(ISNUMBER(H39),ISNUMBER(I38)),IF(H39&gt;I38,3,IF(H39=I38,1,0)),0)</f>
        <v>0</v>
      </c>
      <c r="P39" s="55"/>
      <c r="Q39" s="7">
        <f>IF(AND(ISNUMBER(J39),ISNUMBER(I40)),IF(J39&gt;I40,3,IF(J39=I40,1,0)),0)</f>
        <v>0</v>
      </c>
      <c r="R39" s="13">
        <f>IF(AND(ISNUMBER(K39),ISNUMBER(I41)),IF(K39&gt;I41,3,IF(K39=I41,1,0)),0)</f>
        <v>1</v>
      </c>
      <c r="U39" s="150">
        <v>2</v>
      </c>
      <c r="V39" s="30" t="s">
        <v>49</v>
      </c>
      <c r="W39" s="2">
        <f>IF(COUNT(I38:I41)=COUNT(H39:K39),COUNT(H39:K39),"")</f>
        <v>3</v>
      </c>
      <c r="X39" s="16">
        <f>O39+Q39+R39</f>
        <v>1</v>
      </c>
      <c r="Y39" s="16">
        <f>H39+J39+K39</f>
        <v>2</v>
      </c>
      <c r="Z39" s="16">
        <f>I38+I40+I41</f>
        <v>5</v>
      </c>
      <c r="AA39" s="16">
        <f t="shared" ref="AA39:AA41" si="40">Y39-Z39</f>
        <v>-3</v>
      </c>
      <c r="AD39" s="111">
        <f t="shared" ref="AD39:AD41" si="41">BB39</f>
        <v>4</v>
      </c>
      <c r="AG39" s="102">
        <f t="shared" ref="AG39:AG41" si="42">X39*10000+AA39*100+Y39</f>
        <v>9702</v>
      </c>
      <c r="AH39" s="16">
        <f>COUNTIF(AG38:AG41,AG39)</f>
        <v>1</v>
      </c>
      <c r="AI39" s="13" t="str">
        <f t="shared" ref="AI39:AI41" si="43">IF(AH39=1,"X","")</f>
        <v>X</v>
      </c>
      <c r="AL39" s="84">
        <f>IF(AI39="X",2,IF(AG40=AG39,3,IF(AG41=AG39,4,1)))</f>
        <v>2</v>
      </c>
      <c r="AM39" s="7">
        <f>INDEX(O39:R39,1,AL39)</f>
        <v>0</v>
      </c>
      <c r="AN39" s="13">
        <f t="shared" ref="AN39:AN41" si="44">AM39/10</f>
        <v>0</v>
      </c>
      <c r="AR39" s="102">
        <f>X39-INDEX(O39:R39,1,AQ37)</f>
        <v>1</v>
      </c>
      <c r="AS39" s="7">
        <f>AA39-(INDEX(H39:K39,1,AQ37)-INDEX(I38:I41,AQ37,1))</f>
        <v>-2</v>
      </c>
      <c r="AT39" s="7">
        <f t="shared" ref="AT39:AT41" si="45">Y39:Y39-Y39</f>
        <v>0</v>
      </c>
      <c r="AU39" s="13">
        <f t="shared" ref="AU39:AU41" si="46">IF(OR($AH$10&lt;&gt;3,AI39="x"),0,AR39/10+AS39/1000+AT39/100000)</f>
        <v>0</v>
      </c>
      <c r="AX39" s="16">
        <f t="shared" ref="AX39:AX41" si="47">AG39+AN39+AU39</f>
        <v>9702</v>
      </c>
      <c r="AY39" s="7">
        <f>IF(INDEX(AX38:AX41,U39)&lt;=INDEX(AX38:AX41,U38),U39,U38)</f>
        <v>2</v>
      </c>
      <c r="AZ39" s="7">
        <f>IF(INDEX(AX38:AX41,AY39)&gt;=INDEX(AX38:AX41,AY41),AY39,AY41)</f>
        <v>4</v>
      </c>
      <c r="BA39" s="13">
        <f>IF(INDEX(AX38:AX41,AZ39)&gt;=INDEX(AX38:AX41,AZ40),AZ39,AZ40)</f>
        <v>1</v>
      </c>
      <c r="BB39" s="67">
        <f>MATCH(U39,BA38:BA41,0)</f>
        <v>4</v>
      </c>
      <c r="BC39" s="102">
        <f>COUNTIF(AX38:AX41,AX39)</f>
        <v>1</v>
      </c>
      <c r="BD39" s="13" t="str">
        <f t="shared" ref="BD39:BD41" si="48">IF(BC39=1,"X","")</f>
        <v>X</v>
      </c>
      <c r="BE39" s="13">
        <f t="shared" ref="BE39:BE41" si="49">(BD39="X")*BB39</f>
        <v>4</v>
      </c>
    </row>
    <row r="40" spans="1:58" ht="15">
      <c r="A40" s="46" t="str">
        <f>Gruppenphase!E47</f>
        <v>Honduras</v>
      </c>
      <c r="B40" s="151">
        <f>Gruppenphase!H47</f>
        <v>2</v>
      </c>
      <c r="C40" s="151">
        <f>Gruppenphase!J47</f>
        <v>2</v>
      </c>
      <c r="D40" s="52" t="str">
        <f>Gruppenphase!G47</f>
        <v>Ecuador</v>
      </c>
      <c r="G40" s="30" t="str">
        <f>Text!C28</f>
        <v>ARG</v>
      </c>
      <c r="H40" s="151">
        <f>C39</f>
        <v>3</v>
      </c>
      <c r="I40" s="151">
        <f>C42</f>
        <v>2</v>
      </c>
      <c r="J40" s="40"/>
      <c r="K40" s="41">
        <f>B38</f>
        <v>2</v>
      </c>
      <c r="N40" s="30" t="str">
        <f>Text!C25</f>
        <v>FRA</v>
      </c>
      <c r="O40" s="7">
        <f>IF(AND(ISNUMBER(H40),ISNUMBER(J38)),IF(H40&gt;J38,3,IF(H40=J38,1,0)),0)</f>
        <v>3</v>
      </c>
      <c r="P40" s="7">
        <f>IF(AND(ISNUMBER(I40),ISNUMBER(J39)),IF(I40&gt;J39,3,IF(I40=J39,1,0)),0)</f>
        <v>3</v>
      </c>
      <c r="Q40" s="55"/>
      <c r="R40" s="13">
        <f>IF(AND(ISNUMBER(K40),ISNUMBER(J41)),IF(K40&gt;J41,3,IF(K40=J41,1,0)),0)</f>
        <v>3</v>
      </c>
      <c r="U40" s="150">
        <v>3</v>
      </c>
      <c r="V40" s="16" t="s">
        <v>48</v>
      </c>
      <c r="W40" s="13">
        <f>IF(COUNT(J38:J41)=COUNT(H40:K40),COUNT(H40:K40),"")</f>
        <v>3</v>
      </c>
      <c r="X40" s="16">
        <f>O40+P40+R40</f>
        <v>9</v>
      </c>
      <c r="Y40" s="16">
        <f>H40+I40+K40</f>
        <v>7</v>
      </c>
      <c r="Z40" s="16">
        <f>J38+J39+J41</f>
        <v>3</v>
      </c>
      <c r="AA40" s="16">
        <f t="shared" si="40"/>
        <v>4</v>
      </c>
      <c r="AD40" s="111">
        <f t="shared" si="41"/>
        <v>1</v>
      </c>
      <c r="AG40" s="102">
        <f t="shared" si="42"/>
        <v>90407</v>
      </c>
      <c r="AH40" s="16">
        <f>COUNTIF(AG38:AG41,AG40)</f>
        <v>1</v>
      </c>
      <c r="AI40" s="13" t="str">
        <f t="shared" si="43"/>
        <v>X</v>
      </c>
      <c r="AL40" s="84">
        <f>IF(AI40="X",3,IF(AG41=AG40,4,IF(AG42=AG40,1,2)))</f>
        <v>3</v>
      </c>
      <c r="AM40" s="7">
        <f>INDEX(O40:R40,1,AL40)</f>
        <v>0</v>
      </c>
      <c r="AN40" s="13">
        <f t="shared" si="44"/>
        <v>0</v>
      </c>
      <c r="AR40" s="102">
        <f>X40-INDEX(O40:R40,1,AQ37)</f>
        <v>6</v>
      </c>
      <c r="AS40" s="7">
        <f>AA40-(INDEX(H40:K40,1,AQ37)-INDEX(J39:J42,AQ37,1))</f>
        <v>1</v>
      </c>
      <c r="AT40" s="7">
        <f t="shared" si="45"/>
        <v>0</v>
      </c>
      <c r="AU40" s="13">
        <f t="shared" si="46"/>
        <v>0</v>
      </c>
      <c r="AX40" s="16">
        <f t="shared" si="47"/>
        <v>90407</v>
      </c>
      <c r="AY40" s="7">
        <f>IF(INDEX(AX38:AX41,U40)&gt;=INDEX(AX38:AX41,U41),U40,U41)</f>
        <v>3</v>
      </c>
      <c r="AZ40" s="7">
        <f>IF(INDEX(AX38:AX41,AY40)&lt;=INDEX(AX38:AX41,AY38),AY40,AY38)</f>
        <v>1</v>
      </c>
      <c r="BA40" s="13">
        <f>IF(INDEX(AX38:AX41,AZ40)&lt;=INDEX(AX38:AX41,AZ39),AZ40,AZ39)</f>
        <v>4</v>
      </c>
      <c r="BB40" s="67">
        <f>MATCH(U40,BA38:BA41,0)</f>
        <v>1</v>
      </c>
      <c r="BC40" s="102">
        <f>COUNTIF(AX38:AX41,AX40)</f>
        <v>1</v>
      </c>
      <c r="BD40" s="13" t="str">
        <f t="shared" si="48"/>
        <v>X</v>
      </c>
      <c r="BE40" s="13">
        <f t="shared" si="49"/>
        <v>1</v>
      </c>
    </row>
    <row r="41" spans="1:58" ht="15">
      <c r="A41" s="46" t="str">
        <f>Gruppenphase!E48</f>
        <v>Honduras</v>
      </c>
      <c r="B41" s="151">
        <f>Gruppenphase!H48</f>
        <v>1</v>
      </c>
      <c r="C41" s="151">
        <f>Gruppenphase!J48</f>
        <v>1</v>
      </c>
      <c r="D41" s="52" t="str">
        <f>Gruppenphase!G48</f>
        <v>Schweiz</v>
      </c>
      <c r="G41" s="31" t="str">
        <f>Text!C29</f>
        <v>BIH</v>
      </c>
      <c r="H41" s="43">
        <f>B41</f>
        <v>1</v>
      </c>
      <c r="I41" s="43">
        <f>B40</f>
        <v>2</v>
      </c>
      <c r="J41" s="43">
        <f>C38</f>
        <v>1</v>
      </c>
      <c r="K41" s="44"/>
      <c r="N41" s="31" t="str">
        <f>Text!C26</f>
        <v>HON</v>
      </c>
      <c r="O41" s="54">
        <f>IF(AND(ISNUMBER(H41),ISNUMBER(J39)),IF(H41&gt;J39,3,IF(H41=J39,1,0)),0)</f>
        <v>3</v>
      </c>
      <c r="P41" s="54">
        <f>IF(AND(ISNUMBER(I41),ISNUMBER(K39)),IF(I41&gt;K39,3,IF(I41=K39,1,0)),0)</f>
        <v>1</v>
      </c>
      <c r="Q41" s="54">
        <f>IF(AND(ISNUMBER(J41),ISNUMBER(K40)),IF(J41&gt;K40,3,IF(J41=K40,1,0)),0)</f>
        <v>0</v>
      </c>
      <c r="R41" s="32"/>
      <c r="U41" s="150">
        <v>4</v>
      </c>
      <c r="V41" s="17" t="s">
        <v>50</v>
      </c>
      <c r="W41" s="14">
        <f>IF(COUNT(K38:K41)=COUNT(H41:K41),COUNT(H41:K41),"")</f>
        <v>3</v>
      </c>
      <c r="X41" s="17">
        <f>O41+P41+Q41</f>
        <v>4</v>
      </c>
      <c r="Y41" s="17">
        <f>H41+I41+J41</f>
        <v>4</v>
      </c>
      <c r="Z41" s="17">
        <f>K38+K39+K40</f>
        <v>5</v>
      </c>
      <c r="AA41" s="17">
        <f t="shared" si="40"/>
        <v>-1</v>
      </c>
      <c r="AD41" s="111">
        <f t="shared" si="41"/>
        <v>3</v>
      </c>
      <c r="AG41" s="53">
        <f t="shared" si="42"/>
        <v>39904</v>
      </c>
      <c r="AH41" s="17">
        <f>COUNTIF(AG38:AG41,AG41)</f>
        <v>1</v>
      </c>
      <c r="AI41" s="14" t="str">
        <f t="shared" si="43"/>
        <v>X</v>
      </c>
      <c r="AL41" s="85">
        <f>IF(AI41="X",4,IF(AG38=AG41,1,IF(AG39=AG41,2,3)))</f>
        <v>4</v>
      </c>
      <c r="AM41" s="54">
        <f>INDEX(O41:R41,1,AL41)</f>
        <v>0</v>
      </c>
      <c r="AN41" s="14">
        <f t="shared" si="44"/>
        <v>0</v>
      </c>
      <c r="AR41" s="53">
        <f>X41-INDEX(O41:R41,1,AQ37)</f>
        <v>1</v>
      </c>
      <c r="AS41" s="54">
        <f>AA41-(INDEX(H41:K41,1,AQ37)-INDEX(K38:K41,AQ37,1))</f>
        <v>-1</v>
      </c>
      <c r="AT41" s="54">
        <f t="shared" si="45"/>
        <v>0</v>
      </c>
      <c r="AU41" s="14">
        <f t="shared" si="46"/>
        <v>0</v>
      </c>
      <c r="AX41" s="17">
        <f t="shared" si="47"/>
        <v>39904</v>
      </c>
      <c r="AY41" s="54">
        <f>IF(INDEX(AX38:AX41,U41)&lt;=INDEX(AX38:AX41,U40),U41,U40)</f>
        <v>4</v>
      </c>
      <c r="AZ41" s="54">
        <f>IF(INDEX(AX38:AX41,AY41)&lt;=INDEX(AX38:AX41,AY39),AY41,AY39)</f>
        <v>2</v>
      </c>
      <c r="BA41" s="14">
        <f>IF(INDEX(AX38:AX41,AZ41)&lt;=INDEX(AX38:AX41,AZ38),AZ41,AZ38)</f>
        <v>2</v>
      </c>
      <c r="BB41" s="68">
        <f>MATCH(U41,BA38:BA41,0)</f>
        <v>3</v>
      </c>
      <c r="BC41" s="53">
        <f>COUNTIF(AX38:AX41,AX41)</f>
        <v>1</v>
      </c>
      <c r="BD41" s="14" t="str">
        <f t="shared" si="48"/>
        <v>X</v>
      </c>
      <c r="BE41" s="14">
        <f t="shared" si="49"/>
        <v>3</v>
      </c>
    </row>
    <row r="42" spans="1:58" ht="15">
      <c r="A42" s="47" t="str">
        <f>Gruppenphase!E49</f>
        <v>Ecuador</v>
      </c>
      <c r="B42" s="43">
        <f>Gruppenphase!H49</f>
        <v>0</v>
      </c>
      <c r="C42" s="43">
        <f>Gruppenphase!J49</f>
        <v>2</v>
      </c>
      <c r="D42" s="137" t="str">
        <f>Gruppenphase!G49</f>
        <v>Frankreich</v>
      </c>
      <c r="W42" s="21" t="b">
        <f>SUM(W38:W41)=12</f>
        <v>1</v>
      </c>
      <c r="AD42" s="120" t="str">
        <f>BF42</f>
        <v>Eindeutige Platzierung</v>
      </c>
      <c r="AG42" s="103" t="s">
        <v>217</v>
      </c>
      <c r="AH42" s="17">
        <f>MOD(MIN(AH38:AH41)*MAX(AH38:AH41),11)</f>
        <v>1</v>
      </c>
      <c r="AI42" s="2"/>
      <c r="BD42" s="17">
        <f>COUNTIF(BD38:BD41,"X")</f>
        <v>4</v>
      </c>
      <c r="BE42" s="21">
        <f>SUM(BE38:BE41)</f>
        <v>10</v>
      </c>
      <c r="BF42" s="116" t="str">
        <f>IF(W42,IF(BD42&gt;=3,"Eindeutige Platzierung",IF(AND(BD42=2,BE42=3),"zwei Teams auf Platz 3","Auswahl durch Losverfahren")),"")</f>
        <v>Eindeutige Platzierung</v>
      </c>
    </row>
    <row r="43" spans="1:58" s="56" customFormat="1" ht="15" thickBot="1">
      <c r="A43" s="136"/>
      <c r="B43" s="152"/>
      <c r="C43" s="152"/>
      <c r="D43" s="59"/>
      <c r="E43" s="57"/>
      <c r="F43" s="58"/>
      <c r="G43" s="59"/>
      <c r="L43" s="57"/>
      <c r="M43" s="58"/>
      <c r="N43" s="59"/>
      <c r="S43" s="57"/>
      <c r="T43" s="58"/>
      <c r="U43" s="152"/>
      <c r="V43" s="59"/>
      <c r="AB43" s="57"/>
      <c r="AC43" s="58"/>
      <c r="AD43" s="152"/>
      <c r="AE43" s="58"/>
      <c r="AF43" s="94"/>
      <c r="AG43" s="94"/>
      <c r="AH43" s="94"/>
      <c r="AI43" s="94"/>
      <c r="AJ43" s="77"/>
      <c r="AK43" s="94"/>
      <c r="AL43" s="94"/>
      <c r="AO43" s="57"/>
      <c r="AQ43" s="152"/>
      <c r="AV43" s="57"/>
      <c r="BB43" s="152"/>
    </row>
    <row r="44" spans="1:58" ht="15.75" thickTop="1">
      <c r="A44" s="140" t="s">
        <v>237</v>
      </c>
      <c r="AC44" s="62"/>
      <c r="AD44" s="151"/>
      <c r="AM44" s="60"/>
      <c r="AN44" s="60"/>
      <c r="AP44" s="60"/>
      <c r="AQ44" s="153"/>
      <c r="AR44" s="60"/>
      <c r="AS44" s="60"/>
      <c r="AT44" s="60"/>
      <c r="AU44" s="60"/>
      <c r="AV44" s="61"/>
      <c r="AW44" s="60"/>
      <c r="AX44" s="60"/>
      <c r="AY44" s="60"/>
      <c r="AZ44" s="60"/>
      <c r="BA44" s="60"/>
      <c r="BB44" s="153"/>
      <c r="BC44" s="60"/>
      <c r="BD44" s="60"/>
      <c r="BE44" s="60"/>
      <c r="BF44" s="60"/>
    </row>
    <row r="45" spans="1:58" ht="28.5">
      <c r="A45" s="49" t="str">
        <f>Gruppenphase!E53</f>
        <v>Argentinien</v>
      </c>
      <c r="B45" s="149">
        <f>Gruppenphase!H53</f>
        <v>2</v>
      </c>
      <c r="C45" s="149">
        <f>Gruppenphase!J53</f>
        <v>0</v>
      </c>
      <c r="D45" s="51" t="str">
        <f>Gruppenphase!G53</f>
        <v>Bosnien-Herzegowina</v>
      </c>
      <c r="G45" s="29">
        <v>0</v>
      </c>
      <c r="H45" s="27" t="str">
        <f>Text!C28</f>
        <v>ARG</v>
      </c>
      <c r="I45" s="27" t="str">
        <f>Text!C29</f>
        <v>BIH</v>
      </c>
      <c r="J45" s="27" t="str">
        <f>Text!C30</f>
        <v>IRN</v>
      </c>
      <c r="K45" s="28" t="str">
        <f>Text!C31</f>
        <v>NGA</v>
      </c>
      <c r="N45" s="141">
        <v>0</v>
      </c>
      <c r="O45" s="112" t="str">
        <f>Text!C28</f>
        <v>ARG</v>
      </c>
      <c r="P45" s="112" t="str">
        <f>Text!C29</f>
        <v>BIH</v>
      </c>
      <c r="Q45" s="112" t="str">
        <f>Text!C30</f>
        <v>IRN</v>
      </c>
      <c r="R45" s="113" t="str">
        <f>Text!C31</f>
        <v>NGA</v>
      </c>
      <c r="W45" s="35" t="s">
        <v>208</v>
      </c>
      <c r="X45" s="35" t="s">
        <v>207</v>
      </c>
      <c r="Y45" s="36" t="s">
        <v>204</v>
      </c>
      <c r="Z45" s="37" t="s">
        <v>206</v>
      </c>
      <c r="AA45" s="35" t="s">
        <v>205</v>
      </c>
      <c r="AQ45" s="35">
        <f>MATCH(1,AH46:AH49,0)</f>
        <v>1</v>
      </c>
    </row>
    <row r="46" spans="1:58" ht="15">
      <c r="A46" s="46" t="str">
        <f>Gruppenphase!E54</f>
        <v>Iran</v>
      </c>
      <c r="B46" s="151">
        <f>Gruppenphase!H54</f>
        <v>0</v>
      </c>
      <c r="C46" s="151">
        <f>Gruppenphase!J54</f>
        <v>1</v>
      </c>
      <c r="D46" s="52" t="str">
        <f>Gruppenphase!G54</f>
        <v>Nigeria</v>
      </c>
      <c r="G46" s="29" t="str">
        <f>Text!C28</f>
        <v>ARG</v>
      </c>
      <c r="H46" s="64"/>
      <c r="I46" s="149">
        <f>B45</f>
        <v>2</v>
      </c>
      <c r="J46" s="149">
        <f>B47</f>
        <v>1</v>
      </c>
      <c r="K46" s="38">
        <f>C49</f>
        <v>1</v>
      </c>
      <c r="N46" s="29" t="str">
        <f>Text!C28</f>
        <v>ARG</v>
      </c>
      <c r="O46" s="55"/>
      <c r="P46" s="7">
        <f>IF(AND(ISNUMBER(I46),ISNUMBER(H47)),IF(I46&gt;H47,3,IF(I46=H47,1,0)),0)</f>
        <v>3</v>
      </c>
      <c r="Q46" s="7">
        <f>IF(AND(ISNUMBER(J46),ISNUMBER(H48)),IF(J46&gt;H48,3,IF(J46=H48,1,0)),0)</f>
        <v>1</v>
      </c>
      <c r="R46" s="13">
        <f>IF(AND(ISNUMBER(K46),ISNUMBER(H49)),IF(K46&gt;H49,3,IF(K46=H49,1,0)),0)</f>
        <v>1</v>
      </c>
      <c r="U46" s="150">
        <v>1</v>
      </c>
      <c r="V46" s="29" t="s">
        <v>51</v>
      </c>
      <c r="W46" s="2">
        <f>IF(COUNT(H46:H49)=COUNT(H46:K46),COUNT(H46:K46),"")</f>
        <v>3</v>
      </c>
      <c r="X46" s="15">
        <f>P46+Q46+R46</f>
        <v>5</v>
      </c>
      <c r="Y46" s="15">
        <f>I46+J46+K46</f>
        <v>4</v>
      </c>
      <c r="Z46" s="15">
        <f>H47+H48+H49</f>
        <v>2</v>
      </c>
      <c r="AA46" s="15">
        <f>Y46-Z46</f>
        <v>2</v>
      </c>
      <c r="AD46" s="110">
        <f>BB46</f>
        <v>2</v>
      </c>
      <c r="AG46" s="101">
        <f>X46*10000+AA46*100+Y46</f>
        <v>50204</v>
      </c>
      <c r="AH46" s="15">
        <f>COUNTIF(AG46:AG49,AG46)</f>
        <v>1</v>
      </c>
      <c r="AI46" s="12" t="str">
        <f>IF(AH46=1,"X","")</f>
        <v>X</v>
      </c>
      <c r="AL46" s="83">
        <f>IF(AI46="X",1,IF(AG47=AG46,2,IF(AG48=AG46,3,4)))</f>
        <v>1</v>
      </c>
      <c r="AM46" s="50">
        <f>INDEX(O46:R46,1,AL46)</f>
        <v>0</v>
      </c>
      <c r="AN46" s="12">
        <f>AM46/10</f>
        <v>0</v>
      </c>
      <c r="AR46" s="101">
        <f>X46-INDEX(O46:R46,1,AQ45)</f>
        <v>5</v>
      </c>
      <c r="AS46" s="50">
        <f>AA46-(INDEX(H46:K46,1,AQ45)-INDEX(H46:H49,AQ45,1))</f>
        <v>2</v>
      </c>
      <c r="AT46" s="50">
        <f>Y46:Y46-Y46</f>
        <v>0</v>
      </c>
      <c r="AU46" s="12">
        <f>IF(OR($AH$10&lt;&gt;3,AI46="x"),0,AR46/10+AS46/1000+AT46/100000)</f>
        <v>0</v>
      </c>
      <c r="AX46" s="15">
        <f>AG46+AN46+AU46</f>
        <v>50204</v>
      </c>
      <c r="AY46" s="50">
        <f>IF(INDEX(AX46:AX49,U46)&gt;=INDEX(AX46:AX49,U47),U46,U47)</f>
        <v>2</v>
      </c>
      <c r="AZ46" s="50">
        <f>IF(INDEX(AX46:AX49,AY46)&gt;=INDEX(AX46:AX49,AY48),AY46,AY48)</f>
        <v>2</v>
      </c>
      <c r="BA46" s="12">
        <f>IF(INDEX(AX46:AX49,AZ46)&gt;=INDEX(AX46:AX49,AZ49),AZ46,AZ49)</f>
        <v>2</v>
      </c>
      <c r="BB46" s="66">
        <f>MATCH(U46,BA46:BA49,0)</f>
        <v>2</v>
      </c>
      <c r="BC46" s="101">
        <f>COUNTIF(AX46:AX49,AX46)</f>
        <v>1</v>
      </c>
      <c r="BD46" s="12" t="str">
        <f>IF(BC46=1,"X","")</f>
        <v>X</v>
      </c>
      <c r="BE46" s="12">
        <f>(BD46="X")*BB46</f>
        <v>2</v>
      </c>
    </row>
    <row r="47" spans="1:58" ht="15">
      <c r="A47" s="46" t="str">
        <f>Gruppenphase!E55</f>
        <v>Argentinien</v>
      </c>
      <c r="B47" s="151">
        <f>Gruppenphase!H55</f>
        <v>1</v>
      </c>
      <c r="C47" s="151">
        <f>Gruppenphase!J55</f>
        <v>1</v>
      </c>
      <c r="D47" s="52" t="str">
        <f>Gruppenphase!G55</f>
        <v>Iran</v>
      </c>
      <c r="G47" s="30" t="str">
        <f>Text!C29</f>
        <v>BIH</v>
      </c>
      <c r="H47" s="151">
        <f>C45</f>
        <v>0</v>
      </c>
      <c r="I47" s="40"/>
      <c r="J47" s="151">
        <f>B50</f>
        <v>2</v>
      </c>
      <c r="K47" s="41">
        <f>C48</f>
        <v>3</v>
      </c>
      <c r="N47" s="30" t="str">
        <f>Text!C29</f>
        <v>BIH</v>
      </c>
      <c r="O47" s="7">
        <f>IF(AND(ISNUMBER(H47),ISNUMBER(I46)),IF(H47&gt;I46,3,IF(H47=I46,1,0)),0)</f>
        <v>0</v>
      </c>
      <c r="P47" s="55"/>
      <c r="Q47" s="7">
        <f>IF(AND(ISNUMBER(J47),ISNUMBER(I48)),IF(J47&gt;I48,3,IF(J47=I48,1,0)),0)</f>
        <v>3</v>
      </c>
      <c r="R47" s="13">
        <f>IF(AND(ISNUMBER(K47),ISNUMBER(I49)),IF(K47&gt;I49,3,IF(K47=I49,1,0)),0)</f>
        <v>3</v>
      </c>
      <c r="U47" s="150">
        <v>2</v>
      </c>
      <c r="V47" s="30" t="s">
        <v>53</v>
      </c>
      <c r="W47" s="2">
        <f>IF(COUNT(I46:I49)=COUNT(H47:K47),COUNT(H47:K47),"")</f>
        <v>3</v>
      </c>
      <c r="X47" s="16">
        <f>O47+Q47+R47</f>
        <v>6</v>
      </c>
      <c r="Y47" s="16">
        <f>H47+J47+K47</f>
        <v>5</v>
      </c>
      <c r="Z47" s="16">
        <f>I46+I48+I49</f>
        <v>3</v>
      </c>
      <c r="AA47" s="16">
        <f t="shared" ref="AA47:AA49" si="50">Y47-Z47</f>
        <v>2</v>
      </c>
      <c r="AD47" s="111">
        <f t="shared" ref="AD47:AD49" si="51">BB47</f>
        <v>1</v>
      </c>
      <c r="AG47" s="102">
        <f t="shared" ref="AG47:AG49" si="52">X47*10000+AA47*100+Y47</f>
        <v>60205</v>
      </c>
      <c r="AH47" s="16">
        <f>COUNTIF(AG46:AG49,AG47)</f>
        <v>1</v>
      </c>
      <c r="AI47" s="13" t="str">
        <f t="shared" ref="AI47:AI49" si="53">IF(AH47=1,"X","")</f>
        <v>X</v>
      </c>
      <c r="AL47" s="84">
        <f>IF(AI47="X",2,IF(AG48=AG47,3,IF(AG49=AG47,4,1)))</f>
        <v>2</v>
      </c>
      <c r="AM47" s="7">
        <f>INDEX(O47:R47,1,AL47)</f>
        <v>0</v>
      </c>
      <c r="AN47" s="13">
        <f t="shared" ref="AN47:AN49" si="54">AM47/10</f>
        <v>0</v>
      </c>
      <c r="AR47" s="102">
        <f>X47-INDEX(O47:R47,1,AQ45)</f>
        <v>6</v>
      </c>
      <c r="AS47" s="7">
        <f>AA47-(INDEX(H47:K47,1,AQ45)-INDEX(I46:I49,AQ45,1))</f>
        <v>4</v>
      </c>
      <c r="AT47" s="7">
        <f t="shared" ref="AT47:AT49" si="55">Y47:Y47-Y47</f>
        <v>0</v>
      </c>
      <c r="AU47" s="13">
        <f t="shared" ref="AU47:AU49" si="56">IF(OR($AH$10&lt;&gt;3,AI47="x"),0,AR47/10+AS47/1000+AT47/100000)</f>
        <v>0</v>
      </c>
      <c r="AX47" s="16">
        <f t="shared" ref="AX47:AX49" si="57">AG47+AN47+AU47</f>
        <v>60205</v>
      </c>
      <c r="AY47" s="7">
        <f>IF(INDEX(AX46:AX49,U47)&lt;=INDEX(AX46:AX49,U46),U47,U46)</f>
        <v>1</v>
      </c>
      <c r="AZ47" s="7">
        <f>IF(INDEX(AX46:AX49,AY47)&gt;=INDEX(AX46:AX49,AY49),AY47,AY49)</f>
        <v>1</v>
      </c>
      <c r="BA47" s="13">
        <f>IF(INDEX(AX46:AX49,AZ47)&gt;=INDEX(AX46:AX49,AZ48),AZ47,AZ48)</f>
        <v>1</v>
      </c>
      <c r="BB47" s="67">
        <f>MATCH(U47,BA46:BA49,0)</f>
        <v>1</v>
      </c>
      <c r="BC47" s="102">
        <f>COUNTIF(AX46:AX49,AX47)</f>
        <v>1</v>
      </c>
      <c r="BD47" s="13" t="str">
        <f t="shared" ref="BD47:BD49" si="58">IF(BC47=1,"X","")</f>
        <v>X</v>
      </c>
      <c r="BE47" s="13">
        <f t="shared" ref="BE47:BE49" si="59">(BD47="X")*BB47</f>
        <v>1</v>
      </c>
    </row>
    <row r="48" spans="1:58" ht="15">
      <c r="A48" s="46" t="str">
        <f>Gruppenphase!E56</f>
        <v>Nigeria</v>
      </c>
      <c r="B48" s="151">
        <f>Gruppenphase!H56</f>
        <v>1</v>
      </c>
      <c r="C48" s="151">
        <f>Gruppenphase!J56</f>
        <v>3</v>
      </c>
      <c r="D48" s="52" t="str">
        <f>Gruppenphase!G56</f>
        <v>Bosnien-Herzegowina</v>
      </c>
      <c r="G48" s="30" t="str">
        <f>Text!C30</f>
        <v>IRN</v>
      </c>
      <c r="H48" s="151">
        <f>C47</f>
        <v>1</v>
      </c>
      <c r="I48" s="151">
        <f>C50</f>
        <v>0</v>
      </c>
      <c r="J48" s="40"/>
      <c r="K48" s="41">
        <f>B46</f>
        <v>0</v>
      </c>
      <c r="N48" s="30" t="str">
        <f>Text!C30</f>
        <v>IRN</v>
      </c>
      <c r="O48" s="7">
        <f>IF(AND(ISNUMBER(H48),ISNUMBER(J46)),IF(H48&gt;J46,3,IF(H48=J46,1,0)),0)</f>
        <v>1</v>
      </c>
      <c r="P48" s="7">
        <f>IF(AND(ISNUMBER(I48),ISNUMBER(J47)),IF(I48&gt;J47,3,IF(I48=J47,1,0)),0)</f>
        <v>0</v>
      </c>
      <c r="Q48" s="55"/>
      <c r="R48" s="13">
        <f>IF(AND(ISNUMBER(K48),ISNUMBER(J49)),IF(K48&gt;J49,3,IF(K48=J49,1,0)),0)</f>
        <v>0</v>
      </c>
      <c r="U48" s="150">
        <v>3</v>
      </c>
      <c r="V48" s="16" t="s">
        <v>52</v>
      </c>
      <c r="W48" s="13">
        <f>IF(COUNT(J46:J49)=COUNT(H48:K48),COUNT(H48:K48),"")</f>
        <v>3</v>
      </c>
      <c r="X48" s="16">
        <f>O48+P48+R48</f>
        <v>1</v>
      </c>
      <c r="Y48" s="16">
        <f>H48+I48+K48</f>
        <v>1</v>
      </c>
      <c r="Z48" s="16">
        <f>J46+J47+J49</f>
        <v>4</v>
      </c>
      <c r="AA48" s="16">
        <f t="shared" si="50"/>
        <v>-3</v>
      </c>
      <c r="AD48" s="111">
        <f t="shared" si="51"/>
        <v>4</v>
      </c>
      <c r="AG48" s="102">
        <f t="shared" si="52"/>
        <v>9701</v>
      </c>
      <c r="AH48" s="16">
        <f>COUNTIF(AG46:AG49,AG48)</f>
        <v>1</v>
      </c>
      <c r="AI48" s="13" t="str">
        <f t="shared" si="53"/>
        <v>X</v>
      </c>
      <c r="AL48" s="84">
        <f>IF(AI48="X",3,IF(AG49=AG48,4,IF(AG50=AG48,1,2)))</f>
        <v>3</v>
      </c>
      <c r="AM48" s="7">
        <f>INDEX(O48:R48,1,AL48)</f>
        <v>0</v>
      </c>
      <c r="AN48" s="13">
        <f t="shared" si="54"/>
        <v>0</v>
      </c>
      <c r="AR48" s="102">
        <f>X48-INDEX(O48:R48,1,AQ45)</f>
        <v>0</v>
      </c>
      <c r="AS48" s="7">
        <f>AA48-(INDEX(H48:K48,1,AQ45)-INDEX(J47:J50,AQ45,1))</f>
        <v>-2</v>
      </c>
      <c r="AT48" s="7">
        <f t="shared" si="55"/>
        <v>0</v>
      </c>
      <c r="AU48" s="13">
        <f t="shared" si="56"/>
        <v>0</v>
      </c>
      <c r="AX48" s="16">
        <f t="shared" si="57"/>
        <v>9701</v>
      </c>
      <c r="AY48" s="7">
        <f>IF(INDEX(AX46:AX49,U48)&gt;=INDEX(AX46:AX49,U49),U48,U49)</f>
        <v>4</v>
      </c>
      <c r="AZ48" s="7">
        <f>IF(INDEX(AX46:AX49,AY48)&lt;=INDEX(AX46:AX49,AY46),AY48,AY46)</f>
        <v>4</v>
      </c>
      <c r="BA48" s="13">
        <f>IF(INDEX(AX46:AX49,AZ48)&lt;=INDEX(AX46:AX49,AZ47),AZ48,AZ47)</f>
        <v>4</v>
      </c>
      <c r="BB48" s="67">
        <f>MATCH(U48,BA46:BA49,0)</f>
        <v>4</v>
      </c>
      <c r="BC48" s="102">
        <f>COUNTIF(AX46:AX49,AX48)</f>
        <v>1</v>
      </c>
      <c r="BD48" s="13" t="str">
        <f t="shared" si="58"/>
        <v>X</v>
      </c>
      <c r="BE48" s="13">
        <f t="shared" si="59"/>
        <v>4</v>
      </c>
    </row>
    <row r="49" spans="1:58" ht="15">
      <c r="A49" s="46" t="str">
        <f>Gruppenphase!E57</f>
        <v>Nigeria</v>
      </c>
      <c r="B49" s="151">
        <f>Gruppenphase!H57</f>
        <v>1</v>
      </c>
      <c r="C49" s="151">
        <f>Gruppenphase!J57</f>
        <v>1</v>
      </c>
      <c r="D49" s="52" t="str">
        <f>Gruppenphase!G57</f>
        <v>Argentinien</v>
      </c>
      <c r="G49" s="31" t="str">
        <f>Text!C31</f>
        <v>NGA</v>
      </c>
      <c r="H49" s="43">
        <f>B49</f>
        <v>1</v>
      </c>
      <c r="I49" s="43">
        <f>B48</f>
        <v>1</v>
      </c>
      <c r="J49" s="43">
        <f>C46</f>
        <v>1</v>
      </c>
      <c r="K49" s="44"/>
      <c r="N49" s="31" t="str">
        <f>Text!C31</f>
        <v>NGA</v>
      </c>
      <c r="O49" s="54">
        <f>IF(AND(ISNUMBER(H49),ISNUMBER(J47)),IF(H49&gt;J47,3,IF(H49=J47,1,0)),0)</f>
        <v>0</v>
      </c>
      <c r="P49" s="54">
        <f>IF(AND(ISNUMBER(I49),ISNUMBER(K47)),IF(I49&gt;K47,3,IF(I49=K47,1,0)),0)</f>
        <v>0</v>
      </c>
      <c r="Q49" s="54">
        <f>IF(AND(ISNUMBER(J49),ISNUMBER(K48)),IF(J49&gt;K48,3,IF(J49=K48,1,0)),0)</f>
        <v>3</v>
      </c>
      <c r="R49" s="32"/>
      <c r="U49" s="150">
        <v>4</v>
      </c>
      <c r="V49" s="17" t="s">
        <v>54</v>
      </c>
      <c r="W49" s="14">
        <f>IF(COUNT(K46:K49)=COUNT(H49:K49),COUNT(H49:K49),"")</f>
        <v>3</v>
      </c>
      <c r="X49" s="17">
        <f>O49+P49+Q49</f>
        <v>3</v>
      </c>
      <c r="Y49" s="17">
        <f>H49+I49+J49</f>
        <v>3</v>
      </c>
      <c r="Z49" s="17">
        <f>K46+K47+K48</f>
        <v>4</v>
      </c>
      <c r="AA49" s="17">
        <f t="shared" si="50"/>
        <v>-1</v>
      </c>
      <c r="AD49" s="111">
        <f t="shared" si="51"/>
        <v>3</v>
      </c>
      <c r="AG49" s="53">
        <f t="shared" si="52"/>
        <v>29903</v>
      </c>
      <c r="AH49" s="17">
        <f>COUNTIF(AG46:AG49,AG49)</f>
        <v>1</v>
      </c>
      <c r="AI49" s="14" t="str">
        <f t="shared" si="53"/>
        <v>X</v>
      </c>
      <c r="AL49" s="85">
        <f>IF(AI49="X",4,IF(AG46=AG49,1,IF(AG47=AG49,2,3)))</f>
        <v>4</v>
      </c>
      <c r="AM49" s="54">
        <f>INDEX(O49:R49,1,AL49)</f>
        <v>0</v>
      </c>
      <c r="AN49" s="14">
        <f t="shared" si="54"/>
        <v>0</v>
      </c>
      <c r="AR49" s="53">
        <f>X49-INDEX(O49:R49,1,AQ45)</f>
        <v>3</v>
      </c>
      <c r="AS49" s="54">
        <f>AA49-(INDEX(H49:K49,1,AQ45)-INDEX(K46:K49,AQ45,1))</f>
        <v>-1</v>
      </c>
      <c r="AT49" s="54">
        <f t="shared" si="55"/>
        <v>0</v>
      </c>
      <c r="AU49" s="14">
        <f t="shared" si="56"/>
        <v>0</v>
      </c>
      <c r="AX49" s="17">
        <f t="shared" si="57"/>
        <v>29903</v>
      </c>
      <c r="AY49" s="54">
        <f>IF(INDEX(AX46:AX49,U49)&lt;=INDEX(AX46:AX49,U48),U49,U48)</f>
        <v>3</v>
      </c>
      <c r="AZ49" s="54">
        <f>IF(INDEX(AX46:AX49,AY49)&lt;=INDEX(AX46:AX49,AY47),AY49,AY47)</f>
        <v>3</v>
      </c>
      <c r="BA49" s="14">
        <f>IF(INDEX(AX46:AX49,AZ49)&lt;=INDEX(AX46:AX49,AZ46),AZ49,AZ46)</f>
        <v>3</v>
      </c>
      <c r="BB49" s="68">
        <f>MATCH(U49,BA46:BA49,0)</f>
        <v>3</v>
      </c>
      <c r="BC49" s="53">
        <f>COUNTIF(AX46:AX49,AX49)</f>
        <v>1</v>
      </c>
      <c r="BD49" s="14" t="str">
        <f t="shared" si="58"/>
        <v>X</v>
      </c>
      <c r="BE49" s="14">
        <f t="shared" si="59"/>
        <v>3</v>
      </c>
    </row>
    <row r="50" spans="1:58" ht="15">
      <c r="A50" s="47" t="str">
        <f>Gruppenphase!E58</f>
        <v>Bosnien-Herzegowina</v>
      </c>
      <c r="B50" s="43">
        <f>Gruppenphase!H58</f>
        <v>2</v>
      </c>
      <c r="C50" s="43">
        <f>Gruppenphase!J58</f>
        <v>0</v>
      </c>
      <c r="D50" s="137" t="str">
        <f>Gruppenphase!G58</f>
        <v>Iran</v>
      </c>
      <c r="W50" s="21" t="b">
        <f>SUM(W46:W49)=12</f>
        <v>1</v>
      </c>
      <c r="AD50" s="120" t="str">
        <f>BF50</f>
        <v>Eindeutige Platzierung</v>
      </c>
      <c r="AG50" s="103" t="s">
        <v>217</v>
      </c>
      <c r="AH50" s="17">
        <f>MOD(MIN(AH46:AH49)*MAX(AH46:AH49),11)</f>
        <v>1</v>
      </c>
      <c r="AI50" s="2"/>
      <c r="BD50" s="17">
        <f>COUNTIF(BD46:BD49,"X")</f>
        <v>4</v>
      </c>
      <c r="BE50" s="21">
        <f>SUM(BE46:BE49)</f>
        <v>10</v>
      </c>
      <c r="BF50" s="116" t="str">
        <f>IF(W50,IF(BD50&gt;=3,"Eindeutige Platzierung",IF(AND(BD50=2,BE50=3),"zwei Teams auf Platz 3","Auswahl durch Losverfahren")),"")</f>
        <v>Eindeutige Platzierung</v>
      </c>
    </row>
    <row r="51" spans="1:58" s="56" customFormat="1" ht="15" thickBot="1">
      <c r="A51" s="136"/>
      <c r="B51" s="152"/>
      <c r="C51" s="152"/>
      <c r="D51" s="59"/>
      <c r="E51" s="57"/>
      <c r="F51" s="58"/>
      <c r="G51" s="59"/>
      <c r="L51" s="57"/>
      <c r="M51" s="58"/>
      <c r="N51" s="59"/>
      <c r="S51" s="57"/>
      <c r="T51" s="58"/>
      <c r="U51" s="152"/>
      <c r="V51" s="59"/>
      <c r="AB51" s="57"/>
      <c r="AC51" s="58"/>
      <c r="AD51" s="152"/>
      <c r="AE51" s="58"/>
      <c r="AF51" s="94"/>
      <c r="AG51" s="94"/>
      <c r="AH51" s="94"/>
      <c r="AI51" s="94"/>
      <c r="AJ51" s="77"/>
      <c r="AK51" s="94"/>
      <c r="AL51" s="94"/>
      <c r="AO51" s="57"/>
      <c r="AQ51" s="152"/>
      <c r="AV51" s="57"/>
      <c r="BB51" s="152"/>
    </row>
    <row r="52" spans="1:58" ht="15.75" thickTop="1">
      <c r="A52" s="140" t="s">
        <v>236</v>
      </c>
      <c r="AC52" s="62"/>
      <c r="AD52" s="151"/>
      <c r="AM52" s="60"/>
      <c r="AN52" s="60"/>
      <c r="AP52" s="60"/>
      <c r="AQ52" s="153"/>
      <c r="AR52" s="60"/>
      <c r="AS52" s="60"/>
      <c r="AT52" s="60"/>
      <c r="AU52" s="60"/>
      <c r="AV52" s="61"/>
      <c r="AW52" s="60"/>
      <c r="AX52" s="60"/>
      <c r="AY52" s="60"/>
      <c r="AZ52" s="60"/>
      <c r="BA52" s="60"/>
      <c r="BB52" s="153"/>
      <c r="BC52" s="60"/>
      <c r="BD52" s="60"/>
      <c r="BE52" s="60"/>
      <c r="BF52" s="60"/>
    </row>
    <row r="53" spans="1:58" ht="28.5" customHeight="1">
      <c r="A53" s="49" t="str">
        <f>Gruppenphase!E62</f>
        <v>Deutschland</v>
      </c>
      <c r="B53" s="149">
        <f>Gruppenphase!H62</f>
        <v>0</v>
      </c>
      <c r="C53" s="149">
        <f>Gruppenphase!J62</f>
        <v>2</v>
      </c>
      <c r="D53" s="51" t="str">
        <f>Gruppenphase!G62</f>
        <v xml:space="preserve">Portugal </v>
      </c>
      <c r="G53" s="29">
        <v>0</v>
      </c>
      <c r="H53" s="27" t="str">
        <f>Text!C33</f>
        <v>GER</v>
      </c>
      <c r="I53" s="27" t="str">
        <f>Text!C34</f>
        <v>POR</v>
      </c>
      <c r="J53" s="27" t="str">
        <f>Text!C35</f>
        <v>GHA</v>
      </c>
      <c r="K53" s="28" t="str">
        <f>Text!C36</f>
        <v>USA</v>
      </c>
      <c r="N53" s="141">
        <v>0</v>
      </c>
      <c r="O53" s="112" t="str">
        <f>Text!C33</f>
        <v>GER</v>
      </c>
      <c r="P53" s="112" t="str">
        <f>Text!C34</f>
        <v>POR</v>
      </c>
      <c r="Q53" s="112" t="str">
        <f>Text!C35</f>
        <v>GHA</v>
      </c>
      <c r="R53" s="113" t="str">
        <f>Text!C36</f>
        <v>USA</v>
      </c>
      <c r="W53" s="35" t="s">
        <v>208</v>
      </c>
      <c r="X53" s="35" t="s">
        <v>207</v>
      </c>
      <c r="Y53" s="36" t="s">
        <v>204</v>
      </c>
      <c r="Z53" s="37" t="s">
        <v>206</v>
      </c>
      <c r="AA53" s="35" t="s">
        <v>205</v>
      </c>
      <c r="AQ53" s="35">
        <f>MATCH(1,AH54:AH57,0)</f>
        <v>1</v>
      </c>
    </row>
    <row r="54" spans="1:58" ht="15">
      <c r="A54" s="46" t="str">
        <f>Gruppenphase!E63</f>
        <v>Ghana</v>
      </c>
      <c r="B54" s="151">
        <f>Gruppenphase!H63</f>
        <v>0</v>
      </c>
      <c r="C54" s="151">
        <f>Gruppenphase!J63</f>
        <v>1</v>
      </c>
      <c r="D54" s="52" t="str">
        <f>Gruppenphase!G63</f>
        <v xml:space="preserve">USA </v>
      </c>
      <c r="G54" s="29" t="str">
        <f>Text!C33</f>
        <v>GER</v>
      </c>
      <c r="H54" s="64"/>
      <c r="I54" s="149">
        <f>B53</f>
        <v>0</v>
      </c>
      <c r="J54" s="149">
        <f>B55</f>
        <v>0</v>
      </c>
      <c r="K54" s="38">
        <f>C57</f>
        <v>1</v>
      </c>
      <c r="N54" s="29" t="str">
        <f>Text!C33</f>
        <v>GER</v>
      </c>
      <c r="O54" s="55"/>
      <c r="P54" s="7">
        <f>IF(AND(ISNUMBER(I54),ISNUMBER(H55)),IF(I54&gt;H55,3,IF(I54=H55,1,0)),0)</f>
        <v>0</v>
      </c>
      <c r="Q54" s="7">
        <f>IF(AND(ISNUMBER(J54),ISNUMBER(H56)),IF(J54&gt;H56,3,IF(J54=H56,1,0)),0)</f>
        <v>0</v>
      </c>
      <c r="R54" s="13">
        <f>IF(AND(ISNUMBER(K54),ISNUMBER(H57)),IF(K54&gt;H57,3,IF(K54=H57,1,0)),0)</f>
        <v>0</v>
      </c>
      <c r="U54" s="150">
        <v>1</v>
      </c>
      <c r="V54" s="29" t="s">
        <v>55</v>
      </c>
      <c r="W54" s="2">
        <f>IF(COUNT(H54:H57)=COUNT(H54:K54),COUNT(H54:K54),"")</f>
        <v>3</v>
      </c>
      <c r="X54" s="15">
        <f>P54+Q54+R54</f>
        <v>0</v>
      </c>
      <c r="Y54" s="15">
        <f>I54+J54+K54</f>
        <v>1</v>
      </c>
      <c r="Z54" s="15">
        <f>H55+H56+H57</f>
        <v>5</v>
      </c>
      <c r="AA54" s="15">
        <f>Y54-Z54</f>
        <v>-4</v>
      </c>
      <c r="AD54" s="110">
        <f>BB54</f>
        <v>4</v>
      </c>
      <c r="AG54" s="101">
        <f>X54*10000+AA54*100+Y54</f>
        <v>-399</v>
      </c>
      <c r="AH54" s="15">
        <f>COUNTIF(AG54:AG57,AG54)</f>
        <v>1</v>
      </c>
      <c r="AI54" s="12" t="str">
        <f>IF(AH54=1,"X","")</f>
        <v>X</v>
      </c>
      <c r="AL54" s="83">
        <f>IF(AI54="X",1,IF(AG55=AG54,2,IF(AG56=AG54,3,4)))</f>
        <v>1</v>
      </c>
      <c r="AM54" s="50">
        <f>INDEX(O54:R54,1,AL54)</f>
        <v>0</v>
      </c>
      <c r="AN54" s="12">
        <f>AM54/10</f>
        <v>0</v>
      </c>
      <c r="AR54" s="101">
        <f>X54-INDEX(O54:R54,1,AQ53)</f>
        <v>0</v>
      </c>
      <c r="AS54" s="50">
        <f>AA54-(INDEX(H54:K54,1,AQ53)-INDEX(H54:H57,AQ53,1))</f>
        <v>-4</v>
      </c>
      <c r="AT54" s="50">
        <f>Y54:Y54-Y54</f>
        <v>0</v>
      </c>
      <c r="AU54" s="12">
        <f>IF(OR($AH$10&lt;&gt;3,AI54="x"),0,AR54/10+AS54/1000+AT54/100000)</f>
        <v>0</v>
      </c>
      <c r="AX54" s="15">
        <f>AG54+AN54+AU54</f>
        <v>-399</v>
      </c>
      <c r="AY54" s="50">
        <f>IF(INDEX(AX54:AX57,U54)&gt;=INDEX(AX54:AX57,U55),U54,U55)</f>
        <v>2</v>
      </c>
      <c r="AZ54" s="50">
        <f>IF(INDEX(AX54:AX57,AY54)&gt;=INDEX(AX54:AX57,AY56),AY54,AY56)</f>
        <v>2</v>
      </c>
      <c r="BA54" s="12">
        <f>IF(INDEX(AX54:AX57,AZ54)&gt;=INDEX(AX54:AX57,AZ57),AZ54,AZ57)</f>
        <v>2</v>
      </c>
      <c r="BB54" s="66">
        <f>MATCH(U54,BA54:BA57,0)</f>
        <v>4</v>
      </c>
      <c r="BC54" s="101">
        <f>COUNTIF(AX54:AX57,AX54)</f>
        <v>1</v>
      </c>
      <c r="BD54" s="12" t="str">
        <f>IF(BC54=1,"X","")</f>
        <v>X</v>
      </c>
      <c r="BE54" s="12">
        <f>(BD54="X")*BB54</f>
        <v>4</v>
      </c>
    </row>
    <row r="55" spans="1:58" ht="15">
      <c r="A55" s="46" t="str">
        <f>Gruppenphase!E64</f>
        <v>Deutschland</v>
      </c>
      <c r="B55" s="151">
        <f>Gruppenphase!H64</f>
        <v>0</v>
      </c>
      <c r="C55" s="151">
        <f>Gruppenphase!J64</f>
        <v>1</v>
      </c>
      <c r="D55" s="52" t="str">
        <f>Gruppenphase!G64</f>
        <v>Ghana</v>
      </c>
      <c r="G55" s="30" t="str">
        <f>Text!C34</f>
        <v>POR</v>
      </c>
      <c r="H55" s="151">
        <f>C53</f>
        <v>2</v>
      </c>
      <c r="I55" s="40"/>
      <c r="J55" s="151">
        <f>B58</f>
        <v>9</v>
      </c>
      <c r="K55" s="41">
        <f>C56</f>
        <v>2</v>
      </c>
      <c r="N55" s="30" t="str">
        <f>Text!C34</f>
        <v>POR</v>
      </c>
      <c r="O55" s="7">
        <f>IF(AND(ISNUMBER(H55),ISNUMBER(I54)),IF(H55&gt;I54,3,IF(H55=I54,1,0)),0)</f>
        <v>3</v>
      </c>
      <c r="P55" s="55"/>
      <c r="Q55" s="7">
        <f>IF(AND(ISNUMBER(J55),ISNUMBER(I56)),IF(J55&gt;I56,3,IF(J55=I56,1,0)),0)</f>
        <v>3</v>
      </c>
      <c r="R55" s="13">
        <f>IF(AND(ISNUMBER(K55),ISNUMBER(I57)),IF(K55&gt;I57,3,IF(K55=I57,1,0)),0)</f>
        <v>1</v>
      </c>
      <c r="U55" s="150">
        <v>2</v>
      </c>
      <c r="V55" s="30" t="s">
        <v>57</v>
      </c>
      <c r="W55" s="2">
        <f>IF(COUNT(I54:I57)=COUNT(H55:K55),COUNT(H55:K55),"")</f>
        <v>3</v>
      </c>
      <c r="X55" s="16">
        <f>O55+Q55+R55</f>
        <v>7</v>
      </c>
      <c r="Y55" s="16">
        <f>H55+J55+K55</f>
        <v>13</v>
      </c>
      <c r="Z55" s="16">
        <f>I54+I56+I57</f>
        <v>4</v>
      </c>
      <c r="AA55" s="16">
        <f t="shared" ref="AA55:AA57" si="60">Y55-Z55</f>
        <v>9</v>
      </c>
      <c r="AD55" s="111">
        <f t="shared" ref="AD55:AD57" si="61">BB55</f>
        <v>1</v>
      </c>
      <c r="AG55" s="102">
        <f t="shared" ref="AG55:AG57" si="62">X55*10000+AA55*100+Y55</f>
        <v>70913</v>
      </c>
      <c r="AH55" s="16">
        <f>COUNTIF(AG54:AG57,AG55)</f>
        <v>1</v>
      </c>
      <c r="AI55" s="13" t="str">
        <f t="shared" ref="AI55:AI57" si="63">IF(AH55=1,"X","")</f>
        <v>X</v>
      </c>
      <c r="AL55" s="84">
        <f>IF(AI55="X",2,IF(AG56=AG55,3,IF(AG57=AG55,4,1)))</f>
        <v>2</v>
      </c>
      <c r="AM55" s="7">
        <f>INDEX(O55:R55,1,AL55)</f>
        <v>0</v>
      </c>
      <c r="AN55" s="13">
        <f t="shared" ref="AN55:AN57" si="64">AM55/10</f>
        <v>0</v>
      </c>
      <c r="AR55" s="102">
        <f>X55-INDEX(O55:R55,1,AQ53)</f>
        <v>4</v>
      </c>
      <c r="AS55" s="7">
        <f>AA55-(INDEX(H55:K55,1,AQ53)-INDEX(I54:I57,AQ53,1))</f>
        <v>7</v>
      </c>
      <c r="AT55" s="7">
        <f t="shared" ref="AT55:AT57" si="65">Y55:Y55-Y55</f>
        <v>0</v>
      </c>
      <c r="AU55" s="13">
        <f t="shared" ref="AU55:AU57" si="66">IF(OR($AH$10&lt;&gt;3,AI55="x"),0,AR55/10+AS55/1000+AT55/100000)</f>
        <v>0</v>
      </c>
      <c r="AX55" s="16">
        <f t="shared" ref="AX55:AX57" si="67">AG55+AN55+AU55</f>
        <v>70913</v>
      </c>
      <c r="AY55" s="7">
        <f>IF(INDEX(AX54:AX57,U55)&lt;=INDEX(AX54:AX57,U54),U55,U54)</f>
        <v>1</v>
      </c>
      <c r="AZ55" s="7">
        <f>IF(INDEX(AX54:AX57,AY55)&gt;=INDEX(AX54:AX57,AY57),AY55,AY57)</f>
        <v>3</v>
      </c>
      <c r="BA55" s="13">
        <f>IF(INDEX(AX54:AX57,AZ55)&gt;=INDEX(AX54:AX57,AZ56),AZ55,AZ56)</f>
        <v>4</v>
      </c>
      <c r="BB55" s="67">
        <f>MATCH(U55,BA54:BA57,0)</f>
        <v>1</v>
      </c>
      <c r="BC55" s="102">
        <f>COUNTIF(AX54:AX57,AX55)</f>
        <v>1</v>
      </c>
      <c r="BD55" s="13" t="str">
        <f t="shared" ref="BD55:BD57" si="68">IF(BC55=1,"X","")</f>
        <v>X</v>
      </c>
      <c r="BE55" s="13">
        <f t="shared" ref="BE55:BE57" si="69">(BD55="X")*BB55</f>
        <v>1</v>
      </c>
    </row>
    <row r="56" spans="1:58" ht="15">
      <c r="A56" s="46" t="str">
        <f>Gruppenphase!E65</f>
        <v xml:space="preserve">USA </v>
      </c>
      <c r="B56" s="151">
        <f>Gruppenphase!H65</f>
        <v>2</v>
      </c>
      <c r="C56" s="151">
        <f>Gruppenphase!J65</f>
        <v>2</v>
      </c>
      <c r="D56" s="52" t="str">
        <f>Gruppenphase!G65</f>
        <v xml:space="preserve">Portugal </v>
      </c>
      <c r="G56" s="30" t="str">
        <f>Text!C35</f>
        <v>GHA</v>
      </c>
      <c r="H56" s="151">
        <f>C55</f>
        <v>1</v>
      </c>
      <c r="I56" s="151">
        <f>C58</f>
        <v>2</v>
      </c>
      <c r="J56" s="40"/>
      <c r="K56" s="41">
        <f>B54</f>
        <v>0</v>
      </c>
      <c r="N56" s="30" t="str">
        <f>Text!C35</f>
        <v>GHA</v>
      </c>
      <c r="O56" s="7">
        <f>IF(AND(ISNUMBER(H56),ISNUMBER(J54)),IF(H56&gt;J54,3,IF(H56=J54,1,0)),0)</f>
        <v>3</v>
      </c>
      <c r="P56" s="7">
        <f>IF(AND(ISNUMBER(I56),ISNUMBER(J55)),IF(I56&gt;J55,3,IF(I56=J55,1,0)),0)</f>
        <v>0</v>
      </c>
      <c r="Q56" s="55"/>
      <c r="R56" s="13">
        <f>IF(AND(ISNUMBER(K56),ISNUMBER(J57)),IF(K56&gt;J57,3,IF(K56=J57,1,0)),0)</f>
        <v>0</v>
      </c>
      <c r="U56" s="150">
        <v>3</v>
      </c>
      <c r="V56" s="16" t="s">
        <v>132</v>
      </c>
      <c r="W56" s="13">
        <f>IF(COUNT(J54:J57)=COUNT(H56:K56),COUNT(H56:K56),"")</f>
        <v>3</v>
      </c>
      <c r="X56" s="16">
        <f>O56+P56+R56</f>
        <v>3</v>
      </c>
      <c r="Y56" s="16">
        <f>H56+I56+K56</f>
        <v>3</v>
      </c>
      <c r="Z56" s="16">
        <f>J54+J55+J57</f>
        <v>10</v>
      </c>
      <c r="AA56" s="16">
        <f t="shared" si="60"/>
        <v>-7</v>
      </c>
      <c r="AD56" s="111">
        <f t="shared" si="61"/>
        <v>3</v>
      </c>
      <c r="AG56" s="102">
        <f t="shared" si="62"/>
        <v>29303</v>
      </c>
      <c r="AH56" s="16">
        <f>COUNTIF(AG54:AG57,AG56)</f>
        <v>1</v>
      </c>
      <c r="AI56" s="13" t="str">
        <f t="shared" si="63"/>
        <v>X</v>
      </c>
      <c r="AL56" s="84">
        <f>IF(AI56="X",3,IF(AG57=AG56,4,IF(AG58=AG56,1,2)))</f>
        <v>3</v>
      </c>
      <c r="AM56" s="7">
        <f>INDEX(O56:R56,1,AL56)</f>
        <v>0</v>
      </c>
      <c r="AN56" s="13">
        <f t="shared" si="64"/>
        <v>0</v>
      </c>
      <c r="AR56" s="102">
        <f>X56-INDEX(O56:R56,1,AQ53)</f>
        <v>0</v>
      </c>
      <c r="AS56" s="7">
        <f>AA56-(INDEX(H56:K56,1,AQ53)-INDEX(J55:J58,AQ53,1))</f>
        <v>1</v>
      </c>
      <c r="AT56" s="7">
        <f t="shared" si="65"/>
        <v>0</v>
      </c>
      <c r="AU56" s="13">
        <f t="shared" si="66"/>
        <v>0</v>
      </c>
      <c r="AX56" s="16">
        <f t="shared" si="67"/>
        <v>29303</v>
      </c>
      <c r="AY56" s="7">
        <f>IF(INDEX(AX54:AX57,U56)&gt;=INDEX(AX54:AX57,U57),U56,U57)</f>
        <v>4</v>
      </c>
      <c r="AZ56" s="7">
        <f>IF(INDEX(AX54:AX57,AY56)&lt;=INDEX(AX54:AX57,AY54),AY56,AY54)</f>
        <v>4</v>
      </c>
      <c r="BA56" s="13">
        <f>IF(INDEX(AX54:AX57,AZ56)&lt;=INDEX(AX54:AX57,AZ55),AZ56,AZ55)</f>
        <v>3</v>
      </c>
      <c r="BB56" s="67">
        <f>MATCH(U56,BA54:BA57,0)</f>
        <v>3</v>
      </c>
      <c r="BC56" s="102">
        <f>COUNTIF(AX54:AX57,AX56)</f>
        <v>1</v>
      </c>
      <c r="BD56" s="13" t="str">
        <f t="shared" si="68"/>
        <v>X</v>
      </c>
      <c r="BE56" s="13">
        <f t="shared" si="69"/>
        <v>3</v>
      </c>
    </row>
    <row r="57" spans="1:58" ht="15">
      <c r="A57" s="46" t="str">
        <f>Gruppenphase!E66</f>
        <v xml:space="preserve">USA </v>
      </c>
      <c r="B57" s="151">
        <f>Gruppenphase!H66</f>
        <v>2</v>
      </c>
      <c r="C57" s="151">
        <f>Gruppenphase!J66</f>
        <v>1</v>
      </c>
      <c r="D57" s="52" t="str">
        <f>Gruppenphase!G66</f>
        <v>Deutschland</v>
      </c>
      <c r="G57" s="31" t="str">
        <f>Text!C36</f>
        <v>USA</v>
      </c>
      <c r="H57" s="43">
        <f>B57</f>
        <v>2</v>
      </c>
      <c r="I57" s="43">
        <f>B56</f>
        <v>2</v>
      </c>
      <c r="J57" s="43">
        <f>C54</f>
        <v>1</v>
      </c>
      <c r="K57" s="44"/>
      <c r="N57" s="31" t="str">
        <f>Text!C36</f>
        <v>USA</v>
      </c>
      <c r="O57" s="54">
        <f>IF(AND(ISNUMBER(H57),ISNUMBER(J55)),IF(H57&gt;J55,3,IF(H57=J55,1,0)),0)</f>
        <v>0</v>
      </c>
      <c r="P57" s="54">
        <f>IF(AND(ISNUMBER(I57),ISNUMBER(K55)),IF(I57&gt;K55,3,IF(I57=K55,1,0)),0)</f>
        <v>1</v>
      </c>
      <c r="Q57" s="54">
        <f>IF(AND(ISNUMBER(J57),ISNUMBER(K56)),IF(J57&gt;K56,3,IF(J57=K56,1,0)),0)</f>
        <v>3</v>
      </c>
      <c r="R57" s="32"/>
      <c r="U57" s="150">
        <v>4</v>
      </c>
      <c r="V57" s="17" t="s">
        <v>92</v>
      </c>
      <c r="W57" s="14">
        <f>IF(COUNT(K54:K57)=COUNT(H57:K57),COUNT(H57:K57),"")</f>
        <v>3</v>
      </c>
      <c r="X57" s="17">
        <f>O57+P57+Q57</f>
        <v>4</v>
      </c>
      <c r="Y57" s="17">
        <f>H57+I57+J57</f>
        <v>5</v>
      </c>
      <c r="Z57" s="17">
        <f>K54+K55+K56</f>
        <v>3</v>
      </c>
      <c r="AA57" s="17">
        <f t="shared" si="60"/>
        <v>2</v>
      </c>
      <c r="AD57" s="111">
        <f t="shared" si="61"/>
        <v>2</v>
      </c>
      <c r="AG57" s="53">
        <f t="shared" si="62"/>
        <v>40205</v>
      </c>
      <c r="AH57" s="17">
        <f>COUNTIF(AG54:AG57,AG57)</f>
        <v>1</v>
      </c>
      <c r="AI57" s="14" t="str">
        <f t="shared" si="63"/>
        <v>X</v>
      </c>
      <c r="AL57" s="85">
        <f>IF(AI57="X",4,IF(AG54=AG57,1,IF(AG55=AG57,2,3)))</f>
        <v>4</v>
      </c>
      <c r="AM57" s="54">
        <f>INDEX(O57:R57,1,AL57)</f>
        <v>0</v>
      </c>
      <c r="AN57" s="14">
        <f t="shared" si="64"/>
        <v>0</v>
      </c>
      <c r="AR57" s="53">
        <f>X57-INDEX(O57:R57,1,AQ53)</f>
        <v>4</v>
      </c>
      <c r="AS57" s="54">
        <f>AA57-(INDEX(H57:K57,1,AQ53)-INDEX(K54:K57,AQ53,1))</f>
        <v>1</v>
      </c>
      <c r="AT57" s="54">
        <f t="shared" si="65"/>
        <v>0</v>
      </c>
      <c r="AU57" s="14">
        <f t="shared" si="66"/>
        <v>0</v>
      </c>
      <c r="AX57" s="17">
        <f t="shared" si="67"/>
        <v>40205</v>
      </c>
      <c r="AY57" s="54">
        <f>IF(INDEX(AX54:AX57,U57)&lt;=INDEX(AX54:AX57,U56),U57,U56)</f>
        <v>3</v>
      </c>
      <c r="AZ57" s="54">
        <f>IF(INDEX(AX54:AX57,AY57)&lt;=INDEX(AX54:AX57,AY55),AY57,AY55)</f>
        <v>1</v>
      </c>
      <c r="BA57" s="14">
        <f>IF(INDEX(AX54:AX57,AZ57)&lt;=INDEX(AX54:AX57,AZ54),AZ57,AZ54)</f>
        <v>1</v>
      </c>
      <c r="BB57" s="68">
        <f>MATCH(U57,BA54:BA57,0)</f>
        <v>2</v>
      </c>
      <c r="BC57" s="53">
        <f>COUNTIF(AX54:AX57,AX57)</f>
        <v>1</v>
      </c>
      <c r="BD57" s="14" t="str">
        <f t="shared" si="68"/>
        <v>X</v>
      </c>
      <c r="BE57" s="14">
        <f t="shared" si="69"/>
        <v>2</v>
      </c>
    </row>
    <row r="58" spans="1:58" ht="15">
      <c r="A58" s="47" t="s">
        <v>132</v>
      </c>
      <c r="B58" s="43">
        <v>9</v>
      </c>
      <c r="C58" s="43">
        <v>2</v>
      </c>
      <c r="D58" s="137" t="s">
        <v>57</v>
      </c>
      <c r="W58" s="21" t="b">
        <f>SUM(W54:W57)=12</f>
        <v>1</v>
      </c>
      <c r="AD58" s="131" t="str">
        <f>BF58</f>
        <v>Eindeutige Platzierung</v>
      </c>
      <c r="AE58" s="7"/>
      <c r="AG58" s="103" t="s">
        <v>217</v>
      </c>
      <c r="AH58" s="21">
        <f>MOD(MIN(AH54:AH57)*MAX(AH54:AH57),11)</f>
        <v>1</v>
      </c>
      <c r="AI58" s="2"/>
      <c r="BD58" s="21">
        <f>COUNTIF(BD54:BD57,"X")</f>
        <v>4</v>
      </c>
      <c r="BE58" s="21">
        <f>SUM(BE54:BE57)</f>
        <v>10</v>
      </c>
      <c r="BF58" s="116" t="str">
        <f>IF(W58,IF(BD58&gt;=3,"Eindeutige Platzierung",IF(AND(BD58=2,BE58=3),"zwei Teams auf Platz 3","Auswahl durch Losverfahren")),"")</f>
        <v>Eindeutige Platzierung</v>
      </c>
    </row>
    <row r="59" spans="1:58" s="56" customFormat="1" ht="15" thickBot="1">
      <c r="A59" s="136"/>
      <c r="B59" s="152"/>
      <c r="C59" s="152"/>
      <c r="D59" s="59"/>
      <c r="F59" s="58"/>
      <c r="G59" s="59"/>
      <c r="M59" s="58"/>
      <c r="N59" s="59"/>
      <c r="T59" s="58"/>
      <c r="U59" s="152"/>
      <c r="V59" s="59"/>
      <c r="AC59" s="58"/>
      <c r="AD59" s="152"/>
      <c r="AE59" s="58"/>
      <c r="AF59" s="94"/>
      <c r="AG59" s="94"/>
      <c r="AH59" s="94"/>
      <c r="AI59" s="94"/>
      <c r="AJ59" s="94"/>
      <c r="AK59" s="130"/>
      <c r="AL59" s="94"/>
      <c r="AP59" s="58"/>
      <c r="AQ59" s="152"/>
      <c r="AW59" s="58"/>
      <c r="BB59" s="152"/>
    </row>
    <row r="60" spans="1:58" ht="15.75" thickTop="1">
      <c r="A60" s="139" t="s">
        <v>238</v>
      </c>
      <c r="AC60" s="62"/>
      <c r="AD60" s="151"/>
      <c r="AM60" s="60"/>
      <c r="AN60" s="60"/>
      <c r="AP60" s="60"/>
      <c r="AQ60" s="153"/>
      <c r="AR60" s="60"/>
      <c r="AS60" s="60"/>
      <c r="AT60" s="60"/>
      <c r="AU60" s="60"/>
      <c r="AV60" s="61"/>
      <c r="AW60" s="60"/>
      <c r="AX60" s="60"/>
      <c r="AY60" s="60"/>
      <c r="AZ60" s="60"/>
      <c r="BA60" s="60"/>
      <c r="BB60" s="153"/>
      <c r="BC60" s="60"/>
      <c r="BD60" s="60"/>
      <c r="BE60" s="60"/>
      <c r="BF60" s="60"/>
    </row>
    <row r="61" spans="1:58" ht="28.5" customHeight="1">
      <c r="A61" s="49" t="str">
        <f>Gruppenphase!E71</f>
        <v xml:space="preserve">Belgein </v>
      </c>
      <c r="B61" s="149">
        <f>Gruppenphase!H71</f>
        <v>3</v>
      </c>
      <c r="C61" s="149">
        <f>Gruppenphase!J71</f>
        <v>0</v>
      </c>
      <c r="D61" s="51" t="str">
        <f>Gruppenphase!G71</f>
        <v>Algerien</v>
      </c>
      <c r="G61" s="29">
        <v>0</v>
      </c>
      <c r="H61" s="27" t="str">
        <f>Text!C38</f>
        <v>BEL</v>
      </c>
      <c r="I61" s="27" t="str">
        <f>Text!C39</f>
        <v>ALG</v>
      </c>
      <c r="J61" s="27" t="str">
        <f>Text!C40</f>
        <v>RUS</v>
      </c>
      <c r="K61" s="28" t="str">
        <f>Text!C41</f>
        <v>COR</v>
      </c>
      <c r="N61" s="141">
        <v>0</v>
      </c>
      <c r="O61" s="112" t="str">
        <f>Text!C41</f>
        <v>COR</v>
      </c>
      <c r="P61" s="112" t="str">
        <f>Text!C39</f>
        <v>ALG</v>
      </c>
      <c r="Q61" s="112" t="str">
        <f>Text!C40</f>
        <v>RUS</v>
      </c>
      <c r="R61" s="113" t="str">
        <f>Text!C41</f>
        <v>COR</v>
      </c>
      <c r="W61" s="35" t="s">
        <v>208</v>
      </c>
      <c r="X61" s="35" t="s">
        <v>207</v>
      </c>
      <c r="Y61" s="36" t="s">
        <v>204</v>
      </c>
      <c r="Z61" s="37" t="s">
        <v>206</v>
      </c>
      <c r="AA61" s="35" t="s">
        <v>205</v>
      </c>
      <c r="AQ61" s="35">
        <f>MATCH(1,AH62:AH65,0)</f>
        <v>1</v>
      </c>
    </row>
    <row r="62" spans="1:58" ht="15">
      <c r="A62" s="46" t="str">
        <f>Gruppenphase!E72</f>
        <v>Russalnd</v>
      </c>
      <c r="B62" s="151">
        <f>Gruppenphase!H72</f>
        <v>1</v>
      </c>
      <c r="C62" s="151">
        <f>Gruppenphase!J72</f>
        <v>1</v>
      </c>
      <c r="D62" s="52" t="str">
        <f>Gruppenphase!G72</f>
        <v>Suedkorea</v>
      </c>
      <c r="G62" s="29" t="str">
        <f>Text!C38</f>
        <v>BEL</v>
      </c>
      <c r="H62" s="64"/>
      <c r="I62" s="149">
        <f>B61</f>
        <v>3</v>
      </c>
      <c r="J62" s="149">
        <f>B63</f>
        <v>2</v>
      </c>
      <c r="K62" s="38">
        <f>C65</f>
        <v>2</v>
      </c>
      <c r="N62" s="29" t="str">
        <f>Text!C38</f>
        <v>BEL</v>
      </c>
      <c r="O62" s="55"/>
      <c r="P62" s="7">
        <f>IF(AND(ISNUMBER(I62),ISNUMBER(H63)),IF(I62&gt;H63,3,IF(I62=H63,1,0)),0)</f>
        <v>3</v>
      </c>
      <c r="Q62" s="7">
        <f>IF(AND(ISNUMBER(J62),ISNUMBER(H64)),IF(J62&gt;H64,3,IF(J62=H64,1,0)),0)</f>
        <v>3</v>
      </c>
      <c r="R62" s="13">
        <f>IF(AND(ISNUMBER(K62),ISNUMBER(H65)),IF(K62&gt;H65,3,IF(K62=H65,1,0)),0)</f>
        <v>3</v>
      </c>
      <c r="U62" s="150">
        <v>1</v>
      </c>
      <c r="V62" s="29" t="s">
        <v>134</v>
      </c>
      <c r="W62" s="2">
        <f>IF(COUNT(H62:H65)=COUNT(H62:K62),COUNT(H62:K62),"")</f>
        <v>3</v>
      </c>
      <c r="X62" s="15">
        <f>P62+Q62+R62</f>
        <v>9</v>
      </c>
      <c r="Y62" s="15">
        <f>I62+J62+K62</f>
        <v>7</v>
      </c>
      <c r="Z62" s="15">
        <f>H63+H64+H65</f>
        <v>1</v>
      </c>
      <c r="AA62" s="15">
        <f>Y62-Z62</f>
        <v>6</v>
      </c>
      <c r="AD62" s="110">
        <f>BB62</f>
        <v>1</v>
      </c>
      <c r="AG62" s="101">
        <f>X62*10000+AA62*100+Y62</f>
        <v>90607</v>
      </c>
      <c r="AH62" s="15">
        <f>COUNTIF(AG62:AG65,AG62)</f>
        <v>1</v>
      </c>
      <c r="AI62" s="12" t="str">
        <f>IF(AH62=1,"X","")</f>
        <v>X</v>
      </c>
      <c r="AL62" s="83">
        <f>IF(AI62="X",1,IF(AG63=AG62,2,IF(AG64=AG62,3,4)))</f>
        <v>1</v>
      </c>
      <c r="AM62" s="50">
        <f>INDEX(O62:R62,1,AL62)</f>
        <v>0</v>
      </c>
      <c r="AN62" s="12">
        <f>AM62/10</f>
        <v>0</v>
      </c>
      <c r="AR62" s="101">
        <f>X62-INDEX(O62:R62,1,AQ61)</f>
        <v>9</v>
      </c>
      <c r="AS62" s="50">
        <f>AA62-(INDEX(H62:K62,1,AQ61)-INDEX(H62:H65,AQ61,1))</f>
        <v>6</v>
      </c>
      <c r="AT62" s="50">
        <f>Y62:Y62-Y62</f>
        <v>0</v>
      </c>
      <c r="AU62" s="12">
        <f>IF(OR($AH$10&lt;&gt;3,AI62="x"),0,AR62/10+AS62/1000+AT62/100000)</f>
        <v>0</v>
      </c>
      <c r="AX62" s="15">
        <f>AG62+AN62+AU62</f>
        <v>90607</v>
      </c>
      <c r="AY62" s="50">
        <f>IF(INDEX(AX62:AX65,U62)&gt;=INDEX(AX62:AX65,U63),U62,U63)</f>
        <v>1</v>
      </c>
      <c r="AZ62" s="50">
        <f>IF(INDEX(AX62:AX65,AY62)&gt;=INDEX(AX62:AX65,AY64),AY62,AY64)</f>
        <v>1</v>
      </c>
      <c r="BA62" s="12">
        <f>IF(INDEX(AX62:AX65,AZ62)&gt;=INDEX(AX62:AX65,AZ65),AZ62,AZ65)</f>
        <v>1</v>
      </c>
      <c r="BB62" s="66">
        <f>MATCH(U62,BA62:BA65,0)</f>
        <v>1</v>
      </c>
      <c r="BC62" s="101">
        <f>COUNTIF(AX62:AX65,AX62)</f>
        <v>1</v>
      </c>
      <c r="BD62" s="12" t="str">
        <f>IF(BC62=1,"X","")</f>
        <v>X</v>
      </c>
      <c r="BE62" s="12">
        <f>(BD62="X")*BB62</f>
        <v>1</v>
      </c>
    </row>
    <row r="63" spans="1:58" ht="15">
      <c r="A63" s="46" t="str">
        <f>Gruppenphase!E73</f>
        <v xml:space="preserve">Belgein </v>
      </c>
      <c r="B63" s="151">
        <f>Gruppenphase!H73</f>
        <v>2</v>
      </c>
      <c r="C63" s="151">
        <f>Gruppenphase!J73</f>
        <v>0</v>
      </c>
      <c r="D63" s="52" t="str">
        <f>Gruppenphase!G73</f>
        <v>Russalnd</v>
      </c>
      <c r="G63" s="30" t="str">
        <f>Text!C39</f>
        <v>ALG</v>
      </c>
      <c r="H63" s="151">
        <f>C61</f>
        <v>0</v>
      </c>
      <c r="I63" s="40"/>
      <c r="J63" s="151">
        <f>B66</f>
        <v>0</v>
      </c>
      <c r="K63" s="41">
        <f>C64</f>
        <v>2</v>
      </c>
      <c r="N63" s="30" t="str">
        <f>Text!C39</f>
        <v>ALG</v>
      </c>
      <c r="O63" s="7">
        <f>IF(AND(ISNUMBER(H63),ISNUMBER(I62)),IF(H63&gt;I62,3,IF(H63=I62,1,0)),0)</f>
        <v>0</v>
      </c>
      <c r="P63" s="55"/>
      <c r="Q63" s="7">
        <f>IF(AND(ISNUMBER(J63),ISNUMBER(I64)),IF(J63&gt;I64,3,IF(J63=I64,1,0)),0)</f>
        <v>0</v>
      </c>
      <c r="R63" s="13">
        <f>IF(AND(ISNUMBER(K63),ISNUMBER(I65)),IF(K63&gt;I65,3,IF(K63=I65,1,0)),0)</f>
        <v>1</v>
      </c>
      <c r="U63" s="150">
        <v>2</v>
      </c>
      <c r="V63" s="30" t="s">
        <v>136</v>
      </c>
      <c r="W63" s="2">
        <f>IF(COUNT(I62:I65)=COUNT(H63:K63),COUNT(H63:K63),"")</f>
        <v>3</v>
      </c>
      <c r="X63" s="16">
        <f>O63+Q63+R63</f>
        <v>1</v>
      </c>
      <c r="Y63" s="16">
        <f>H63+J63+K63</f>
        <v>2</v>
      </c>
      <c r="Z63" s="16">
        <f>I62+I64+I65</f>
        <v>6</v>
      </c>
      <c r="AA63" s="16">
        <f t="shared" ref="AA63:AA65" si="70">Y63-Z63</f>
        <v>-4</v>
      </c>
      <c r="AD63" s="111">
        <f t="shared" ref="AD63:AD65" si="71">BB63</f>
        <v>4</v>
      </c>
      <c r="AG63" s="102">
        <f t="shared" ref="AG63:AG65" si="72">X63*10000+AA63*100+Y63</f>
        <v>9602</v>
      </c>
      <c r="AH63" s="16">
        <f>COUNTIF(AG62:AG65,AG63)</f>
        <v>1</v>
      </c>
      <c r="AI63" s="13" t="str">
        <f t="shared" ref="AI63:AI65" si="73">IF(AH63=1,"X","")</f>
        <v>X</v>
      </c>
      <c r="AL63" s="84">
        <f>IF(AI63="X",2,IF(AG64=AG63,3,IF(AG65=AG63,4,1)))</f>
        <v>2</v>
      </c>
      <c r="AM63" s="7">
        <f>INDEX(O63:R63,1,AL63)</f>
        <v>0</v>
      </c>
      <c r="AN63" s="13">
        <f t="shared" ref="AN63:AN65" si="74">AM63/10</f>
        <v>0</v>
      </c>
      <c r="AR63" s="102">
        <f>X63-INDEX(O63:R63,1,AQ61)</f>
        <v>1</v>
      </c>
      <c r="AS63" s="7">
        <f>AA63-(INDEX(H63:K63,1,AQ61)-INDEX(I62:I65,AQ61,1))</f>
        <v>-1</v>
      </c>
      <c r="AT63" s="7">
        <f t="shared" ref="AT63:AT65" si="75">Y63:Y63-Y63</f>
        <v>0</v>
      </c>
      <c r="AU63" s="13">
        <f t="shared" ref="AU63:AU65" si="76">IF(OR($AH$10&lt;&gt;3,AI63="x"),0,AR63/10+AS63/1000+AT63/100000)</f>
        <v>0</v>
      </c>
      <c r="AX63" s="16">
        <f t="shared" ref="AX63:AX65" si="77">AG63+AN63+AU63</f>
        <v>9602</v>
      </c>
      <c r="AY63" s="7">
        <f>IF(INDEX(AX62:AX65,U63)&lt;=INDEX(AX62:AX65,U62),U63,U62)</f>
        <v>2</v>
      </c>
      <c r="AZ63" s="7">
        <f>IF(INDEX(AX62:AX65,AY63)&gt;=INDEX(AX62:AX65,AY65),AY63,AY65)</f>
        <v>3</v>
      </c>
      <c r="BA63" s="13">
        <f>IF(INDEX(AX62:AX65,AZ63)&gt;=INDEX(AX62:AX65,AZ64),AZ63,AZ64)</f>
        <v>4</v>
      </c>
      <c r="BB63" s="67">
        <f>MATCH(U63,BA62:BA65,0)</f>
        <v>4</v>
      </c>
      <c r="BC63" s="102">
        <f>COUNTIF(AX62:AX65,AX63)</f>
        <v>1</v>
      </c>
      <c r="BD63" s="13" t="str">
        <f t="shared" ref="BD63:BD65" si="78">IF(BC63=1,"X","")</f>
        <v>X</v>
      </c>
      <c r="BE63" s="13">
        <f t="shared" ref="BE63:BE65" si="79">(BD63="X")*BB63</f>
        <v>4</v>
      </c>
    </row>
    <row r="64" spans="1:58" ht="15">
      <c r="A64" s="46" t="str">
        <f>Gruppenphase!E74</f>
        <v>Suedkorea</v>
      </c>
      <c r="B64" s="151">
        <f>Gruppenphase!H74</f>
        <v>2</v>
      </c>
      <c r="C64" s="151">
        <f>Gruppenphase!J74</f>
        <v>2</v>
      </c>
      <c r="D64" s="52" t="str">
        <f>Gruppenphase!G74</f>
        <v>Algerien</v>
      </c>
      <c r="G64" s="30" t="str">
        <f>Text!C40</f>
        <v>RUS</v>
      </c>
      <c r="H64" s="151">
        <f>C63</f>
        <v>0</v>
      </c>
      <c r="I64" s="151">
        <f>C66</f>
        <v>1</v>
      </c>
      <c r="J64" s="40"/>
      <c r="K64" s="41">
        <f>B62</f>
        <v>1</v>
      </c>
      <c r="N64" s="30" t="str">
        <f>Text!C40</f>
        <v>RUS</v>
      </c>
      <c r="O64" s="7">
        <f>IF(AND(ISNUMBER(H64),ISNUMBER(J62)),IF(H64&gt;J62,3,IF(H64=J62,1,0)),0)</f>
        <v>0</v>
      </c>
      <c r="P64" s="7">
        <f>IF(AND(ISNUMBER(I64),ISNUMBER(J63)),IF(I64&gt;J63,3,IF(I64=J63,1,0)),0)</f>
        <v>3</v>
      </c>
      <c r="Q64" s="55"/>
      <c r="R64" s="13">
        <f>IF(AND(ISNUMBER(K64),ISNUMBER(J65)),IF(K64&gt;J65,3,IF(K64=J65,1,0)),0)</f>
        <v>1</v>
      </c>
      <c r="U64" s="150">
        <v>3</v>
      </c>
      <c r="V64" s="16" t="s">
        <v>61</v>
      </c>
      <c r="W64" s="13">
        <f>IF(COUNT(J62:J65)=COUNT(H64:K64),COUNT(H64:K64),"")</f>
        <v>3</v>
      </c>
      <c r="X64" s="16">
        <f>O64+P64+R64</f>
        <v>4</v>
      </c>
      <c r="Y64" s="16">
        <f>H64+I64+K64</f>
        <v>2</v>
      </c>
      <c r="Z64" s="16">
        <f>J62+J63+J65</f>
        <v>3</v>
      </c>
      <c r="AA64" s="16">
        <f t="shared" si="70"/>
        <v>-1</v>
      </c>
      <c r="AD64" s="111">
        <f t="shared" si="71"/>
        <v>3</v>
      </c>
      <c r="AG64" s="102">
        <f t="shared" si="72"/>
        <v>39902</v>
      </c>
      <c r="AH64" s="16">
        <f>COUNTIF(AG62:AG65,AG64)</f>
        <v>1</v>
      </c>
      <c r="AI64" s="13" t="str">
        <f t="shared" si="73"/>
        <v>X</v>
      </c>
      <c r="AL64" s="84">
        <f>IF(AI64="X",3,IF(AG65=AG64,4,IF(AG66=AG64,1,2)))</f>
        <v>3</v>
      </c>
      <c r="AM64" s="7">
        <f>INDEX(O64:R64,1,AL64)</f>
        <v>0</v>
      </c>
      <c r="AN64" s="13">
        <f t="shared" si="74"/>
        <v>0</v>
      </c>
      <c r="AR64" s="102">
        <f>X64-INDEX(O64:R64,1,AQ61)</f>
        <v>4</v>
      </c>
      <c r="AS64" s="7">
        <f>AA64-(INDEX(H64:K64,1,AQ61)-INDEX(J63:J66,AQ61,1))</f>
        <v>-1</v>
      </c>
      <c r="AT64" s="7">
        <f t="shared" si="75"/>
        <v>0</v>
      </c>
      <c r="AU64" s="13">
        <f t="shared" si="76"/>
        <v>0</v>
      </c>
      <c r="AX64" s="16">
        <f t="shared" si="77"/>
        <v>39902</v>
      </c>
      <c r="AY64" s="7">
        <f>IF(INDEX(AX62:AX65,U64)&gt;=INDEX(AX62:AX65,U65),U64,U65)</f>
        <v>4</v>
      </c>
      <c r="AZ64" s="7">
        <f>IF(INDEX(AX62:AX65,AY64)&lt;=INDEX(AX62:AX65,AY62),AY64,AY62)</f>
        <v>4</v>
      </c>
      <c r="BA64" s="13">
        <f>IF(INDEX(AX62:AX65,AZ64)&lt;=INDEX(AX62:AX65,AZ63),AZ64,AZ63)</f>
        <v>3</v>
      </c>
      <c r="BB64" s="67">
        <f>MATCH(U64,BA62:BA65,0)</f>
        <v>3</v>
      </c>
      <c r="BC64" s="102">
        <f>COUNTIF(AX62:AX65,AX64)</f>
        <v>1</v>
      </c>
      <c r="BD64" s="13" t="str">
        <f t="shared" si="78"/>
        <v>X</v>
      </c>
      <c r="BE64" s="13">
        <f t="shared" si="79"/>
        <v>3</v>
      </c>
    </row>
    <row r="65" spans="1:58" ht="15">
      <c r="A65" s="46" t="str">
        <f>Gruppenphase!E75</f>
        <v>Suedkorea</v>
      </c>
      <c r="B65" s="151">
        <v>1</v>
      </c>
      <c r="C65" s="151">
        <v>2</v>
      </c>
      <c r="D65" s="52" t="s">
        <v>134</v>
      </c>
      <c r="G65" s="31" t="str">
        <f>Text!C41</f>
        <v>COR</v>
      </c>
      <c r="H65" s="43">
        <f>B65</f>
        <v>1</v>
      </c>
      <c r="I65" s="43">
        <f>B64</f>
        <v>2</v>
      </c>
      <c r="J65" s="43">
        <f>C62</f>
        <v>1</v>
      </c>
      <c r="K65" s="44"/>
      <c r="N65" s="31" t="str">
        <f>Text!C41</f>
        <v>COR</v>
      </c>
      <c r="O65" s="54">
        <f>IF(AND(ISNUMBER(H65),ISNUMBER(J63)),IF(H65&gt;J63,3,IF(H65=J63,1,0)),0)</f>
        <v>3</v>
      </c>
      <c r="P65" s="54">
        <f>IF(AND(ISNUMBER(I65),ISNUMBER(K63)),IF(I65&gt;K63,3,IF(I65=K63,1,0)),0)</f>
        <v>1</v>
      </c>
      <c r="Q65" s="54">
        <f>IF(AND(ISNUMBER(J65),ISNUMBER(K64)),IF(J65&gt;K64,3,IF(J65=K64,1,0)),0)</f>
        <v>1</v>
      </c>
      <c r="R65" s="32"/>
      <c r="U65" s="150">
        <v>4</v>
      </c>
      <c r="V65" s="17" t="s">
        <v>241</v>
      </c>
      <c r="W65" s="14">
        <f>IF(COUNT(K62:K65)=COUNT(H65:K65),COUNT(H65:K65),"")</f>
        <v>3</v>
      </c>
      <c r="X65" s="17">
        <f>O65+P65+Q65</f>
        <v>5</v>
      </c>
      <c r="Y65" s="17">
        <f>H65+I65+J65</f>
        <v>4</v>
      </c>
      <c r="Z65" s="17">
        <f>K62+K63+K64</f>
        <v>5</v>
      </c>
      <c r="AA65" s="17">
        <f t="shared" si="70"/>
        <v>-1</v>
      </c>
      <c r="AD65" s="111">
        <f t="shared" si="71"/>
        <v>2</v>
      </c>
      <c r="AG65" s="53">
        <f t="shared" si="72"/>
        <v>49904</v>
      </c>
      <c r="AH65" s="17">
        <f>COUNTIF(AG62:AG65,AG65)</f>
        <v>1</v>
      </c>
      <c r="AI65" s="14" t="str">
        <f t="shared" si="73"/>
        <v>X</v>
      </c>
      <c r="AL65" s="85">
        <f>IF(AI65="X",4,IF(AG62=AG65,1,IF(AG63=AG65,2,3)))</f>
        <v>4</v>
      </c>
      <c r="AM65" s="54">
        <f>INDEX(O65:R65,1,AL65)</f>
        <v>0</v>
      </c>
      <c r="AN65" s="14">
        <f t="shared" si="74"/>
        <v>0</v>
      </c>
      <c r="AR65" s="53">
        <f>X65-INDEX(O65:R65,1,AQ61)</f>
        <v>2</v>
      </c>
      <c r="AS65" s="54">
        <f>AA65-(INDEX(H65:K65,1,AQ61)-INDEX(K62:K65,AQ61,1))</f>
        <v>0</v>
      </c>
      <c r="AT65" s="54">
        <f t="shared" si="75"/>
        <v>0</v>
      </c>
      <c r="AU65" s="14">
        <f t="shared" si="76"/>
        <v>0</v>
      </c>
      <c r="AX65" s="17">
        <f t="shared" si="77"/>
        <v>49904</v>
      </c>
      <c r="AY65" s="54">
        <f>IF(INDEX(AX62:AX65,U65)&lt;=INDEX(AX62:AX65,U64),U65,U64)</f>
        <v>3</v>
      </c>
      <c r="AZ65" s="54">
        <f>IF(INDEX(AX62:AX65,AY65)&lt;=INDEX(AX62:AX65,AY63),AY65,AY63)</f>
        <v>2</v>
      </c>
      <c r="BA65" s="14">
        <f>IF(INDEX(AX62:AX65,AZ65)&lt;=INDEX(AX62:AX65,AZ62),AZ65,AZ62)</f>
        <v>2</v>
      </c>
      <c r="BB65" s="68">
        <f>MATCH(U65,BA62:BA65,0)</f>
        <v>2</v>
      </c>
      <c r="BC65" s="53">
        <f>COUNTIF(AX62:AX65,AX65)</f>
        <v>1</v>
      </c>
      <c r="BD65" s="14" t="str">
        <f t="shared" si="78"/>
        <v>X</v>
      </c>
      <c r="BE65" s="14">
        <f t="shared" si="79"/>
        <v>2</v>
      </c>
    </row>
    <row r="66" spans="1:58" ht="15">
      <c r="A66" s="47" t="s">
        <v>235</v>
      </c>
      <c r="B66" s="43">
        <v>0</v>
      </c>
      <c r="C66" s="43">
        <v>1</v>
      </c>
      <c r="D66" s="137" t="s">
        <v>136</v>
      </c>
      <c r="W66" s="21" t="b">
        <f>SUM(W62:W65)=12</f>
        <v>1</v>
      </c>
      <c r="AD66" s="131" t="str">
        <f>BF66</f>
        <v>Eindeutige Platzierung</v>
      </c>
      <c r="AE66" s="7"/>
      <c r="AG66" s="103" t="s">
        <v>217</v>
      </c>
      <c r="AH66" s="21">
        <f>MOD(MIN(AH62:AH65)*MAX(AH62:AH65),11)</f>
        <v>1</v>
      </c>
      <c r="AI66" s="2"/>
      <c r="BD66" s="21">
        <f>COUNTIF(BD62:BD65,"X")</f>
        <v>4</v>
      </c>
      <c r="BE66" s="21">
        <f>SUM(BE62:BE65)</f>
        <v>10</v>
      </c>
      <c r="BF66" s="116" t="str">
        <f>IF(W66,IF(BD66&gt;=3,"Eindeutige Platzierung",IF(AND(BD66=2,BE66=3),"zwei Teams auf Platz 3","Auswahl durch Losverfahren")),"")</f>
        <v>Eindeutige Platzierung</v>
      </c>
    </row>
    <row r="67" spans="1:58" s="56" customFormat="1" ht="15" thickBot="1">
      <c r="A67" s="136"/>
      <c r="B67" s="152"/>
      <c r="C67" s="152"/>
      <c r="D67" s="59"/>
      <c r="E67" s="57"/>
      <c r="F67" s="58"/>
      <c r="G67" s="59"/>
      <c r="M67" s="58"/>
      <c r="N67" s="59"/>
      <c r="T67" s="58"/>
      <c r="U67" s="152"/>
      <c r="V67" s="59"/>
      <c r="AC67" s="58"/>
      <c r="AD67" s="152"/>
      <c r="AE67" s="58"/>
      <c r="AF67" s="94"/>
      <c r="AG67" s="94"/>
      <c r="AH67" s="94"/>
      <c r="AI67" s="94"/>
      <c r="AJ67" s="94"/>
      <c r="AK67" s="130"/>
      <c r="AL67" s="94"/>
      <c r="AP67" s="58"/>
      <c r="AQ67" s="152"/>
      <c r="AW67" s="58"/>
      <c r="BB67" s="152"/>
    </row>
    <row r="68" spans="1:58" ht="15" thickTop="1"/>
  </sheetData>
  <sheetProtection formatCells="0" formatColumns="0" formatRows="0" insertColumns="0" insertRows="0" insertHyperlinks="0" deleteColumns="0" deleteRows="0" sort="0" autoFilter="0" pivotTables="0"/>
  <mergeCells count="8">
    <mergeCell ref="BC3:BE3"/>
    <mergeCell ref="AW1:BE1"/>
    <mergeCell ref="A1:E1"/>
    <mergeCell ref="AP1:AV1"/>
    <mergeCell ref="AR3:AS3"/>
    <mergeCell ref="AE1:AJ1"/>
    <mergeCell ref="AC1:AD1"/>
    <mergeCell ref="AK1:AO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F107"/>
  <sheetViews>
    <sheetView topLeftCell="A40" zoomScale="96" zoomScaleNormal="96" workbookViewId="0">
      <selection activeCell="E64" sqref="E64"/>
    </sheetView>
  </sheetViews>
  <sheetFormatPr defaultColWidth="11.42578125" defaultRowHeight="15"/>
  <cols>
    <col min="1" max="1" width="11.42578125" style="1"/>
    <col min="2" max="2" width="20.7109375" style="1" customWidth="1"/>
    <col min="3" max="3" width="16.5703125" style="1" customWidth="1"/>
    <col min="4" max="6" width="19.140625" style="1" customWidth="1"/>
    <col min="8" max="8" width="15.28515625" customWidth="1"/>
    <col min="9" max="9" width="17.5703125" customWidth="1"/>
  </cols>
  <sheetData>
    <row r="1" spans="1:3">
      <c r="B1" s="8" t="s">
        <v>63</v>
      </c>
      <c r="C1" s="8" t="s">
        <v>64</v>
      </c>
    </row>
    <row r="3" spans="1:3">
      <c r="A3" s="1" t="s">
        <v>0</v>
      </c>
      <c r="B3" s="1" t="s">
        <v>32</v>
      </c>
      <c r="C3" s="1" t="s">
        <v>65</v>
      </c>
    </row>
    <row r="4" spans="1:3">
      <c r="A4" s="1" t="s">
        <v>1</v>
      </c>
      <c r="B4" s="1" t="s">
        <v>33</v>
      </c>
      <c r="C4" s="1" t="s">
        <v>66</v>
      </c>
    </row>
    <row r="5" spans="1:3">
      <c r="A5" s="1" t="s">
        <v>2</v>
      </c>
      <c r="B5" s="1" t="s">
        <v>34</v>
      </c>
      <c r="C5" s="1" t="s">
        <v>67</v>
      </c>
    </row>
    <row r="6" spans="1:3">
      <c r="A6" s="1" t="s">
        <v>3</v>
      </c>
      <c r="B6" s="1" t="s">
        <v>35</v>
      </c>
      <c r="C6" s="1" t="s">
        <v>68</v>
      </c>
    </row>
    <row r="8" spans="1:3">
      <c r="A8" s="1" t="s">
        <v>4</v>
      </c>
      <c r="B8" s="1" t="s">
        <v>36</v>
      </c>
      <c r="C8" s="1" t="s">
        <v>69</v>
      </c>
    </row>
    <row r="9" spans="1:3">
      <c r="A9" s="1" t="s">
        <v>5</v>
      </c>
      <c r="B9" s="1" t="s">
        <v>37</v>
      </c>
      <c r="C9" s="1" t="s">
        <v>70</v>
      </c>
    </row>
    <row r="10" spans="1:3">
      <c r="A10" s="1" t="s">
        <v>6</v>
      </c>
      <c r="B10" s="1" t="s">
        <v>38</v>
      </c>
      <c r="C10" s="1" t="s">
        <v>71</v>
      </c>
    </row>
    <row r="11" spans="1:3">
      <c r="A11" s="1" t="s">
        <v>7</v>
      </c>
      <c r="B11" s="1" t="s">
        <v>39</v>
      </c>
      <c r="C11" s="1" t="s">
        <v>72</v>
      </c>
    </row>
    <row r="13" spans="1:3">
      <c r="A13" s="1" t="s">
        <v>8</v>
      </c>
      <c r="B13" s="1" t="s">
        <v>40</v>
      </c>
      <c r="C13" s="1" t="s">
        <v>73</v>
      </c>
    </row>
    <row r="14" spans="1:3">
      <c r="A14" s="1" t="s">
        <v>9</v>
      </c>
      <c r="B14" s="1" t="s">
        <v>41</v>
      </c>
      <c r="C14" s="1" t="s">
        <v>74</v>
      </c>
    </row>
    <row r="15" spans="1:3">
      <c r="A15" s="1" t="s">
        <v>10</v>
      </c>
      <c r="B15" s="1" t="s">
        <v>240</v>
      </c>
      <c r="C15" s="1" t="s">
        <v>75</v>
      </c>
    </row>
    <row r="16" spans="1:3">
      <c r="A16" s="1" t="s">
        <v>11</v>
      </c>
      <c r="B16" s="1" t="s">
        <v>42</v>
      </c>
      <c r="C16" s="1" t="s">
        <v>76</v>
      </c>
    </row>
    <row r="18" spans="1:3">
      <c r="A18" s="1" t="s">
        <v>12</v>
      </c>
      <c r="B18" s="1" t="s">
        <v>43</v>
      </c>
      <c r="C18" s="1" t="s">
        <v>77</v>
      </c>
    </row>
    <row r="19" spans="1:3">
      <c r="A19" s="1" t="s">
        <v>13</v>
      </c>
      <c r="B19" s="1" t="s">
        <v>44</v>
      </c>
      <c r="C19" s="1" t="s">
        <v>80</v>
      </c>
    </row>
    <row r="20" spans="1:3">
      <c r="A20" s="1" t="s">
        <v>14</v>
      </c>
      <c r="B20" s="1" t="s">
        <v>45</v>
      </c>
      <c r="C20" s="1" t="s">
        <v>78</v>
      </c>
    </row>
    <row r="21" spans="1:3">
      <c r="A21" s="1" t="s">
        <v>15</v>
      </c>
      <c r="B21" s="1" t="s">
        <v>46</v>
      </c>
      <c r="C21" s="1" t="s">
        <v>79</v>
      </c>
    </row>
    <row r="23" spans="1:3">
      <c r="A23" s="1" t="s">
        <v>16</v>
      </c>
      <c r="B23" s="1" t="s">
        <v>47</v>
      </c>
      <c r="C23" s="1" t="s">
        <v>81</v>
      </c>
    </row>
    <row r="24" spans="1:3">
      <c r="A24" s="1" t="s">
        <v>17</v>
      </c>
      <c r="B24" s="1" t="s">
        <v>48</v>
      </c>
      <c r="C24" s="1" t="s">
        <v>83</v>
      </c>
    </row>
    <row r="25" spans="1:3">
      <c r="A25" s="1" t="s">
        <v>18</v>
      </c>
      <c r="B25" s="1" t="s">
        <v>49</v>
      </c>
      <c r="C25" s="1" t="s">
        <v>82</v>
      </c>
    </row>
    <row r="26" spans="1:3">
      <c r="A26" s="1" t="s">
        <v>19</v>
      </c>
      <c r="B26" s="1" t="s">
        <v>50</v>
      </c>
      <c r="C26" s="1" t="s">
        <v>84</v>
      </c>
    </row>
    <row r="28" spans="1:3">
      <c r="A28" s="1" t="s">
        <v>20</v>
      </c>
      <c r="B28" s="1" t="s">
        <v>51</v>
      </c>
      <c r="C28" s="1" t="s">
        <v>85</v>
      </c>
    </row>
    <row r="29" spans="1:3">
      <c r="A29" s="1" t="s">
        <v>21</v>
      </c>
      <c r="B29" s="1" t="s">
        <v>52</v>
      </c>
      <c r="C29" s="1" t="s">
        <v>86</v>
      </c>
    </row>
    <row r="30" spans="1:3">
      <c r="A30" s="1" t="s">
        <v>22</v>
      </c>
      <c r="B30" s="1" t="s">
        <v>53</v>
      </c>
      <c r="C30" s="1" t="s">
        <v>87</v>
      </c>
    </row>
    <row r="31" spans="1:3">
      <c r="A31" s="1" t="s">
        <v>23</v>
      </c>
      <c r="B31" s="1" t="s">
        <v>54</v>
      </c>
      <c r="C31" s="1" t="s">
        <v>88</v>
      </c>
    </row>
    <row r="33" spans="1:6">
      <c r="A33" s="1" t="s">
        <v>24</v>
      </c>
      <c r="B33" s="1" t="s">
        <v>55</v>
      </c>
      <c r="C33" s="1" t="s">
        <v>89</v>
      </c>
    </row>
    <row r="34" spans="1:6">
      <c r="A34" s="1" t="s">
        <v>25</v>
      </c>
      <c r="B34" s="1" t="s">
        <v>56</v>
      </c>
      <c r="C34" s="1" t="s">
        <v>90</v>
      </c>
    </row>
    <row r="35" spans="1:6">
      <c r="A35" s="1" t="s">
        <v>26</v>
      </c>
      <c r="B35" s="1" t="s">
        <v>57</v>
      </c>
      <c r="C35" s="1" t="s">
        <v>91</v>
      </c>
    </row>
    <row r="36" spans="1:6">
      <c r="A36" s="1" t="s">
        <v>27</v>
      </c>
      <c r="B36" s="1" t="s">
        <v>58</v>
      </c>
      <c r="C36" s="1" t="s">
        <v>92</v>
      </c>
    </row>
    <row r="38" spans="1:6">
      <c r="A38" s="1" t="s">
        <v>28</v>
      </c>
      <c r="B38" s="1" t="s">
        <v>59</v>
      </c>
      <c r="C38" s="1" t="s">
        <v>93</v>
      </c>
    </row>
    <row r="39" spans="1:6">
      <c r="A39" s="1" t="s">
        <v>29</v>
      </c>
      <c r="B39" s="1" t="s">
        <v>61</v>
      </c>
      <c r="C39" s="1" t="s">
        <v>94</v>
      </c>
    </row>
    <row r="40" spans="1:6">
      <c r="A40" s="1" t="s">
        <v>30</v>
      </c>
      <c r="B40" s="1" t="s">
        <v>60</v>
      </c>
      <c r="C40" s="1" t="s">
        <v>95</v>
      </c>
    </row>
    <row r="41" spans="1:6">
      <c r="A41" s="1" t="s">
        <v>31</v>
      </c>
      <c r="B41" s="1" t="s">
        <v>241</v>
      </c>
      <c r="C41" s="1" t="s">
        <v>96</v>
      </c>
    </row>
    <row r="44" spans="1:6">
      <c r="A44" s="1">
        <v>1</v>
      </c>
      <c r="B44" s="1" t="s">
        <v>120</v>
      </c>
      <c r="C44" s="9">
        <v>0.91666666666666663</v>
      </c>
      <c r="D44" s="1" t="s">
        <v>32</v>
      </c>
      <c r="E44" s="1" t="s">
        <v>33</v>
      </c>
      <c r="F44" s="1" t="s">
        <v>242</v>
      </c>
    </row>
    <row r="45" spans="1:6">
      <c r="A45" s="1">
        <v>2</v>
      </c>
      <c r="B45" s="1" t="s">
        <v>121</v>
      </c>
      <c r="C45" s="9">
        <v>0.75</v>
      </c>
      <c r="D45" s="1" t="s">
        <v>34</v>
      </c>
      <c r="E45" s="1" t="s">
        <v>122</v>
      </c>
      <c r="F45" s="1" t="s">
        <v>110</v>
      </c>
    </row>
    <row r="46" spans="1:6">
      <c r="A46" s="1">
        <v>3</v>
      </c>
      <c r="B46" s="1" t="s">
        <v>121</v>
      </c>
      <c r="C46" s="9">
        <v>0.875</v>
      </c>
      <c r="D46" s="1" t="s">
        <v>123</v>
      </c>
      <c r="E46" s="1" t="s">
        <v>37</v>
      </c>
      <c r="F46" s="1" t="s">
        <v>114</v>
      </c>
    </row>
    <row r="47" spans="1:6">
      <c r="A47" s="1">
        <v>4</v>
      </c>
      <c r="B47" s="1" t="s">
        <v>124</v>
      </c>
      <c r="C47" s="9">
        <v>0</v>
      </c>
      <c r="D47" s="1" t="s">
        <v>125</v>
      </c>
      <c r="E47" s="1" t="s">
        <v>39</v>
      </c>
      <c r="F47" s="1" t="s">
        <v>243</v>
      </c>
    </row>
    <row r="48" spans="1:6">
      <c r="A48" s="1">
        <v>5</v>
      </c>
      <c r="B48" s="1" t="s">
        <v>124</v>
      </c>
      <c r="C48" s="9">
        <v>0.75</v>
      </c>
      <c r="D48" s="1" t="s">
        <v>40</v>
      </c>
      <c r="E48" s="1" t="s">
        <v>126</v>
      </c>
      <c r="F48" s="1" t="s">
        <v>119</v>
      </c>
    </row>
    <row r="49" spans="1:6">
      <c r="A49" s="1">
        <v>6</v>
      </c>
      <c r="B49" s="1" t="s">
        <v>127</v>
      </c>
      <c r="C49" s="9">
        <v>0.125</v>
      </c>
      <c r="D49" s="1" t="s">
        <v>244</v>
      </c>
      <c r="E49" s="1" t="s">
        <v>42</v>
      </c>
      <c r="F49" s="1" t="s">
        <v>113</v>
      </c>
    </row>
    <row r="50" spans="1:6">
      <c r="A50" s="1">
        <v>7</v>
      </c>
      <c r="B50" s="1" t="s">
        <v>124</v>
      </c>
      <c r="C50" s="9">
        <v>0.875</v>
      </c>
      <c r="D50" s="1" t="s">
        <v>43</v>
      </c>
      <c r="E50" s="1" t="s">
        <v>44</v>
      </c>
      <c r="F50" s="1" t="s">
        <v>111</v>
      </c>
    </row>
    <row r="51" spans="1:6">
      <c r="A51" s="1">
        <v>8</v>
      </c>
      <c r="B51" s="1" t="s">
        <v>127</v>
      </c>
      <c r="C51" s="9">
        <v>0</v>
      </c>
      <c r="D51" s="1" t="s">
        <v>128</v>
      </c>
      <c r="E51" s="1" t="s">
        <v>46</v>
      </c>
      <c r="F51" s="1" t="s">
        <v>112</v>
      </c>
    </row>
    <row r="52" spans="1:6">
      <c r="A52" s="1">
        <v>9</v>
      </c>
      <c r="B52" s="1" t="s">
        <v>129</v>
      </c>
      <c r="C52" s="9">
        <v>0.75</v>
      </c>
      <c r="D52" s="1" t="s">
        <v>47</v>
      </c>
      <c r="E52" s="1" t="s">
        <v>48</v>
      </c>
      <c r="F52" s="1" t="s">
        <v>245</v>
      </c>
    </row>
    <row r="53" spans="1:6">
      <c r="A53" s="1">
        <v>10</v>
      </c>
      <c r="B53" s="1" t="s">
        <v>127</v>
      </c>
      <c r="C53" s="9">
        <v>0.875</v>
      </c>
      <c r="D53" s="1" t="s">
        <v>49</v>
      </c>
      <c r="E53" s="1" t="s">
        <v>50</v>
      </c>
      <c r="F53" s="1" t="s">
        <v>116</v>
      </c>
    </row>
    <row r="54" spans="1:6">
      <c r="A54" s="1">
        <v>11</v>
      </c>
      <c r="B54" s="1" t="s">
        <v>130</v>
      </c>
      <c r="C54" s="9">
        <v>0</v>
      </c>
      <c r="D54" s="1" t="s">
        <v>51</v>
      </c>
      <c r="E54" s="1" t="s">
        <v>131</v>
      </c>
      <c r="F54" s="1" t="s">
        <v>115</v>
      </c>
    </row>
    <row r="55" spans="1:6">
      <c r="A55" s="1">
        <v>12</v>
      </c>
      <c r="B55" s="1" t="s">
        <v>130</v>
      </c>
      <c r="C55" s="9">
        <v>0.875</v>
      </c>
      <c r="D55" s="1" t="s">
        <v>53</v>
      </c>
      <c r="E55" s="1" t="s">
        <v>54</v>
      </c>
      <c r="F55" s="1" t="s">
        <v>117</v>
      </c>
    </row>
    <row r="56" spans="1:6">
      <c r="A56" s="1">
        <v>13</v>
      </c>
      <c r="B56" s="1" t="s">
        <v>130</v>
      </c>
      <c r="C56" s="9">
        <v>0.75</v>
      </c>
      <c r="D56" s="1" t="s">
        <v>55</v>
      </c>
      <c r="E56" s="1" t="s">
        <v>132</v>
      </c>
      <c r="F56" s="1" t="s">
        <v>114</v>
      </c>
    </row>
    <row r="57" spans="1:6">
      <c r="A57" s="1">
        <v>14</v>
      </c>
      <c r="B57" s="1" t="s">
        <v>133</v>
      </c>
      <c r="C57" s="9">
        <v>0</v>
      </c>
      <c r="D57" s="1" t="s">
        <v>57</v>
      </c>
      <c r="E57" s="1" t="s">
        <v>92</v>
      </c>
      <c r="F57" s="1" t="s">
        <v>110</v>
      </c>
    </row>
    <row r="58" spans="1:6">
      <c r="A58" s="1">
        <v>15</v>
      </c>
      <c r="B58" s="1" t="s">
        <v>133</v>
      </c>
      <c r="C58" s="9">
        <v>0.75</v>
      </c>
      <c r="D58" s="1" t="s">
        <v>134</v>
      </c>
      <c r="E58" s="1" t="s">
        <v>61</v>
      </c>
      <c r="F58" s="1" t="s">
        <v>119</v>
      </c>
    </row>
    <row r="59" spans="1:6">
      <c r="A59" s="1">
        <v>16</v>
      </c>
      <c r="B59" s="1" t="s">
        <v>135</v>
      </c>
      <c r="C59" s="9">
        <v>0</v>
      </c>
      <c r="D59" s="1" t="s">
        <v>136</v>
      </c>
      <c r="E59" s="1" t="s">
        <v>241</v>
      </c>
      <c r="F59" s="1" t="s">
        <v>243</v>
      </c>
    </row>
    <row r="60" spans="1:6">
      <c r="A60" s="1">
        <v>17</v>
      </c>
      <c r="B60" s="1" t="s">
        <v>133</v>
      </c>
      <c r="C60" s="9">
        <v>0.875</v>
      </c>
      <c r="D60" s="1" t="s">
        <v>32</v>
      </c>
      <c r="E60" s="1" t="s">
        <v>34</v>
      </c>
      <c r="F60" s="1" t="s">
        <v>111</v>
      </c>
    </row>
    <row r="61" spans="1:6">
      <c r="A61" s="1">
        <v>18</v>
      </c>
      <c r="B61" s="1" t="s">
        <v>137</v>
      </c>
      <c r="C61" s="9">
        <v>0</v>
      </c>
      <c r="D61" s="1" t="s">
        <v>122</v>
      </c>
      <c r="E61" s="1" t="s">
        <v>33</v>
      </c>
      <c r="F61" s="1" t="s">
        <v>112</v>
      </c>
    </row>
    <row r="62" spans="1:6">
      <c r="A62" s="1">
        <v>19</v>
      </c>
      <c r="B62" s="1" t="s">
        <v>135</v>
      </c>
      <c r="C62" s="9">
        <v>0.875</v>
      </c>
      <c r="D62" s="1" t="s">
        <v>123</v>
      </c>
      <c r="E62" s="1" t="s">
        <v>125</v>
      </c>
      <c r="F62" s="1" t="s">
        <v>115</v>
      </c>
    </row>
    <row r="63" spans="1:6">
      <c r="A63" s="1">
        <v>20</v>
      </c>
      <c r="B63" s="1" t="s">
        <v>135</v>
      </c>
      <c r="C63" s="9">
        <v>0.75</v>
      </c>
      <c r="D63" s="1" t="s">
        <v>39</v>
      </c>
      <c r="E63" s="1" t="s">
        <v>37</v>
      </c>
      <c r="F63" s="1" t="s">
        <v>116</v>
      </c>
    </row>
    <row r="64" spans="1:6">
      <c r="A64" s="1">
        <v>21</v>
      </c>
      <c r="B64" s="1" t="s">
        <v>137</v>
      </c>
      <c r="C64" s="9">
        <v>0.75</v>
      </c>
      <c r="D64" s="1" t="s">
        <v>40</v>
      </c>
      <c r="E64" s="1" t="s">
        <v>244</v>
      </c>
      <c r="F64" s="1" t="s">
        <v>245</v>
      </c>
    </row>
    <row r="65" spans="1:6">
      <c r="A65" s="1">
        <v>22</v>
      </c>
      <c r="B65" s="1" t="s">
        <v>138</v>
      </c>
      <c r="C65" s="9">
        <v>0</v>
      </c>
      <c r="D65" s="1" t="s">
        <v>42</v>
      </c>
      <c r="E65" s="1" t="s">
        <v>126</v>
      </c>
      <c r="F65" s="1" t="s">
        <v>110</v>
      </c>
    </row>
    <row r="66" spans="1:6">
      <c r="A66" s="1">
        <v>23</v>
      </c>
      <c r="B66" s="1" t="s">
        <v>137</v>
      </c>
      <c r="C66" s="9">
        <v>0.875</v>
      </c>
      <c r="D66" s="1" t="s">
        <v>43</v>
      </c>
      <c r="E66" s="1" t="s">
        <v>128</v>
      </c>
      <c r="F66" s="1" t="s">
        <v>242</v>
      </c>
    </row>
    <row r="67" spans="1:6">
      <c r="A67" s="1">
        <v>24</v>
      </c>
      <c r="B67" s="1" t="s">
        <v>138</v>
      </c>
      <c r="C67" s="9">
        <v>0.75</v>
      </c>
      <c r="D67" s="1" t="s">
        <v>46</v>
      </c>
      <c r="E67" s="1" t="s">
        <v>44</v>
      </c>
      <c r="F67" s="1" t="s">
        <v>113</v>
      </c>
    </row>
    <row r="68" spans="1:6">
      <c r="A68" s="1">
        <v>25</v>
      </c>
      <c r="B68" s="1" t="s">
        <v>138</v>
      </c>
      <c r="C68" s="9">
        <v>0.875</v>
      </c>
      <c r="D68" s="1" t="s">
        <v>47</v>
      </c>
      <c r="E68" s="1" t="s">
        <v>49</v>
      </c>
      <c r="F68" s="1" t="s">
        <v>114</v>
      </c>
    </row>
    <row r="69" spans="1:6">
      <c r="A69" s="1">
        <v>26</v>
      </c>
      <c r="B69" s="1" t="s">
        <v>139</v>
      </c>
      <c r="C69" s="9">
        <v>0</v>
      </c>
      <c r="D69" s="1" t="s">
        <v>50</v>
      </c>
      <c r="E69" s="1" t="s">
        <v>48</v>
      </c>
      <c r="F69" s="1" t="s">
        <v>117</v>
      </c>
    </row>
    <row r="70" spans="1:6">
      <c r="A70" s="1">
        <v>27</v>
      </c>
      <c r="B70" s="1" t="s">
        <v>139</v>
      </c>
      <c r="C70" s="9">
        <v>0.75</v>
      </c>
      <c r="D70" s="1" t="s">
        <v>51</v>
      </c>
      <c r="E70" s="1" t="s">
        <v>53</v>
      </c>
      <c r="F70" s="1" t="s">
        <v>119</v>
      </c>
    </row>
    <row r="71" spans="1:6">
      <c r="A71" s="1">
        <v>28</v>
      </c>
      <c r="B71" s="1" t="s">
        <v>140</v>
      </c>
      <c r="C71" s="9">
        <v>0</v>
      </c>
      <c r="D71" s="1" t="s">
        <v>54</v>
      </c>
      <c r="E71" s="1" t="s">
        <v>131</v>
      </c>
      <c r="F71" s="1" t="s">
        <v>243</v>
      </c>
    </row>
    <row r="72" spans="1:6">
      <c r="A72" s="1">
        <v>29</v>
      </c>
      <c r="B72" s="1" t="s">
        <v>139</v>
      </c>
      <c r="C72" s="9">
        <v>0.875</v>
      </c>
      <c r="D72" s="1" t="s">
        <v>55</v>
      </c>
      <c r="E72" s="1" t="s">
        <v>57</v>
      </c>
      <c r="F72" s="1" t="s">
        <v>111</v>
      </c>
    </row>
    <row r="73" spans="1:6">
      <c r="A73" s="1">
        <v>30</v>
      </c>
      <c r="B73" s="1" t="s">
        <v>141</v>
      </c>
      <c r="C73" s="9">
        <v>0</v>
      </c>
      <c r="D73" s="1" t="s">
        <v>92</v>
      </c>
      <c r="E73" s="1" t="s">
        <v>132</v>
      </c>
      <c r="F73" s="1" t="s">
        <v>112</v>
      </c>
    </row>
    <row r="74" spans="1:6">
      <c r="A74" s="1">
        <v>31</v>
      </c>
      <c r="B74" s="1" t="s">
        <v>140</v>
      </c>
      <c r="C74" s="9">
        <v>0.75</v>
      </c>
      <c r="D74" s="1" t="s">
        <v>134</v>
      </c>
      <c r="E74" s="1" t="s">
        <v>136</v>
      </c>
      <c r="F74" s="1" t="s">
        <v>142</v>
      </c>
    </row>
    <row r="75" spans="1:6">
      <c r="A75" s="1">
        <v>32</v>
      </c>
      <c r="B75" s="1" t="s">
        <v>140</v>
      </c>
      <c r="C75" s="9">
        <v>0.875</v>
      </c>
      <c r="D75" s="1" t="s">
        <v>241</v>
      </c>
      <c r="E75" s="1" t="s">
        <v>61</v>
      </c>
      <c r="F75" s="1" t="s">
        <v>116</v>
      </c>
    </row>
    <row r="76" spans="1:6">
      <c r="A76" s="1">
        <v>33</v>
      </c>
      <c r="B76" s="1" t="s">
        <v>141</v>
      </c>
      <c r="C76" s="9">
        <v>0.91666666666666663</v>
      </c>
      <c r="D76" s="1" t="s">
        <v>122</v>
      </c>
      <c r="E76" s="1" t="s">
        <v>32</v>
      </c>
      <c r="F76" s="1" t="s">
        <v>245</v>
      </c>
    </row>
    <row r="77" spans="1:6">
      <c r="A77" s="1">
        <v>34</v>
      </c>
      <c r="B77" s="1" t="s">
        <v>141</v>
      </c>
      <c r="C77" s="9">
        <v>0.91666666666666663</v>
      </c>
      <c r="D77" s="1" t="s">
        <v>33</v>
      </c>
      <c r="E77" s="1" t="s">
        <v>34</v>
      </c>
      <c r="F77" s="1" t="s">
        <v>113</v>
      </c>
    </row>
    <row r="78" spans="1:6">
      <c r="A78" s="1">
        <v>35</v>
      </c>
      <c r="B78" s="1" t="s">
        <v>141</v>
      </c>
      <c r="C78" s="9">
        <v>0.75</v>
      </c>
      <c r="D78" s="1" t="s">
        <v>39</v>
      </c>
      <c r="E78" s="1" t="s">
        <v>123</v>
      </c>
      <c r="F78" s="1" t="s">
        <v>117</v>
      </c>
    </row>
    <row r="79" spans="1:6">
      <c r="A79" s="1">
        <v>36</v>
      </c>
      <c r="B79" s="1" t="s">
        <v>141</v>
      </c>
      <c r="C79" s="9">
        <v>0.75</v>
      </c>
      <c r="D79" s="1" t="s">
        <v>37</v>
      </c>
      <c r="E79" s="1" t="s">
        <v>125</v>
      </c>
      <c r="F79" s="1" t="s">
        <v>242</v>
      </c>
    </row>
    <row r="80" spans="1:6">
      <c r="A80" s="1">
        <v>37</v>
      </c>
      <c r="B80" s="1" t="s">
        <v>143</v>
      </c>
      <c r="C80" s="9">
        <v>0.91666666666666663</v>
      </c>
      <c r="D80" s="1" t="s">
        <v>42</v>
      </c>
      <c r="E80" s="1" t="s">
        <v>40</v>
      </c>
      <c r="F80" s="1" t="s">
        <v>243</v>
      </c>
    </row>
    <row r="81" spans="1:6">
      <c r="A81" s="1">
        <v>38</v>
      </c>
      <c r="B81" s="1" t="s">
        <v>143</v>
      </c>
      <c r="C81" s="9">
        <v>0.91666666666666663</v>
      </c>
      <c r="D81" s="1" t="s">
        <v>126</v>
      </c>
      <c r="E81" s="1" t="s">
        <v>244</v>
      </c>
      <c r="F81" s="1" t="s">
        <v>111</v>
      </c>
    </row>
    <row r="82" spans="1:6">
      <c r="A82" s="1">
        <v>39</v>
      </c>
      <c r="B82" s="1" t="s">
        <v>143</v>
      </c>
      <c r="C82" s="9">
        <v>0.75</v>
      </c>
      <c r="D82" s="1" t="s">
        <v>46</v>
      </c>
      <c r="E82" s="1" t="s">
        <v>43</v>
      </c>
      <c r="F82" s="1" t="s">
        <v>110</v>
      </c>
    </row>
    <row r="83" spans="1:6">
      <c r="A83" s="1">
        <v>40</v>
      </c>
      <c r="B83" s="1" t="s">
        <v>143</v>
      </c>
      <c r="C83" s="9">
        <v>0.75</v>
      </c>
      <c r="D83" s="1" t="s">
        <v>44</v>
      </c>
      <c r="E83" s="1" t="s">
        <v>128</v>
      </c>
      <c r="F83" s="1" t="s">
        <v>119</v>
      </c>
    </row>
    <row r="84" spans="1:6">
      <c r="A84" s="1">
        <v>41</v>
      </c>
      <c r="B84" s="1" t="s">
        <v>144</v>
      </c>
      <c r="C84" s="9">
        <v>0.91666666666666663</v>
      </c>
      <c r="D84" s="1" t="s">
        <v>50</v>
      </c>
      <c r="E84" s="1" t="s">
        <v>47</v>
      </c>
      <c r="F84" s="1" t="s">
        <v>112</v>
      </c>
    </row>
    <row r="85" spans="1:6">
      <c r="A85" s="1">
        <v>42</v>
      </c>
      <c r="B85" s="1" t="s">
        <v>144</v>
      </c>
      <c r="C85" s="9">
        <v>0.91666666666666663</v>
      </c>
      <c r="D85" s="1" t="s">
        <v>48</v>
      </c>
      <c r="E85" s="1" t="s">
        <v>49</v>
      </c>
      <c r="F85" s="1" t="s">
        <v>115</v>
      </c>
    </row>
    <row r="86" spans="1:6">
      <c r="A86" s="1">
        <v>43</v>
      </c>
      <c r="B86" s="1" t="s">
        <v>144</v>
      </c>
      <c r="C86" s="9">
        <v>0.75</v>
      </c>
      <c r="D86" s="1" t="s">
        <v>54</v>
      </c>
      <c r="E86" s="1" t="s">
        <v>51</v>
      </c>
      <c r="F86" s="1" t="s">
        <v>116</v>
      </c>
    </row>
    <row r="87" spans="1:6">
      <c r="A87" s="1">
        <v>44</v>
      </c>
      <c r="B87" s="1" t="s">
        <v>144</v>
      </c>
      <c r="C87" s="9">
        <v>0.75</v>
      </c>
      <c r="D87" s="1" t="s">
        <v>131</v>
      </c>
      <c r="E87" s="1" t="s">
        <v>53</v>
      </c>
      <c r="F87" s="1" t="s">
        <v>114</v>
      </c>
    </row>
    <row r="88" spans="1:6">
      <c r="A88" s="1">
        <v>45</v>
      </c>
      <c r="B88" s="1" t="s">
        <v>145</v>
      </c>
      <c r="C88" s="9">
        <v>0.75</v>
      </c>
      <c r="D88" s="1" t="s">
        <v>92</v>
      </c>
      <c r="E88" s="1" t="s">
        <v>55</v>
      </c>
      <c r="F88" s="1" t="s">
        <v>113</v>
      </c>
    </row>
    <row r="89" spans="1:6">
      <c r="A89" s="1">
        <v>46</v>
      </c>
      <c r="B89" s="1" t="s">
        <v>145</v>
      </c>
      <c r="C89" s="9">
        <v>0.75</v>
      </c>
      <c r="D89" s="1" t="s">
        <v>132</v>
      </c>
      <c r="E89" s="1" t="s">
        <v>57</v>
      </c>
      <c r="F89" s="1" t="s">
        <v>245</v>
      </c>
    </row>
    <row r="90" spans="1:6">
      <c r="A90" s="1">
        <v>47</v>
      </c>
      <c r="B90" s="1" t="s">
        <v>145</v>
      </c>
      <c r="C90" s="9">
        <v>0.91666666666666663</v>
      </c>
      <c r="D90" s="1" t="s">
        <v>62</v>
      </c>
      <c r="E90" s="1" t="s">
        <v>134</v>
      </c>
      <c r="F90" s="1" t="s">
        <v>242</v>
      </c>
    </row>
    <row r="91" spans="1:6">
      <c r="A91" s="1">
        <v>48</v>
      </c>
      <c r="B91" s="1" t="s">
        <v>145</v>
      </c>
      <c r="C91" s="9">
        <v>0.91666666666666663</v>
      </c>
      <c r="D91" s="1" t="s">
        <v>61</v>
      </c>
      <c r="E91" s="1" t="s">
        <v>136</v>
      </c>
      <c r="F91" s="1" t="s">
        <v>117</v>
      </c>
    </row>
    <row r="92" spans="1:6">
      <c r="A92" s="1">
        <v>49</v>
      </c>
      <c r="B92" s="1" t="s">
        <v>146</v>
      </c>
      <c r="C92" s="9">
        <v>0.75</v>
      </c>
      <c r="D92" s="1" t="s">
        <v>147</v>
      </c>
      <c r="E92" s="1" t="s">
        <v>148</v>
      </c>
      <c r="F92" s="1" t="s">
        <v>119</v>
      </c>
    </row>
    <row r="93" spans="1:6">
      <c r="A93" s="1">
        <v>50</v>
      </c>
      <c r="B93" s="1" t="s">
        <v>146</v>
      </c>
      <c r="C93" s="9">
        <v>0.91666666666666663</v>
      </c>
      <c r="D93" s="1" t="s">
        <v>149</v>
      </c>
      <c r="E93" s="1" t="s">
        <v>150</v>
      </c>
      <c r="F93" s="1" t="s">
        <v>115</v>
      </c>
    </row>
    <row r="94" spans="1:6">
      <c r="A94" s="1">
        <v>51</v>
      </c>
      <c r="B94" s="1" t="s">
        <v>151</v>
      </c>
      <c r="C94" s="9">
        <v>0.75</v>
      </c>
      <c r="D94" s="1" t="s">
        <v>152</v>
      </c>
      <c r="E94" s="1" t="s">
        <v>153</v>
      </c>
      <c r="F94" s="1" t="s">
        <v>111</v>
      </c>
    </row>
    <row r="95" spans="1:6">
      <c r="A95" s="1">
        <v>52</v>
      </c>
      <c r="B95" s="1" t="s">
        <v>151</v>
      </c>
      <c r="C95" s="9">
        <v>0.91666666666666663</v>
      </c>
      <c r="D95" s="1" t="s">
        <v>154</v>
      </c>
      <c r="E95" s="1" t="s">
        <v>155</v>
      </c>
      <c r="F95" s="1" t="s">
        <v>113</v>
      </c>
    </row>
    <row r="96" spans="1:6">
      <c r="A96" s="1">
        <v>53</v>
      </c>
      <c r="B96" s="1" t="s">
        <v>156</v>
      </c>
      <c r="C96" s="9">
        <v>0.75</v>
      </c>
      <c r="D96" s="1" t="s">
        <v>157</v>
      </c>
      <c r="E96" s="1" t="s">
        <v>158</v>
      </c>
      <c r="F96" s="1" t="s">
        <v>245</v>
      </c>
    </row>
    <row r="97" spans="1:6">
      <c r="A97" s="1">
        <v>54</v>
      </c>
      <c r="B97" s="1" t="s">
        <v>156</v>
      </c>
      <c r="C97" s="9">
        <v>0.91666666666666663</v>
      </c>
      <c r="D97" s="1" t="s">
        <v>159</v>
      </c>
      <c r="E97" s="1" t="s">
        <v>160</v>
      </c>
      <c r="F97" s="1" t="s">
        <v>116</v>
      </c>
    </row>
    <row r="98" spans="1:6">
      <c r="A98" s="1">
        <v>55</v>
      </c>
      <c r="B98" s="1" t="s">
        <v>161</v>
      </c>
      <c r="C98" s="9">
        <v>0.75</v>
      </c>
      <c r="D98" s="1" t="s">
        <v>162</v>
      </c>
      <c r="E98" s="1" t="s">
        <v>163</v>
      </c>
      <c r="F98" s="1" t="s">
        <v>242</v>
      </c>
    </row>
    <row r="99" spans="1:6">
      <c r="A99" s="1">
        <v>56</v>
      </c>
      <c r="B99" s="1" t="s">
        <v>161</v>
      </c>
      <c r="C99" s="9">
        <v>0.91666666666666663</v>
      </c>
      <c r="D99" s="1" t="s">
        <v>164</v>
      </c>
      <c r="E99" s="1" t="s">
        <v>165</v>
      </c>
      <c r="F99" s="1" t="s">
        <v>114</v>
      </c>
    </row>
    <row r="100" spans="1:6">
      <c r="A100" s="1">
        <v>57</v>
      </c>
      <c r="B100" s="1" t="s">
        <v>166</v>
      </c>
      <c r="C100" s="9">
        <v>0.91666666666666663</v>
      </c>
      <c r="D100" s="1" t="s">
        <v>167</v>
      </c>
      <c r="E100" s="1" t="s">
        <v>168</v>
      </c>
      <c r="F100" s="1" t="s">
        <v>111</v>
      </c>
    </row>
    <row r="101" spans="1:6">
      <c r="A101" s="1">
        <v>58</v>
      </c>
      <c r="B101" s="1" t="s">
        <v>166</v>
      </c>
      <c r="C101" s="9">
        <v>0.75</v>
      </c>
      <c r="D101" s="1" t="s">
        <v>169</v>
      </c>
      <c r="E101" s="1" t="s">
        <v>170</v>
      </c>
      <c r="F101" s="1" t="s">
        <v>115</v>
      </c>
    </row>
    <row r="102" spans="1:6">
      <c r="A102" s="1">
        <v>59</v>
      </c>
      <c r="B102" s="1" t="s">
        <v>171</v>
      </c>
      <c r="C102" s="9">
        <v>0.91666666666666663</v>
      </c>
      <c r="D102" s="1" t="s">
        <v>172</v>
      </c>
      <c r="E102" s="1" t="s">
        <v>173</v>
      </c>
      <c r="F102" s="1" t="s">
        <v>114</v>
      </c>
    </row>
    <row r="103" spans="1:6">
      <c r="A103" s="1">
        <v>60</v>
      </c>
      <c r="B103" s="1" t="s">
        <v>171</v>
      </c>
      <c r="C103" s="9">
        <v>0.75</v>
      </c>
      <c r="D103" s="1" t="s">
        <v>174</v>
      </c>
      <c r="E103" s="1" t="s">
        <v>175</v>
      </c>
      <c r="F103" s="1" t="s">
        <v>245</v>
      </c>
    </row>
    <row r="104" spans="1:6">
      <c r="A104" s="1">
        <v>61</v>
      </c>
      <c r="B104" s="1" t="s">
        <v>176</v>
      </c>
      <c r="C104" s="9">
        <v>0.91666666666666663</v>
      </c>
      <c r="D104" s="1" t="s">
        <v>177</v>
      </c>
      <c r="E104" s="1" t="s">
        <v>178</v>
      </c>
      <c r="F104" s="1" t="s">
        <v>119</v>
      </c>
    </row>
    <row r="105" spans="1:6">
      <c r="A105" s="1">
        <v>62</v>
      </c>
      <c r="B105" s="1" t="s">
        <v>179</v>
      </c>
      <c r="C105" s="9">
        <v>0.91666666666666663</v>
      </c>
      <c r="D105" s="1" t="s">
        <v>180</v>
      </c>
      <c r="E105" s="1" t="s">
        <v>181</v>
      </c>
      <c r="F105" s="1" t="s">
        <v>242</v>
      </c>
    </row>
    <row r="106" spans="1:6">
      <c r="A106" s="1">
        <v>63</v>
      </c>
      <c r="B106" s="1" t="s">
        <v>182</v>
      </c>
      <c r="C106" s="9">
        <v>0.91666666666666663</v>
      </c>
      <c r="D106" s="1" t="s">
        <v>183</v>
      </c>
      <c r="E106" s="1" t="s">
        <v>184</v>
      </c>
      <c r="F106" s="1" t="s">
        <v>245</v>
      </c>
    </row>
    <row r="107" spans="1:6">
      <c r="A107" s="1">
        <v>64</v>
      </c>
      <c r="B107" s="1" t="s">
        <v>185</v>
      </c>
      <c r="C107" s="9">
        <v>0.875</v>
      </c>
      <c r="D107" s="1" t="s">
        <v>186</v>
      </c>
      <c r="E107" s="1" t="s">
        <v>187</v>
      </c>
      <c r="F107" s="1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Gruppenphase</vt:lpstr>
      <vt:lpstr>KO-Phase</vt:lpstr>
      <vt:lpstr>Berechnungen</vt:lpstr>
      <vt:lpstr>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 Benedikt</dc:creator>
  <cp:lastModifiedBy>Dominik</cp:lastModifiedBy>
  <dcterms:created xsi:type="dcterms:W3CDTF">2014-01-09T14:31:15Z</dcterms:created>
  <dcterms:modified xsi:type="dcterms:W3CDTF">2014-04-19T14:46:49Z</dcterms:modified>
</cp:coreProperties>
</file>